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Cost study\"/>
    </mc:Choice>
  </mc:AlternateContent>
  <bookViews>
    <workbookView xWindow="350" yWindow="-140" windowWidth="11340" windowHeight="6270"/>
  </bookViews>
  <sheets>
    <sheet name="Master Expend Table" sheetId="43" r:id="rId1"/>
    <sheet name="System" sheetId="38" r:id="rId2"/>
    <sheet name="ALEX TC" sheetId="1" r:id="rId3"/>
    <sheet name="ARCCATC" sheetId="48" r:id="rId4"/>
    <sheet name="ANOKARAM CC" sheetId="11" r:id="rId5"/>
    <sheet name="ANOKA TC" sheetId="12" r:id="rId6"/>
    <sheet name="BSU &amp; TC" sheetId="44" r:id="rId7"/>
    <sheet name="BEMIDJI SU" sheetId="37" r:id="rId8"/>
    <sheet name="NTC-Bemidji" sheetId="45" r:id="rId9"/>
    <sheet name="CENTRAL LAKES" sheetId="36" r:id="rId10"/>
    <sheet name="CENTURY" sheetId="35" r:id="rId11"/>
    <sheet name="Sheet2" sheetId="49" r:id="rId12"/>
    <sheet name="DAKCTY TC" sheetId="34" r:id="rId13"/>
    <sheet name="INVER HILLS" sheetId="29" r:id="rId14"/>
    <sheet name="FDL CC" sheetId="32" r:id="rId15"/>
    <sheet name="HENN TC" sheetId="31" r:id="rId16"/>
    <sheet name="LAKE SUPERIOR" sheetId="27" r:id="rId17"/>
    <sheet name="METRO SU" sheetId="25" r:id="rId18"/>
    <sheet name="MPLS COLLEGE" sheetId="24" r:id="rId19"/>
    <sheet name="MN SC-SOUTHEAST" sheetId="23" r:id="rId20"/>
    <sheet name="MINNESOTA STATE COLLEGE" sheetId="46" r:id="rId21"/>
    <sheet name="MSU MOORHEAD" sheetId="20" r:id="rId22"/>
    <sheet name="MSU MANKATO" sheetId="22" r:id="rId23"/>
    <sheet name="MN WEST" sheetId="21" r:id="rId24"/>
    <sheet name="NORMANDALE" sheetId="19" r:id="rId25"/>
    <sheet name="NO HENN CC" sheetId="18" r:id="rId26"/>
    <sheet name="NHED" sheetId="39" r:id="rId27"/>
    <sheet name="HIBBING" sheetId="30" r:id="rId28"/>
    <sheet name="ITASCA CC" sheetId="28" r:id="rId29"/>
    <sheet name="MESABI RANGE" sheetId="40" r:id="rId30"/>
    <sheet name="RAINY RIVER" sheetId="14" r:id="rId31"/>
    <sheet name="VERMILION" sheetId="41" r:id="rId32"/>
    <sheet name="NORTHLAND" sheetId="17" r:id="rId33"/>
    <sheet name="PINE TC" sheetId="15" r:id="rId34"/>
    <sheet name="RIDGEWATER" sheetId="13" r:id="rId35"/>
    <sheet name="RIVERLAND" sheetId="10" r:id="rId36"/>
    <sheet name="ROCHESTER" sheetId="9" r:id="rId37"/>
    <sheet name="SAINT PAUL" sheetId="4" r:id="rId38"/>
    <sheet name="SOUTH CENTRAL" sheetId="8" r:id="rId39"/>
    <sheet name="SOUTHWEST MN SU" sheetId="7" r:id="rId40"/>
    <sheet name="ST CLOUD SU" sheetId="6" r:id="rId41"/>
    <sheet name="ST CLOUD TCC" sheetId="5" r:id="rId42"/>
    <sheet name="WINONA SU" sheetId="2" r:id="rId43"/>
    <sheet name="Sheet1" sheetId="47" state="hidden" r:id="rId44"/>
    <sheet name="Indirect Combined" sheetId="52" state="hidden" r:id="rId45"/>
    <sheet name="Indirect SPlit" sheetId="51" state="hidden" r:id="rId46"/>
  </sheets>
  <calcPr calcId="162913"/>
</workbook>
</file>

<file path=xl/calcChain.xml><?xml version="1.0" encoding="utf-8"?>
<calcChain xmlns="http://schemas.openxmlformats.org/spreadsheetml/2006/main">
  <c r="E46" i="43" l="1"/>
  <c r="E45" i="43"/>
  <c r="E26" i="43"/>
  <c r="K48" i="43" l="1"/>
  <c r="A1" i="1" l="1"/>
  <c r="I31" i="43" l="1"/>
  <c r="B29" i="49" l="1"/>
  <c r="C9" i="49"/>
  <c r="A1" i="49"/>
  <c r="J15" i="43"/>
  <c r="J9" i="49" s="1"/>
  <c r="I15" i="43"/>
  <c r="I9" i="49" s="1"/>
  <c r="H15" i="43"/>
  <c r="H9" i="49" s="1"/>
  <c r="G15" i="43"/>
  <c r="G9" i="49" s="1"/>
  <c r="E15" i="43"/>
  <c r="E9" i="49" s="1"/>
  <c r="D15" i="43"/>
  <c r="D9" i="49" s="1"/>
  <c r="C15" i="43"/>
  <c r="B15" i="43"/>
  <c r="B9" i="49" s="1"/>
  <c r="K9" i="49" l="1"/>
  <c r="J11" i="49"/>
  <c r="J12" i="49" s="1"/>
  <c r="J15" i="49" s="1"/>
  <c r="J18" i="49" s="1"/>
  <c r="J22" i="49" s="1"/>
  <c r="B27" i="49"/>
  <c r="B29" i="48"/>
  <c r="A1" i="48"/>
  <c r="J7" i="43"/>
  <c r="I7" i="43"/>
  <c r="H7" i="43"/>
  <c r="G7" i="43"/>
  <c r="E7" i="43"/>
  <c r="D7" i="43"/>
  <c r="C7" i="43"/>
  <c r="B7" i="43"/>
  <c r="B11" i="49" l="1"/>
  <c r="B12" i="49" s="1"/>
  <c r="I9" i="48"/>
  <c r="B9" i="48"/>
  <c r="B27" i="48" s="1"/>
  <c r="G9" i="48"/>
  <c r="J9" i="48"/>
  <c r="J11" i="48" s="1"/>
  <c r="C9" i="48"/>
  <c r="D9" i="48"/>
  <c r="E9" i="48"/>
  <c r="H9" i="48"/>
  <c r="D11" i="49"/>
  <c r="D12" i="49" s="1"/>
  <c r="C11" i="49"/>
  <c r="C12" i="49" s="1"/>
  <c r="E11" i="49"/>
  <c r="E12" i="49" s="1"/>
  <c r="I11" i="49"/>
  <c r="I12" i="49" s="1"/>
  <c r="H11" i="49"/>
  <c r="H12" i="49" s="1"/>
  <c r="G11" i="49"/>
  <c r="G12" i="49" s="1"/>
  <c r="K7" i="43"/>
  <c r="K25" i="43"/>
  <c r="K9" i="48" l="1"/>
  <c r="B11" i="48" s="1"/>
  <c r="B12" i="48" s="1"/>
  <c r="K12" i="49"/>
  <c r="I14" i="49"/>
  <c r="I15" i="49" s="1"/>
  <c r="I18" i="49" s="1"/>
  <c r="I22" i="49" s="1"/>
  <c r="J12" i="48"/>
  <c r="J15" i="48" s="1"/>
  <c r="J18" i="48" s="1"/>
  <c r="J22" i="48" s="1"/>
  <c r="B9" i="45"/>
  <c r="B27" i="45" s="1"/>
  <c r="C9" i="45"/>
  <c r="D9" i="45"/>
  <c r="E9" i="45"/>
  <c r="G9" i="45"/>
  <c r="H9" i="45"/>
  <c r="I9" i="45"/>
  <c r="J9" i="45"/>
  <c r="J11" i="45" s="1"/>
  <c r="B10" i="43"/>
  <c r="B9" i="37"/>
  <c r="B27" i="37" s="1"/>
  <c r="C9" i="37"/>
  <c r="D9" i="37"/>
  <c r="E9" i="37"/>
  <c r="G9" i="37"/>
  <c r="H9" i="37"/>
  <c r="I9" i="37"/>
  <c r="J9" i="37"/>
  <c r="J11" i="37" s="1"/>
  <c r="J12" i="37" s="1"/>
  <c r="J15" i="37" s="1"/>
  <c r="J18" i="37" s="1"/>
  <c r="J22" i="37" s="1"/>
  <c r="I9" i="2"/>
  <c r="G9" i="2"/>
  <c r="I9" i="5"/>
  <c r="G9" i="5"/>
  <c r="I9" i="6"/>
  <c r="G9" i="6"/>
  <c r="I9" i="7"/>
  <c r="G9" i="7"/>
  <c r="I9" i="8"/>
  <c r="G9" i="8"/>
  <c r="I9" i="4"/>
  <c r="G9" i="4"/>
  <c r="I9" i="9"/>
  <c r="G9" i="9"/>
  <c r="I9" i="10"/>
  <c r="G9" i="10"/>
  <c r="I9" i="13"/>
  <c r="G9" i="13"/>
  <c r="I9" i="15"/>
  <c r="G9" i="15"/>
  <c r="I9" i="17"/>
  <c r="G9" i="17"/>
  <c r="I9" i="41"/>
  <c r="G9" i="41"/>
  <c r="I9" i="14"/>
  <c r="G9" i="14"/>
  <c r="I9" i="40"/>
  <c r="G9" i="40"/>
  <c r="I9" i="28"/>
  <c r="G9" i="28"/>
  <c r="I9" i="30"/>
  <c r="G9" i="30"/>
  <c r="I9" i="18"/>
  <c r="G9" i="18"/>
  <c r="I9" i="19"/>
  <c r="G9" i="19"/>
  <c r="I9" i="21"/>
  <c r="G9" i="21"/>
  <c r="I9" i="22"/>
  <c r="G9" i="22"/>
  <c r="I9" i="20"/>
  <c r="G9" i="20"/>
  <c r="I9" i="46"/>
  <c r="G9" i="46"/>
  <c r="I9" i="23"/>
  <c r="G9" i="23"/>
  <c r="I9" i="24"/>
  <c r="G9" i="24"/>
  <c r="I9" i="25"/>
  <c r="G9" i="25"/>
  <c r="I9" i="27"/>
  <c r="G9" i="27"/>
  <c r="I9" i="29"/>
  <c r="G9" i="29"/>
  <c r="I9" i="31"/>
  <c r="G9" i="31"/>
  <c r="I9" i="32"/>
  <c r="G9" i="32"/>
  <c r="I9" i="34"/>
  <c r="G9" i="34"/>
  <c r="I9" i="35"/>
  <c r="G9" i="35"/>
  <c r="I9" i="36"/>
  <c r="G9" i="36"/>
  <c r="I9" i="12"/>
  <c r="G9" i="12"/>
  <c r="I9" i="11"/>
  <c r="G9" i="11"/>
  <c r="I9" i="1"/>
  <c r="G9" i="1"/>
  <c r="G10" i="43"/>
  <c r="G31" i="43"/>
  <c r="I10" i="43"/>
  <c r="E10" i="43"/>
  <c r="D10" i="43"/>
  <c r="C10" i="43"/>
  <c r="J10" i="43"/>
  <c r="H10" i="43"/>
  <c r="K6" i="43"/>
  <c r="K8" i="43"/>
  <c r="K9" i="43"/>
  <c r="K11" i="43"/>
  <c r="K12" i="43"/>
  <c r="K13" i="43"/>
  <c r="K14" i="43"/>
  <c r="K16" i="43"/>
  <c r="K18" i="43"/>
  <c r="K19" i="43"/>
  <c r="K17" i="43"/>
  <c r="K20" i="43"/>
  <c r="K21" i="43"/>
  <c r="K22" i="43"/>
  <c r="K23" i="43"/>
  <c r="K24" i="43"/>
  <c r="K26" i="43"/>
  <c r="K27" i="43"/>
  <c r="K28" i="43"/>
  <c r="K29" i="43"/>
  <c r="K30" i="43"/>
  <c r="B31" i="43"/>
  <c r="C31" i="43"/>
  <c r="C9" i="39" s="1"/>
  <c r="D31" i="43"/>
  <c r="E31" i="43"/>
  <c r="H31" i="43"/>
  <c r="J31" i="43"/>
  <c r="J9" i="39" s="1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B29" i="39"/>
  <c r="B29" i="44"/>
  <c r="J9" i="46"/>
  <c r="J11" i="46" s="1"/>
  <c r="H9" i="46"/>
  <c r="E9" i="46"/>
  <c r="D9" i="46"/>
  <c r="C9" i="46"/>
  <c r="B9" i="46"/>
  <c r="A1" i="46"/>
  <c r="A1" i="45"/>
  <c r="A1" i="44"/>
  <c r="J9" i="2"/>
  <c r="J11" i="2" s="1"/>
  <c r="J12" i="2" s="1"/>
  <c r="J15" i="2" s="1"/>
  <c r="J18" i="2" s="1"/>
  <c r="J22" i="2" s="1"/>
  <c r="H9" i="2"/>
  <c r="E9" i="2"/>
  <c r="D9" i="2"/>
  <c r="C9" i="2"/>
  <c r="B9" i="2"/>
  <c r="B27" i="2" s="1"/>
  <c r="J9" i="5"/>
  <c r="J11" i="5" s="1"/>
  <c r="J12" i="5" s="1"/>
  <c r="J15" i="5" s="1"/>
  <c r="J18" i="5" s="1"/>
  <c r="J22" i="5" s="1"/>
  <c r="H9" i="5"/>
  <c r="E9" i="5"/>
  <c r="D9" i="5"/>
  <c r="C9" i="5"/>
  <c r="B9" i="5"/>
  <c r="B27" i="5" s="1"/>
  <c r="J9" i="6"/>
  <c r="J11" i="6" s="1"/>
  <c r="J12" i="6" s="1"/>
  <c r="J15" i="6" s="1"/>
  <c r="J18" i="6" s="1"/>
  <c r="J22" i="6" s="1"/>
  <c r="H9" i="6"/>
  <c r="E9" i="6"/>
  <c r="D9" i="6"/>
  <c r="C9" i="6"/>
  <c r="B9" i="6"/>
  <c r="B27" i="6" s="1"/>
  <c r="J9" i="7"/>
  <c r="J11" i="7" s="1"/>
  <c r="J12" i="7" s="1"/>
  <c r="J15" i="7" s="1"/>
  <c r="J18" i="7" s="1"/>
  <c r="J22" i="7" s="1"/>
  <c r="H9" i="7"/>
  <c r="E9" i="7"/>
  <c r="D9" i="7"/>
  <c r="C9" i="7"/>
  <c r="B9" i="7"/>
  <c r="B27" i="7" s="1"/>
  <c r="J9" i="8"/>
  <c r="J11" i="8" s="1"/>
  <c r="J12" i="8" s="1"/>
  <c r="J15" i="8" s="1"/>
  <c r="J18" i="8" s="1"/>
  <c r="J22" i="8" s="1"/>
  <c r="H9" i="8"/>
  <c r="E9" i="8"/>
  <c r="D9" i="8"/>
  <c r="C9" i="8"/>
  <c r="B9" i="8"/>
  <c r="B27" i="8" s="1"/>
  <c r="J9" i="4"/>
  <c r="J11" i="4" s="1"/>
  <c r="J12" i="4" s="1"/>
  <c r="J15" i="4" s="1"/>
  <c r="J18" i="4" s="1"/>
  <c r="J22" i="4" s="1"/>
  <c r="H9" i="4"/>
  <c r="E9" i="4"/>
  <c r="D9" i="4"/>
  <c r="C9" i="4"/>
  <c r="B9" i="4"/>
  <c r="B27" i="4" s="1"/>
  <c r="J9" i="9"/>
  <c r="J11" i="9" s="1"/>
  <c r="J12" i="9" s="1"/>
  <c r="J15" i="9" s="1"/>
  <c r="J18" i="9" s="1"/>
  <c r="J22" i="9" s="1"/>
  <c r="H9" i="9"/>
  <c r="E9" i="9"/>
  <c r="D9" i="9"/>
  <c r="C9" i="9"/>
  <c r="B9" i="9"/>
  <c r="B27" i="9" s="1"/>
  <c r="J9" i="10"/>
  <c r="J11" i="10" s="1"/>
  <c r="J12" i="10" s="1"/>
  <c r="J15" i="10" s="1"/>
  <c r="J18" i="10" s="1"/>
  <c r="J22" i="10" s="1"/>
  <c r="H9" i="10"/>
  <c r="E9" i="10"/>
  <c r="D9" i="10"/>
  <c r="C9" i="10"/>
  <c r="B9" i="10"/>
  <c r="B27" i="10" s="1"/>
  <c r="J9" i="13"/>
  <c r="J11" i="13" s="1"/>
  <c r="J12" i="13" s="1"/>
  <c r="J15" i="13" s="1"/>
  <c r="J18" i="13" s="1"/>
  <c r="J22" i="13" s="1"/>
  <c r="H9" i="13"/>
  <c r="E9" i="13"/>
  <c r="D9" i="13"/>
  <c r="C9" i="13"/>
  <c r="B9" i="13"/>
  <c r="B27" i="13" s="1"/>
  <c r="J9" i="15"/>
  <c r="J11" i="15" s="1"/>
  <c r="J12" i="15" s="1"/>
  <c r="J15" i="15" s="1"/>
  <c r="J18" i="15" s="1"/>
  <c r="J22" i="15" s="1"/>
  <c r="H9" i="15"/>
  <c r="E9" i="15"/>
  <c r="D9" i="15"/>
  <c r="C9" i="15"/>
  <c r="B9" i="15"/>
  <c r="B27" i="15" s="1"/>
  <c r="J9" i="17"/>
  <c r="J11" i="17" s="1"/>
  <c r="J12" i="17" s="1"/>
  <c r="J15" i="17" s="1"/>
  <c r="J18" i="17" s="1"/>
  <c r="J22" i="17" s="1"/>
  <c r="H9" i="17"/>
  <c r="E9" i="17"/>
  <c r="D9" i="17"/>
  <c r="C9" i="17"/>
  <c r="B9" i="17"/>
  <c r="B27" i="17" s="1"/>
  <c r="J9" i="41"/>
  <c r="J11" i="41" s="1"/>
  <c r="H9" i="41"/>
  <c r="E9" i="41"/>
  <c r="D9" i="41"/>
  <c r="C9" i="41"/>
  <c r="B9" i="41"/>
  <c r="B27" i="41" s="1"/>
  <c r="J9" i="14"/>
  <c r="H9" i="14"/>
  <c r="E9" i="14"/>
  <c r="D9" i="14"/>
  <c r="C9" i="14"/>
  <c r="B9" i="14"/>
  <c r="B27" i="14" s="1"/>
  <c r="J9" i="40"/>
  <c r="H9" i="40"/>
  <c r="E9" i="40"/>
  <c r="D9" i="40"/>
  <c r="C9" i="40"/>
  <c r="B9" i="40"/>
  <c r="B27" i="40" s="1"/>
  <c r="J9" i="28"/>
  <c r="H9" i="28"/>
  <c r="E9" i="28"/>
  <c r="D9" i="28"/>
  <c r="C9" i="28"/>
  <c r="B9" i="28"/>
  <c r="B27" i="28" s="1"/>
  <c r="J9" i="30"/>
  <c r="J11" i="30" s="1"/>
  <c r="J12" i="30" s="1"/>
  <c r="J15" i="30" s="1"/>
  <c r="J18" i="30" s="1"/>
  <c r="J22" i="30" s="1"/>
  <c r="H9" i="30"/>
  <c r="E9" i="30"/>
  <c r="D9" i="30"/>
  <c r="C9" i="30"/>
  <c r="B9" i="30"/>
  <c r="B27" i="30" s="1"/>
  <c r="J9" i="18"/>
  <c r="J11" i="18" s="1"/>
  <c r="J12" i="18" s="1"/>
  <c r="J15" i="18" s="1"/>
  <c r="J18" i="18" s="1"/>
  <c r="J22" i="18" s="1"/>
  <c r="H9" i="18"/>
  <c r="E9" i="18"/>
  <c r="D9" i="18"/>
  <c r="C9" i="18"/>
  <c r="B9" i="18"/>
  <c r="J9" i="19"/>
  <c r="J11" i="19" s="1"/>
  <c r="H9" i="19"/>
  <c r="E9" i="19"/>
  <c r="D9" i="19"/>
  <c r="C9" i="19"/>
  <c r="B9" i="19"/>
  <c r="B27" i="19" s="1"/>
  <c r="J9" i="21"/>
  <c r="J11" i="21" s="1"/>
  <c r="J12" i="21" s="1"/>
  <c r="J15" i="21" s="1"/>
  <c r="J18" i="21" s="1"/>
  <c r="J22" i="21" s="1"/>
  <c r="H9" i="21"/>
  <c r="E9" i="21"/>
  <c r="D9" i="21"/>
  <c r="C9" i="21"/>
  <c r="B9" i="21"/>
  <c r="B27" i="21" s="1"/>
  <c r="J9" i="22"/>
  <c r="J11" i="22" s="1"/>
  <c r="J12" i="22" s="1"/>
  <c r="J15" i="22" s="1"/>
  <c r="J18" i="22" s="1"/>
  <c r="J22" i="22" s="1"/>
  <c r="H9" i="22"/>
  <c r="E9" i="22"/>
  <c r="D9" i="22"/>
  <c r="C9" i="22"/>
  <c r="B9" i="22"/>
  <c r="J9" i="20"/>
  <c r="J11" i="20" s="1"/>
  <c r="J12" i="20" s="1"/>
  <c r="J15" i="20" s="1"/>
  <c r="J18" i="20" s="1"/>
  <c r="J22" i="20" s="1"/>
  <c r="H9" i="20"/>
  <c r="E9" i="20"/>
  <c r="D9" i="20"/>
  <c r="C9" i="20"/>
  <c r="B9" i="20"/>
  <c r="B27" i="20" s="1"/>
  <c r="J9" i="23"/>
  <c r="J11" i="23" s="1"/>
  <c r="J12" i="23" s="1"/>
  <c r="J15" i="23" s="1"/>
  <c r="J18" i="23" s="1"/>
  <c r="J22" i="23" s="1"/>
  <c r="H9" i="23"/>
  <c r="E9" i="23"/>
  <c r="D9" i="23"/>
  <c r="C9" i="23"/>
  <c r="B9" i="23"/>
  <c r="J9" i="24"/>
  <c r="J11" i="24" s="1"/>
  <c r="J12" i="24" s="1"/>
  <c r="J15" i="24" s="1"/>
  <c r="J18" i="24" s="1"/>
  <c r="J22" i="24" s="1"/>
  <c r="H9" i="24"/>
  <c r="E9" i="24"/>
  <c r="D9" i="24"/>
  <c r="C9" i="24"/>
  <c r="B9" i="24"/>
  <c r="J9" i="25"/>
  <c r="J11" i="25" s="1"/>
  <c r="J12" i="25" s="1"/>
  <c r="J15" i="25" s="1"/>
  <c r="J18" i="25" s="1"/>
  <c r="J22" i="25" s="1"/>
  <c r="H9" i="25"/>
  <c r="E9" i="25"/>
  <c r="D9" i="25"/>
  <c r="C9" i="25"/>
  <c r="B9" i="25"/>
  <c r="B27" i="25" s="1"/>
  <c r="J9" i="27"/>
  <c r="J11" i="27" s="1"/>
  <c r="J12" i="27" s="1"/>
  <c r="J15" i="27" s="1"/>
  <c r="J18" i="27" s="1"/>
  <c r="J22" i="27" s="1"/>
  <c r="H9" i="27"/>
  <c r="E9" i="27"/>
  <c r="D9" i="27"/>
  <c r="C9" i="27"/>
  <c r="B9" i="27"/>
  <c r="J9" i="29"/>
  <c r="J11" i="29" s="1"/>
  <c r="J12" i="29" s="1"/>
  <c r="J15" i="29" s="1"/>
  <c r="J18" i="29" s="1"/>
  <c r="J22" i="29" s="1"/>
  <c r="H9" i="29"/>
  <c r="E9" i="29"/>
  <c r="D9" i="29"/>
  <c r="C9" i="29"/>
  <c r="B9" i="29"/>
  <c r="J9" i="31"/>
  <c r="H9" i="31"/>
  <c r="E9" i="31"/>
  <c r="D9" i="31"/>
  <c r="C9" i="31"/>
  <c r="B9" i="31"/>
  <c r="B27" i="31" s="1"/>
  <c r="J9" i="32"/>
  <c r="J11" i="32" s="1"/>
  <c r="H9" i="32"/>
  <c r="E9" i="32"/>
  <c r="D9" i="32"/>
  <c r="C9" i="32"/>
  <c r="B9" i="32"/>
  <c r="B27" i="32" s="1"/>
  <c r="J9" i="34"/>
  <c r="J11" i="34" s="1"/>
  <c r="H9" i="34"/>
  <c r="E9" i="34"/>
  <c r="D9" i="34"/>
  <c r="C9" i="34"/>
  <c r="B9" i="34"/>
  <c r="B27" i="34" s="1"/>
  <c r="J9" i="35"/>
  <c r="J11" i="35" s="1"/>
  <c r="H9" i="35"/>
  <c r="E9" i="35"/>
  <c r="D9" i="35"/>
  <c r="C9" i="35"/>
  <c r="B9" i="35"/>
  <c r="B27" i="35" s="1"/>
  <c r="J9" i="36"/>
  <c r="J11" i="36" s="1"/>
  <c r="H9" i="36"/>
  <c r="E9" i="36"/>
  <c r="D9" i="36"/>
  <c r="C9" i="36"/>
  <c r="B9" i="36"/>
  <c r="B27" i="36" s="1"/>
  <c r="J9" i="12"/>
  <c r="J11" i="12" s="1"/>
  <c r="H9" i="12"/>
  <c r="E9" i="12"/>
  <c r="D9" i="12"/>
  <c r="C9" i="12"/>
  <c r="B9" i="12"/>
  <c r="B27" i="12" s="1"/>
  <c r="J9" i="11"/>
  <c r="J11" i="11" s="1"/>
  <c r="J12" i="11" s="1"/>
  <c r="J15" i="11" s="1"/>
  <c r="J18" i="11" s="1"/>
  <c r="J22" i="11" s="1"/>
  <c r="H9" i="11"/>
  <c r="E9" i="11"/>
  <c r="D9" i="11"/>
  <c r="C9" i="11"/>
  <c r="B9" i="11"/>
  <c r="B27" i="11" s="1"/>
  <c r="C9" i="1"/>
  <c r="J9" i="1"/>
  <c r="J11" i="1" s="1"/>
  <c r="H9" i="1"/>
  <c r="E9" i="1"/>
  <c r="D9" i="1"/>
  <c r="B9" i="1"/>
  <c r="A1" i="2"/>
  <c r="A1" i="4"/>
  <c r="A1" i="5"/>
  <c r="A1" i="6"/>
  <c r="A1" i="7"/>
  <c r="A1" i="8"/>
  <c r="A1" i="9"/>
  <c r="A1" i="10"/>
  <c r="A1" i="13"/>
  <c r="A1" i="15"/>
  <c r="A1" i="17"/>
  <c r="A1" i="41"/>
  <c r="A1" i="14"/>
  <c r="A1" i="40"/>
  <c r="A1" i="28"/>
  <c r="A1" i="39"/>
  <c r="A1" i="18"/>
  <c r="A1" i="19"/>
  <c r="A1" i="21"/>
  <c r="A1" i="22"/>
  <c r="A1" i="20"/>
  <c r="A1" i="23"/>
  <c r="A1" i="24"/>
  <c r="A1" i="25"/>
  <c r="A1" i="27"/>
  <c r="A1" i="29"/>
  <c r="A1" i="30"/>
  <c r="A1" i="31"/>
  <c r="A1" i="32"/>
  <c r="A1" i="34"/>
  <c r="A1" i="35"/>
  <c r="A1" i="36"/>
  <c r="A1" i="37"/>
  <c r="A1" i="11"/>
  <c r="A1" i="12"/>
  <c r="H11" i="48" l="1"/>
  <c r="H12" i="48" s="1"/>
  <c r="I11" i="48"/>
  <c r="I12" i="48" s="1"/>
  <c r="I14" i="48" s="1"/>
  <c r="C14" i="48" s="1"/>
  <c r="C11" i="48"/>
  <c r="C12" i="48" s="1"/>
  <c r="D11" i="48"/>
  <c r="D12" i="48" s="1"/>
  <c r="D50" i="43"/>
  <c r="D9" i="38" s="1"/>
  <c r="C50" i="43"/>
  <c r="C9" i="38" s="1"/>
  <c r="G11" i="48"/>
  <c r="G12" i="48" s="1"/>
  <c r="E11" i="48"/>
  <c r="E12" i="48" s="1"/>
  <c r="E50" i="43"/>
  <c r="E9" i="38" s="1"/>
  <c r="I50" i="43"/>
  <c r="I9" i="38" s="1"/>
  <c r="B50" i="43"/>
  <c r="B9" i="38" s="1"/>
  <c r="B27" i="38" s="1"/>
  <c r="K15" i="43"/>
  <c r="H50" i="43"/>
  <c r="H9" i="38" s="1"/>
  <c r="G50" i="43"/>
  <c r="G9" i="38" s="1"/>
  <c r="J50" i="43"/>
  <c r="J9" i="38" s="1"/>
  <c r="J11" i="38" s="1"/>
  <c r="J12" i="38" s="1"/>
  <c r="J15" i="38" s="1"/>
  <c r="J18" i="38" s="1"/>
  <c r="J22" i="38" s="1"/>
  <c r="D14" i="49"/>
  <c r="D15" i="49" s="1"/>
  <c r="E14" i="49"/>
  <c r="E15" i="49" s="1"/>
  <c r="B14" i="49"/>
  <c r="B15" i="49" s="1"/>
  <c r="G14" i="49"/>
  <c r="G15" i="49" s="1"/>
  <c r="C14" i="49"/>
  <c r="C15" i="49" s="1"/>
  <c r="H14" i="49"/>
  <c r="H15" i="49" s="1"/>
  <c r="J11" i="39"/>
  <c r="J12" i="39" s="1"/>
  <c r="J15" i="39" s="1"/>
  <c r="J18" i="39" s="1"/>
  <c r="J22" i="39" s="1"/>
  <c r="J12" i="45"/>
  <c r="J15" i="45" s="1"/>
  <c r="J18" i="45" s="1"/>
  <c r="J22" i="45" s="1"/>
  <c r="J12" i="12"/>
  <c r="J15" i="12" s="1"/>
  <c r="J18" i="12" s="1"/>
  <c r="J22" i="12" s="1"/>
  <c r="I9" i="39"/>
  <c r="K9" i="28"/>
  <c r="H9" i="39"/>
  <c r="G9" i="39"/>
  <c r="D9" i="39"/>
  <c r="B9" i="39"/>
  <c r="B27" i="39" s="1"/>
  <c r="K9" i="45"/>
  <c r="I11" i="45" s="1"/>
  <c r="I12" i="45" s="1"/>
  <c r="J9" i="44"/>
  <c r="J11" i="44" s="1"/>
  <c r="J12" i="44" s="1"/>
  <c r="J15" i="44" s="1"/>
  <c r="J18" i="44" s="1"/>
  <c r="J22" i="44" s="1"/>
  <c r="I9" i="44"/>
  <c r="H9" i="44"/>
  <c r="G9" i="44"/>
  <c r="E9" i="44"/>
  <c r="D9" i="44"/>
  <c r="C9" i="44"/>
  <c r="B9" i="44"/>
  <c r="B27" i="44" s="1"/>
  <c r="K9" i="5"/>
  <c r="C11" i="5" s="1"/>
  <c r="C12" i="5" s="1"/>
  <c r="K9" i="34"/>
  <c r="H11" i="34" s="1"/>
  <c r="H12" i="34" s="1"/>
  <c r="K9" i="10"/>
  <c r="D11" i="10" s="1"/>
  <c r="D12" i="10" s="1"/>
  <c r="K9" i="7"/>
  <c r="B11" i="7" s="1"/>
  <c r="B12" i="7" s="1"/>
  <c r="K9" i="2"/>
  <c r="C11" i="2" s="1"/>
  <c r="C12" i="2" s="1"/>
  <c r="K9" i="14"/>
  <c r="K10" i="43"/>
  <c r="J12" i="32"/>
  <c r="J15" i="32" s="1"/>
  <c r="J18" i="32" s="1"/>
  <c r="J22" i="32" s="1"/>
  <c r="K9" i="12"/>
  <c r="B11" i="12" s="1"/>
  <c r="B12" i="12" s="1"/>
  <c r="J12" i="19"/>
  <c r="J15" i="19" s="1"/>
  <c r="J18" i="19" s="1"/>
  <c r="J22" i="19" s="1"/>
  <c r="K31" i="43"/>
  <c r="E9" i="39"/>
  <c r="J12" i="46"/>
  <c r="J15" i="46" s="1"/>
  <c r="J18" i="46" s="1"/>
  <c r="J22" i="46" s="1"/>
  <c r="K9" i="36"/>
  <c r="G11" i="36" s="1"/>
  <c r="G12" i="36" s="1"/>
  <c r="K9" i="32"/>
  <c r="G11" i="32" s="1"/>
  <c r="G12" i="32" s="1"/>
  <c r="K9" i="17"/>
  <c r="K9" i="9"/>
  <c r="K9" i="4"/>
  <c r="H11" i="4" s="1"/>
  <c r="H12" i="4" s="1"/>
  <c r="K9" i="6"/>
  <c r="K9" i="29"/>
  <c r="D11" i="29" s="1"/>
  <c r="D12" i="29" s="1"/>
  <c r="B27" i="29"/>
  <c r="K9" i="27"/>
  <c r="D11" i="27" s="1"/>
  <c r="D12" i="27" s="1"/>
  <c r="B27" i="27"/>
  <c r="K9" i="25"/>
  <c r="B11" i="25" s="1"/>
  <c r="B12" i="25" s="1"/>
  <c r="B27" i="24"/>
  <c r="K9" i="24"/>
  <c r="B11" i="24" s="1"/>
  <c r="B12" i="24" s="1"/>
  <c r="B27" i="23"/>
  <c r="K9" i="23"/>
  <c r="G11" i="23" s="1"/>
  <c r="G12" i="23" s="1"/>
  <c r="K9" i="20"/>
  <c r="B11" i="20" s="1"/>
  <c r="B12" i="20" s="1"/>
  <c r="K9" i="22"/>
  <c r="B11" i="22" s="1"/>
  <c r="B12" i="22" s="1"/>
  <c r="B27" i="22"/>
  <c r="K9" i="21"/>
  <c r="B11" i="21" s="1"/>
  <c r="B12" i="21" s="1"/>
  <c r="K9" i="19"/>
  <c r="B11" i="19" s="1"/>
  <c r="B12" i="19" s="1"/>
  <c r="B27" i="18"/>
  <c r="K9" i="18"/>
  <c r="K9" i="30"/>
  <c r="C11" i="30" s="1"/>
  <c r="C12" i="30" s="1"/>
  <c r="J11" i="28"/>
  <c r="J12" i="28" s="1"/>
  <c r="J15" i="28" s="1"/>
  <c r="J18" i="28" s="1"/>
  <c r="J22" i="28" s="1"/>
  <c r="K9" i="40"/>
  <c r="J11" i="40"/>
  <c r="J12" i="40" s="1"/>
  <c r="J15" i="40" s="1"/>
  <c r="J18" i="40" s="1"/>
  <c r="J22" i="40" s="1"/>
  <c r="J11" i="14"/>
  <c r="K9" i="41"/>
  <c r="C11" i="41" s="1"/>
  <c r="C12" i="41" s="1"/>
  <c r="B27" i="46"/>
  <c r="K9" i="46"/>
  <c r="J12" i="41"/>
  <c r="J15" i="41" s="1"/>
  <c r="J18" i="41" s="1"/>
  <c r="J22" i="41" s="1"/>
  <c r="K9" i="1"/>
  <c r="B27" i="1"/>
  <c r="K9" i="11"/>
  <c r="K9" i="35"/>
  <c r="J11" i="31"/>
  <c r="J12" i="31" s="1"/>
  <c r="J15" i="31" s="1"/>
  <c r="J18" i="31" s="1"/>
  <c r="J22" i="31" s="1"/>
  <c r="J12" i="1"/>
  <c r="J15" i="1" s="1"/>
  <c r="J18" i="1" s="1"/>
  <c r="J22" i="1" s="1"/>
  <c r="J12" i="36"/>
  <c r="J15" i="36" s="1"/>
  <c r="J18" i="36" s="1"/>
  <c r="J22" i="36" s="1"/>
  <c r="J12" i="35"/>
  <c r="J15" i="35" s="1"/>
  <c r="J18" i="35" s="1"/>
  <c r="J22" i="35" s="1"/>
  <c r="J12" i="34"/>
  <c r="J15" i="34" s="1"/>
  <c r="J18" i="34" s="1"/>
  <c r="J22" i="34" s="1"/>
  <c r="K9" i="31"/>
  <c r="K9" i="15"/>
  <c r="H11" i="15" s="1"/>
  <c r="H12" i="15" s="1"/>
  <c r="K9" i="13"/>
  <c r="K9" i="8"/>
  <c r="K9" i="37"/>
  <c r="D11" i="37" s="1"/>
  <c r="D12" i="37" s="1"/>
  <c r="C15" i="48" l="1"/>
  <c r="I15" i="48"/>
  <c r="I18" i="48" s="1"/>
  <c r="I22" i="48" s="1"/>
  <c r="H14" i="48"/>
  <c r="H15" i="48" s="1"/>
  <c r="H17" i="48" s="1"/>
  <c r="H18" i="48" s="1"/>
  <c r="H22" i="48" s="1"/>
  <c r="D14" i="48"/>
  <c r="D15" i="48" s="1"/>
  <c r="G14" i="48"/>
  <c r="G15" i="48" s="1"/>
  <c r="E14" i="48"/>
  <c r="E15" i="48" s="1"/>
  <c r="B14" i="48"/>
  <c r="B15" i="48" s="1"/>
  <c r="K12" i="48"/>
  <c r="K50" i="43"/>
  <c r="K15" i="49"/>
  <c r="H17" i="49"/>
  <c r="H18" i="49" s="1"/>
  <c r="H22" i="49" s="1"/>
  <c r="E11" i="10"/>
  <c r="E12" i="10" s="1"/>
  <c r="H11" i="7"/>
  <c r="H12" i="7" s="1"/>
  <c r="H11" i="45"/>
  <c r="H12" i="45" s="1"/>
  <c r="H11" i="10"/>
  <c r="H12" i="10" s="1"/>
  <c r="I11" i="5"/>
  <c r="I12" i="5" s="1"/>
  <c r="I14" i="5" s="1"/>
  <c r="C14" i="5" s="1"/>
  <c r="C15" i="5" s="1"/>
  <c r="D11" i="45"/>
  <c r="D12" i="45" s="1"/>
  <c r="G11" i="45"/>
  <c r="G12" i="45" s="1"/>
  <c r="B11" i="45"/>
  <c r="B12" i="45" s="1"/>
  <c r="E11" i="45"/>
  <c r="E12" i="45" s="1"/>
  <c r="G11" i="2"/>
  <c r="G12" i="2" s="1"/>
  <c r="B11" i="2"/>
  <c r="B12" i="2" s="1"/>
  <c r="E11" i="5"/>
  <c r="E12" i="5" s="1"/>
  <c r="B11" i="5"/>
  <c r="B12" i="5" s="1"/>
  <c r="H11" i="5"/>
  <c r="H12" i="5" s="1"/>
  <c r="E11" i="7"/>
  <c r="E12" i="7" s="1"/>
  <c r="D11" i="7"/>
  <c r="D12" i="7" s="1"/>
  <c r="I11" i="7"/>
  <c r="I12" i="7" s="1"/>
  <c r="I14" i="7" s="1"/>
  <c r="C11" i="7"/>
  <c r="C12" i="7" s="1"/>
  <c r="G11" i="7"/>
  <c r="G12" i="7" s="1"/>
  <c r="K9" i="39"/>
  <c r="D11" i="39" s="1"/>
  <c r="D12" i="39" s="1"/>
  <c r="C11" i="34"/>
  <c r="C12" i="34" s="1"/>
  <c r="D11" i="34"/>
  <c r="D12" i="34" s="1"/>
  <c r="E11" i="34"/>
  <c r="E12" i="34" s="1"/>
  <c r="C11" i="45"/>
  <c r="C12" i="45" s="1"/>
  <c r="K9" i="44"/>
  <c r="D11" i="44" s="1"/>
  <c r="D12" i="44" s="1"/>
  <c r="C11" i="12"/>
  <c r="C12" i="12" s="1"/>
  <c r="E11" i="12"/>
  <c r="E12" i="12" s="1"/>
  <c r="G11" i="12"/>
  <c r="G12" i="12" s="1"/>
  <c r="G11" i="5"/>
  <c r="G12" i="5" s="1"/>
  <c r="D11" i="5"/>
  <c r="D12" i="5" s="1"/>
  <c r="G11" i="10"/>
  <c r="G12" i="10" s="1"/>
  <c r="B11" i="10"/>
  <c r="B12" i="10" s="1"/>
  <c r="C11" i="32"/>
  <c r="C12" i="32" s="1"/>
  <c r="B11" i="34"/>
  <c r="B12" i="34" s="1"/>
  <c r="G11" i="34"/>
  <c r="G12" i="34" s="1"/>
  <c r="I11" i="34"/>
  <c r="I12" i="34" s="1"/>
  <c r="I14" i="34" s="1"/>
  <c r="D11" i="12"/>
  <c r="D12" i="12" s="1"/>
  <c r="I11" i="12"/>
  <c r="I12" i="12" s="1"/>
  <c r="I14" i="12" s="1"/>
  <c r="H11" i="25"/>
  <c r="H12" i="25" s="1"/>
  <c r="I11" i="14"/>
  <c r="I12" i="14" s="1"/>
  <c r="I14" i="14" s="1"/>
  <c r="C11" i="10"/>
  <c r="C12" i="10" s="1"/>
  <c r="I11" i="10"/>
  <c r="I12" i="10" s="1"/>
  <c r="I14" i="10" s="1"/>
  <c r="I11" i="2"/>
  <c r="I12" i="2" s="1"/>
  <c r="I14" i="2" s="1"/>
  <c r="B14" i="2" s="1"/>
  <c r="H11" i="2"/>
  <c r="H12" i="2" s="1"/>
  <c r="D11" i="2"/>
  <c r="D12" i="2" s="1"/>
  <c r="E11" i="2"/>
  <c r="E12" i="2" s="1"/>
  <c r="H11" i="22"/>
  <c r="H12" i="22" s="1"/>
  <c r="B11" i="29"/>
  <c r="B12" i="29" s="1"/>
  <c r="H11" i="29"/>
  <c r="H12" i="29" s="1"/>
  <c r="H11" i="12"/>
  <c r="H12" i="12" s="1"/>
  <c r="E11" i="30"/>
  <c r="E12" i="30" s="1"/>
  <c r="D11" i="19"/>
  <c r="D12" i="19" s="1"/>
  <c r="H11" i="20"/>
  <c r="H12" i="20" s="1"/>
  <c r="D11" i="20"/>
  <c r="D12" i="20" s="1"/>
  <c r="D11" i="23"/>
  <c r="D12" i="23" s="1"/>
  <c r="D11" i="24"/>
  <c r="D12" i="24" s="1"/>
  <c r="D11" i="25"/>
  <c r="D12" i="25" s="1"/>
  <c r="E11" i="32"/>
  <c r="E12" i="32" s="1"/>
  <c r="E11" i="36"/>
  <c r="E12" i="36" s="1"/>
  <c r="K9" i="38"/>
  <c r="D11" i="38" s="1"/>
  <c r="D12" i="38" s="1"/>
  <c r="C11" i="36"/>
  <c r="C12" i="36" s="1"/>
  <c r="G11" i="37"/>
  <c r="G12" i="37" s="1"/>
  <c r="C11" i="13"/>
  <c r="C12" i="13" s="1"/>
  <c r="H11" i="13"/>
  <c r="H12" i="13" s="1"/>
  <c r="D11" i="13"/>
  <c r="D12" i="13" s="1"/>
  <c r="E11" i="13"/>
  <c r="E12" i="13" s="1"/>
  <c r="B11" i="13"/>
  <c r="B12" i="13" s="1"/>
  <c r="I11" i="13"/>
  <c r="I12" i="13" s="1"/>
  <c r="E11" i="11"/>
  <c r="E12" i="11" s="1"/>
  <c r="I11" i="11"/>
  <c r="I12" i="11" s="1"/>
  <c r="D11" i="11"/>
  <c r="D12" i="11" s="1"/>
  <c r="H11" i="11"/>
  <c r="H12" i="11" s="1"/>
  <c r="C11" i="11"/>
  <c r="C12" i="11" s="1"/>
  <c r="C11" i="37"/>
  <c r="C12" i="37" s="1"/>
  <c r="E11" i="37"/>
  <c r="E12" i="37" s="1"/>
  <c r="H11" i="37"/>
  <c r="H12" i="37" s="1"/>
  <c r="B11" i="37"/>
  <c r="B12" i="37" s="1"/>
  <c r="I11" i="15"/>
  <c r="I12" i="15" s="1"/>
  <c r="D11" i="15"/>
  <c r="D12" i="15" s="1"/>
  <c r="B11" i="15"/>
  <c r="B12" i="15" s="1"/>
  <c r="E11" i="15"/>
  <c r="E12" i="15" s="1"/>
  <c r="C11" i="15"/>
  <c r="C12" i="15" s="1"/>
  <c r="G11" i="46"/>
  <c r="G12" i="46" s="1"/>
  <c r="H11" i="46"/>
  <c r="H12" i="46" s="1"/>
  <c r="D11" i="46"/>
  <c r="D12" i="46" s="1"/>
  <c r="I11" i="46"/>
  <c r="I12" i="46" s="1"/>
  <c r="E11" i="46"/>
  <c r="E12" i="46" s="1"/>
  <c r="C11" i="46"/>
  <c r="C12" i="46" s="1"/>
  <c r="B11" i="46"/>
  <c r="B12" i="46" s="1"/>
  <c r="B11" i="40"/>
  <c r="B12" i="40" s="1"/>
  <c r="I11" i="40"/>
  <c r="I12" i="40" s="1"/>
  <c r="G11" i="40"/>
  <c r="G12" i="40" s="1"/>
  <c r="D11" i="40"/>
  <c r="D12" i="40" s="1"/>
  <c r="H11" i="40"/>
  <c r="H12" i="40" s="1"/>
  <c r="E11" i="40"/>
  <c r="E12" i="40" s="1"/>
  <c r="C11" i="40"/>
  <c r="C12" i="40" s="1"/>
  <c r="B11" i="28"/>
  <c r="B12" i="28" s="1"/>
  <c r="D11" i="28"/>
  <c r="D12" i="28" s="1"/>
  <c r="I11" i="30"/>
  <c r="I12" i="30" s="1"/>
  <c r="D11" i="30"/>
  <c r="D12" i="30" s="1"/>
  <c r="H11" i="30"/>
  <c r="H12" i="30" s="1"/>
  <c r="B11" i="30"/>
  <c r="B12" i="30" s="1"/>
  <c r="E11" i="18"/>
  <c r="E12" i="18" s="1"/>
  <c r="H11" i="18"/>
  <c r="H12" i="18" s="1"/>
  <c r="B11" i="18"/>
  <c r="B12" i="18" s="1"/>
  <c r="C11" i="18"/>
  <c r="C12" i="18" s="1"/>
  <c r="I11" i="18"/>
  <c r="I12" i="18" s="1"/>
  <c r="D11" i="18"/>
  <c r="D12" i="18" s="1"/>
  <c r="C11" i="21"/>
  <c r="C12" i="21" s="1"/>
  <c r="I11" i="21"/>
  <c r="I12" i="21" s="1"/>
  <c r="E11" i="21"/>
  <c r="E12" i="21" s="1"/>
  <c r="D11" i="21"/>
  <c r="D12" i="21" s="1"/>
  <c r="H11" i="21"/>
  <c r="H12" i="21" s="1"/>
  <c r="I11" i="20"/>
  <c r="I12" i="20" s="1"/>
  <c r="C11" i="20"/>
  <c r="C12" i="20" s="1"/>
  <c r="E11" i="20"/>
  <c r="E12" i="20" s="1"/>
  <c r="E11" i="25"/>
  <c r="E12" i="25" s="1"/>
  <c r="I11" i="25"/>
  <c r="I12" i="25" s="1"/>
  <c r="C11" i="25"/>
  <c r="C12" i="25" s="1"/>
  <c r="C11" i="29"/>
  <c r="C12" i="29" s="1"/>
  <c r="I11" i="29"/>
  <c r="I12" i="29" s="1"/>
  <c r="E11" i="29"/>
  <c r="E12" i="29" s="1"/>
  <c r="B11" i="6"/>
  <c r="B12" i="6" s="1"/>
  <c r="C11" i="6"/>
  <c r="C12" i="6" s="1"/>
  <c r="G11" i="6"/>
  <c r="G12" i="6" s="1"/>
  <c r="I11" i="6"/>
  <c r="I12" i="6" s="1"/>
  <c r="D11" i="6"/>
  <c r="D12" i="6" s="1"/>
  <c r="H11" i="6"/>
  <c r="H12" i="6" s="1"/>
  <c r="E11" i="6"/>
  <c r="E12" i="6" s="1"/>
  <c r="H11" i="17"/>
  <c r="H12" i="17" s="1"/>
  <c r="E11" i="17"/>
  <c r="E12" i="17" s="1"/>
  <c r="C11" i="17"/>
  <c r="C12" i="17" s="1"/>
  <c r="B11" i="17"/>
  <c r="B12" i="17" s="1"/>
  <c r="I11" i="17"/>
  <c r="I12" i="17" s="1"/>
  <c r="D11" i="17"/>
  <c r="D12" i="17" s="1"/>
  <c r="G11" i="17"/>
  <c r="G12" i="17" s="1"/>
  <c r="B11" i="36"/>
  <c r="B12" i="36" s="1"/>
  <c r="I11" i="36"/>
  <c r="I12" i="36" s="1"/>
  <c r="H11" i="36"/>
  <c r="H12" i="36" s="1"/>
  <c r="D11" i="36"/>
  <c r="D12" i="36" s="1"/>
  <c r="I14" i="45"/>
  <c r="I15" i="45" s="1"/>
  <c r="I18" i="45" s="1"/>
  <c r="I22" i="45" s="1"/>
  <c r="C11" i="35"/>
  <c r="C12" i="35" s="1"/>
  <c r="B11" i="11"/>
  <c r="B12" i="11" s="1"/>
  <c r="I11" i="37"/>
  <c r="I12" i="37" s="1"/>
  <c r="E11" i="41"/>
  <c r="E12" i="41" s="1"/>
  <c r="H11" i="23"/>
  <c r="H12" i="23" s="1"/>
  <c r="H11" i="24"/>
  <c r="H12" i="24" s="1"/>
  <c r="J12" i="14"/>
  <c r="J15" i="14" s="1"/>
  <c r="J18" i="14" s="1"/>
  <c r="J22" i="14" s="1"/>
  <c r="E11" i="28"/>
  <c r="E12" i="28" s="1"/>
  <c r="C11" i="28"/>
  <c r="C12" i="28" s="1"/>
  <c r="D11" i="22"/>
  <c r="D12" i="22" s="1"/>
  <c r="B11" i="27"/>
  <c r="B12" i="27" s="1"/>
  <c r="H11" i="28"/>
  <c r="H12" i="28" s="1"/>
  <c r="H11" i="14"/>
  <c r="H12" i="14" s="1"/>
  <c r="G11" i="15"/>
  <c r="G12" i="15" s="1"/>
  <c r="G11" i="11"/>
  <c r="G12" i="11" s="1"/>
  <c r="G11" i="18"/>
  <c r="G12" i="18" s="1"/>
  <c r="G11" i="21"/>
  <c r="G12" i="21" s="1"/>
  <c r="G11" i="25"/>
  <c r="G12" i="25" s="1"/>
  <c r="G11" i="29"/>
  <c r="G12" i="29" s="1"/>
  <c r="E11" i="8"/>
  <c r="E12" i="8" s="1"/>
  <c r="C11" i="8"/>
  <c r="C12" i="8" s="1"/>
  <c r="H11" i="8"/>
  <c r="H12" i="8" s="1"/>
  <c r="D11" i="8"/>
  <c r="D12" i="8" s="1"/>
  <c r="I11" i="8"/>
  <c r="I12" i="8" s="1"/>
  <c r="G11" i="8"/>
  <c r="G12" i="8" s="1"/>
  <c r="B11" i="8"/>
  <c r="B12" i="8" s="1"/>
  <c r="D11" i="31"/>
  <c r="D12" i="31" s="1"/>
  <c r="E11" i="31"/>
  <c r="E12" i="31" s="1"/>
  <c r="C11" i="31"/>
  <c r="C12" i="31" s="1"/>
  <c r="G11" i="31"/>
  <c r="G12" i="31" s="1"/>
  <c r="I11" i="31"/>
  <c r="I12" i="31" s="1"/>
  <c r="B11" i="31"/>
  <c r="B12" i="31" s="1"/>
  <c r="H11" i="31"/>
  <c r="H12" i="31" s="1"/>
  <c r="B11" i="35"/>
  <c r="B12" i="35" s="1"/>
  <c r="D11" i="35"/>
  <c r="D12" i="35" s="1"/>
  <c r="H11" i="35"/>
  <c r="H12" i="35" s="1"/>
  <c r="I11" i="35"/>
  <c r="I12" i="35" s="1"/>
  <c r="E11" i="35"/>
  <c r="E12" i="35" s="1"/>
  <c r="G11" i="1"/>
  <c r="G12" i="1" s="1"/>
  <c r="I11" i="1"/>
  <c r="I12" i="1" s="1"/>
  <c r="C11" i="1"/>
  <c r="C12" i="1" s="1"/>
  <c r="D11" i="1"/>
  <c r="D12" i="1" s="1"/>
  <c r="H11" i="1"/>
  <c r="H12" i="1" s="1"/>
  <c r="B11" i="1"/>
  <c r="B12" i="1" s="1"/>
  <c r="E11" i="1"/>
  <c r="E12" i="1" s="1"/>
  <c r="B11" i="41"/>
  <c r="B12" i="41" s="1"/>
  <c r="H11" i="41"/>
  <c r="H12" i="41" s="1"/>
  <c r="D11" i="41"/>
  <c r="D12" i="41" s="1"/>
  <c r="I11" i="41"/>
  <c r="I12" i="41" s="1"/>
  <c r="G11" i="41"/>
  <c r="G12" i="41" s="1"/>
  <c r="C11" i="14"/>
  <c r="C12" i="14" s="1"/>
  <c r="E11" i="14"/>
  <c r="E12" i="14" s="1"/>
  <c r="I11" i="19"/>
  <c r="I12" i="19" s="1"/>
  <c r="H11" i="19"/>
  <c r="H12" i="19" s="1"/>
  <c r="E11" i="19"/>
  <c r="E12" i="19" s="1"/>
  <c r="C11" i="19"/>
  <c r="C12" i="19" s="1"/>
  <c r="I11" i="22"/>
  <c r="I12" i="22" s="1"/>
  <c r="E11" i="22"/>
  <c r="E12" i="22" s="1"/>
  <c r="C11" i="22"/>
  <c r="C12" i="22" s="1"/>
  <c r="E11" i="23"/>
  <c r="E12" i="23" s="1"/>
  <c r="C11" i="23"/>
  <c r="C12" i="23" s="1"/>
  <c r="B11" i="23"/>
  <c r="B12" i="23" s="1"/>
  <c r="I11" i="23"/>
  <c r="I12" i="23" s="1"/>
  <c r="I11" i="24"/>
  <c r="I12" i="24" s="1"/>
  <c r="E11" i="24"/>
  <c r="E12" i="24" s="1"/>
  <c r="C11" i="24"/>
  <c r="C12" i="24" s="1"/>
  <c r="G11" i="24"/>
  <c r="G12" i="24" s="1"/>
  <c r="I11" i="27"/>
  <c r="I12" i="27" s="1"/>
  <c r="G11" i="27"/>
  <c r="G12" i="27" s="1"/>
  <c r="E11" i="27"/>
  <c r="E12" i="27" s="1"/>
  <c r="H11" i="27"/>
  <c r="H12" i="27" s="1"/>
  <c r="C11" i="27"/>
  <c r="C12" i="27" s="1"/>
  <c r="I11" i="4"/>
  <c r="I12" i="4" s="1"/>
  <c r="C11" i="4"/>
  <c r="C12" i="4" s="1"/>
  <c r="E11" i="4"/>
  <c r="E12" i="4" s="1"/>
  <c r="B11" i="4"/>
  <c r="B12" i="4" s="1"/>
  <c r="G11" i="4"/>
  <c r="G12" i="4" s="1"/>
  <c r="D11" i="4"/>
  <c r="D12" i="4" s="1"/>
  <c r="B11" i="9"/>
  <c r="B12" i="9" s="1"/>
  <c r="E11" i="9"/>
  <c r="E12" i="9" s="1"/>
  <c r="I11" i="9"/>
  <c r="I12" i="9" s="1"/>
  <c r="G11" i="9"/>
  <c r="G12" i="9" s="1"/>
  <c r="D11" i="9"/>
  <c r="D12" i="9" s="1"/>
  <c r="C11" i="9"/>
  <c r="C12" i="9" s="1"/>
  <c r="H11" i="9"/>
  <c r="H12" i="9" s="1"/>
  <c r="D11" i="32"/>
  <c r="D12" i="32" s="1"/>
  <c r="H11" i="32"/>
  <c r="H12" i="32" s="1"/>
  <c r="B11" i="32"/>
  <c r="B12" i="32" s="1"/>
  <c r="I11" i="32"/>
  <c r="I12" i="32" s="1"/>
  <c r="I11" i="28"/>
  <c r="I12" i="28" s="1"/>
  <c r="D11" i="14"/>
  <c r="D12" i="14" s="1"/>
  <c r="B11" i="14"/>
  <c r="B12" i="14" s="1"/>
  <c r="G11" i="13"/>
  <c r="G12" i="13" s="1"/>
  <c r="G11" i="22"/>
  <c r="G12" i="22" s="1"/>
  <c r="G11" i="30"/>
  <c r="G12" i="30" s="1"/>
  <c r="G11" i="19"/>
  <c r="G12" i="19" s="1"/>
  <c r="G11" i="20"/>
  <c r="G12" i="20" s="1"/>
  <c r="G11" i="35"/>
  <c r="G12" i="35" s="1"/>
  <c r="G11" i="14"/>
  <c r="G12" i="14" s="1"/>
  <c r="G11" i="28"/>
  <c r="G12" i="28" s="1"/>
  <c r="K15" i="48" l="1"/>
  <c r="C17" i="49"/>
  <c r="C18" i="49" s="1"/>
  <c r="D17" i="49"/>
  <c r="D18" i="49" s="1"/>
  <c r="G17" i="49"/>
  <c r="G18" i="49" s="1"/>
  <c r="G20" i="49" s="1"/>
  <c r="E17" i="49"/>
  <c r="E18" i="49" s="1"/>
  <c r="B17" i="49"/>
  <c r="B18" i="49" s="1"/>
  <c r="G14" i="5"/>
  <c r="G15" i="5" s="1"/>
  <c r="B15" i="2"/>
  <c r="H14" i="5"/>
  <c r="H15" i="5" s="1"/>
  <c r="H17" i="5" s="1"/>
  <c r="D17" i="5" s="1"/>
  <c r="E14" i="5"/>
  <c r="E15" i="5" s="1"/>
  <c r="I15" i="5"/>
  <c r="I18" i="5" s="1"/>
  <c r="I22" i="5" s="1"/>
  <c r="B14" i="5"/>
  <c r="B15" i="5" s="1"/>
  <c r="K12" i="45"/>
  <c r="G11" i="44"/>
  <c r="G12" i="44" s="1"/>
  <c r="E17" i="48"/>
  <c r="E18" i="48" s="1"/>
  <c r="C17" i="48"/>
  <c r="C18" i="48" s="1"/>
  <c r="B17" i="48"/>
  <c r="B18" i="48" s="1"/>
  <c r="D17" i="48"/>
  <c r="D18" i="48" s="1"/>
  <c r="G17" i="48"/>
  <c r="G18" i="48" s="1"/>
  <c r="G20" i="48" s="1"/>
  <c r="D14" i="5"/>
  <c r="D15" i="5" s="1"/>
  <c r="H14" i="2"/>
  <c r="H15" i="2" s="1"/>
  <c r="H17" i="2" s="1"/>
  <c r="H18" i="2" s="1"/>
  <c r="H22" i="2" s="1"/>
  <c r="G14" i="2"/>
  <c r="G15" i="2" s="1"/>
  <c r="K12" i="5"/>
  <c r="K12" i="7"/>
  <c r="K12" i="10"/>
  <c r="G11" i="39"/>
  <c r="G12" i="39" s="1"/>
  <c r="E11" i="39"/>
  <c r="E12" i="39" s="1"/>
  <c r="C11" i="39"/>
  <c r="C12" i="39" s="1"/>
  <c r="I11" i="39"/>
  <c r="I12" i="39" s="1"/>
  <c r="I14" i="39" s="1"/>
  <c r="I15" i="39" s="1"/>
  <c r="I18" i="39" s="1"/>
  <c r="I22" i="39" s="1"/>
  <c r="B11" i="39"/>
  <c r="B12" i="39" s="1"/>
  <c r="H11" i="39"/>
  <c r="H12" i="39" s="1"/>
  <c r="C11" i="44"/>
  <c r="C12" i="44" s="1"/>
  <c r="H11" i="44"/>
  <c r="H12" i="44" s="1"/>
  <c r="B11" i="44"/>
  <c r="B12" i="44" s="1"/>
  <c r="I11" i="44"/>
  <c r="I12" i="44" s="1"/>
  <c r="I14" i="44" s="1"/>
  <c r="I15" i="44" s="1"/>
  <c r="I18" i="44" s="1"/>
  <c r="I22" i="44" s="1"/>
  <c r="E11" i="44"/>
  <c r="E12" i="44" s="1"/>
  <c r="K12" i="12"/>
  <c r="K12" i="34"/>
  <c r="D14" i="2"/>
  <c r="D15" i="2" s="1"/>
  <c r="I15" i="2"/>
  <c r="I18" i="2" s="1"/>
  <c r="I22" i="2" s="1"/>
  <c r="C14" i="2"/>
  <c r="C15" i="2" s="1"/>
  <c r="E14" i="2"/>
  <c r="E15" i="2" s="1"/>
  <c r="K12" i="2"/>
  <c r="K12" i="24"/>
  <c r="K12" i="19"/>
  <c r="K12" i="20"/>
  <c r="C11" i="38"/>
  <c r="C12" i="38" s="1"/>
  <c r="B11" i="38"/>
  <c r="B12" i="38" s="1"/>
  <c r="G11" i="38"/>
  <c r="G12" i="38" s="1"/>
  <c r="H11" i="38"/>
  <c r="H12" i="38" s="1"/>
  <c r="I11" i="38"/>
  <c r="I12" i="38" s="1"/>
  <c r="I14" i="38" s="1"/>
  <c r="C14" i="38" s="1"/>
  <c r="E11" i="38"/>
  <c r="E12" i="38" s="1"/>
  <c r="B14" i="12"/>
  <c r="B15" i="12" s="1"/>
  <c r="C14" i="12"/>
  <c r="C15" i="12" s="1"/>
  <c r="D14" i="12"/>
  <c r="D15" i="12" s="1"/>
  <c r="E14" i="12"/>
  <c r="E15" i="12" s="1"/>
  <c r="H14" i="12"/>
  <c r="H15" i="12" s="1"/>
  <c r="G14" i="12"/>
  <c r="G15" i="12" s="1"/>
  <c r="I14" i="32"/>
  <c r="I15" i="32" s="1"/>
  <c r="I18" i="32" s="1"/>
  <c r="I22" i="32" s="1"/>
  <c r="K12" i="32"/>
  <c r="K12" i="9"/>
  <c r="I14" i="4"/>
  <c r="I15" i="4" s="1"/>
  <c r="I18" i="4" s="1"/>
  <c r="I22" i="4" s="1"/>
  <c r="G14" i="7"/>
  <c r="G15" i="7" s="1"/>
  <c r="H14" i="7"/>
  <c r="H15" i="7" s="1"/>
  <c r="C14" i="7"/>
  <c r="C15" i="7" s="1"/>
  <c r="D14" i="7"/>
  <c r="D15" i="7" s="1"/>
  <c r="E14" i="7"/>
  <c r="E15" i="7" s="1"/>
  <c r="B14" i="7"/>
  <c r="B15" i="7" s="1"/>
  <c r="I14" i="27"/>
  <c r="I15" i="27" s="1"/>
  <c r="I18" i="27" s="1"/>
  <c r="I22" i="27" s="1"/>
  <c r="K12" i="23"/>
  <c r="I14" i="19"/>
  <c r="I15" i="19" s="1"/>
  <c r="I18" i="19" s="1"/>
  <c r="I22" i="19" s="1"/>
  <c r="K12" i="41"/>
  <c r="I14" i="35"/>
  <c r="I15" i="35" s="1"/>
  <c r="I18" i="35" s="1"/>
  <c r="I22" i="35" s="1"/>
  <c r="K12" i="31"/>
  <c r="K12" i="27"/>
  <c r="I14" i="37"/>
  <c r="I15" i="37" s="1"/>
  <c r="I18" i="37" s="1"/>
  <c r="I22" i="37" s="1"/>
  <c r="D14" i="10"/>
  <c r="D15" i="10" s="1"/>
  <c r="B14" i="10"/>
  <c r="B15" i="10" s="1"/>
  <c r="G14" i="10"/>
  <c r="G15" i="10" s="1"/>
  <c r="H14" i="10"/>
  <c r="H15" i="10" s="1"/>
  <c r="E14" i="10"/>
  <c r="E15" i="10" s="1"/>
  <c r="C14" i="10"/>
  <c r="C15" i="10" s="1"/>
  <c r="K12" i="36"/>
  <c r="I14" i="17"/>
  <c r="I15" i="17" s="1"/>
  <c r="I18" i="17" s="1"/>
  <c r="I22" i="17" s="1"/>
  <c r="K12" i="6"/>
  <c r="I14" i="25"/>
  <c r="I15" i="25" s="1"/>
  <c r="I18" i="25" s="1"/>
  <c r="I22" i="25" s="1"/>
  <c r="I14" i="20"/>
  <c r="I15" i="20" s="1"/>
  <c r="I18" i="20" s="1"/>
  <c r="I22" i="20" s="1"/>
  <c r="I14" i="21"/>
  <c r="I15" i="21" s="1"/>
  <c r="I18" i="21" s="1"/>
  <c r="I22" i="21" s="1"/>
  <c r="I14" i="18"/>
  <c r="I15" i="18" s="1"/>
  <c r="I18" i="18" s="1"/>
  <c r="I22" i="18" s="1"/>
  <c r="K12" i="18"/>
  <c r="K12" i="30"/>
  <c r="I14" i="30"/>
  <c r="I15" i="30" s="1"/>
  <c r="I18" i="30" s="1"/>
  <c r="I22" i="30" s="1"/>
  <c r="K12" i="28"/>
  <c r="K12" i="40"/>
  <c r="K12" i="46"/>
  <c r="K12" i="15"/>
  <c r="I14" i="15"/>
  <c r="I15" i="15" s="1"/>
  <c r="I18" i="15" s="1"/>
  <c r="I22" i="15" s="1"/>
  <c r="K12" i="37"/>
  <c r="I14" i="11"/>
  <c r="I15" i="11" s="1"/>
  <c r="I18" i="11" s="1"/>
  <c r="I22" i="11" s="1"/>
  <c r="K12" i="13"/>
  <c r="D14" i="14"/>
  <c r="D15" i="14" s="1"/>
  <c r="B14" i="14"/>
  <c r="B15" i="14" s="1"/>
  <c r="E14" i="14"/>
  <c r="E15" i="14" s="1"/>
  <c r="G14" i="14"/>
  <c r="G15" i="14" s="1"/>
  <c r="H14" i="14"/>
  <c r="H15" i="14" s="1"/>
  <c r="C14" i="14"/>
  <c r="C15" i="14" s="1"/>
  <c r="K12" i="29"/>
  <c r="G14" i="34"/>
  <c r="G15" i="34" s="1"/>
  <c r="E14" i="34"/>
  <c r="E15" i="34" s="1"/>
  <c r="C14" i="34"/>
  <c r="C15" i="34" s="1"/>
  <c r="H14" i="34"/>
  <c r="H15" i="34" s="1"/>
  <c r="B14" i="34"/>
  <c r="B15" i="34" s="1"/>
  <c r="D14" i="34"/>
  <c r="D15" i="34" s="1"/>
  <c r="I14" i="9"/>
  <c r="I15" i="9" s="1"/>
  <c r="I18" i="9" s="1"/>
  <c r="I22" i="9" s="1"/>
  <c r="K12" i="14"/>
  <c r="I14" i="28"/>
  <c r="I15" i="28" s="1"/>
  <c r="I18" i="28" s="1"/>
  <c r="I22" i="28" s="1"/>
  <c r="K12" i="4"/>
  <c r="I14" i="24"/>
  <c r="I15" i="24" s="1"/>
  <c r="I18" i="24" s="1"/>
  <c r="I22" i="24" s="1"/>
  <c r="I14" i="23"/>
  <c r="I15" i="23" s="1"/>
  <c r="I18" i="23" s="1"/>
  <c r="I22" i="23" s="1"/>
  <c r="I14" i="22"/>
  <c r="I15" i="22" s="1"/>
  <c r="I18" i="22" s="1"/>
  <c r="I22" i="22" s="1"/>
  <c r="I14" i="41"/>
  <c r="I15" i="41" s="1"/>
  <c r="I18" i="41" s="1"/>
  <c r="I22" i="41" s="1"/>
  <c r="K12" i="1"/>
  <c r="I14" i="1"/>
  <c r="I15" i="1" s="1"/>
  <c r="I18" i="1" s="1"/>
  <c r="I22" i="1" s="1"/>
  <c r="K12" i="35"/>
  <c r="I14" i="31"/>
  <c r="I15" i="31" s="1"/>
  <c r="I18" i="31" s="1"/>
  <c r="I22" i="31" s="1"/>
  <c r="K12" i="8"/>
  <c r="I14" i="8"/>
  <c r="I15" i="8" s="1"/>
  <c r="I18" i="8" s="1"/>
  <c r="I22" i="8" s="1"/>
  <c r="K12" i="11"/>
  <c r="D14" i="45"/>
  <c r="D15" i="45" s="1"/>
  <c r="H14" i="45"/>
  <c r="H15" i="45" s="1"/>
  <c r="G14" i="45"/>
  <c r="G15" i="45" s="1"/>
  <c r="B14" i="45"/>
  <c r="B15" i="45" s="1"/>
  <c r="C14" i="45"/>
  <c r="C15" i="45" s="1"/>
  <c r="E14" i="45"/>
  <c r="E15" i="45" s="1"/>
  <c r="I14" i="36"/>
  <c r="I15" i="36" s="1"/>
  <c r="I18" i="36" s="1"/>
  <c r="I22" i="36" s="1"/>
  <c r="K12" i="17"/>
  <c r="I14" i="6"/>
  <c r="I15" i="6" s="1"/>
  <c r="I18" i="6" s="1"/>
  <c r="I22" i="6" s="1"/>
  <c r="I14" i="29"/>
  <c r="I15" i="29" s="1"/>
  <c r="I18" i="29" s="1"/>
  <c r="I22" i="29" s="1"/>
  <c r="I14" i="40"/>
  <c r="I15" i="40" s="1"/>
  <c r="I18" i="40" s="1"/>
  <c r="I22" i="40" s="1"/>
  <c r="I14" i="46"/>
  <c r="I15" i="46" s="1"/>
  <c r="I18" i="46" s="1"/>
  <c r="I22" i="46" s="1"/>
  <c r="I14" i="13"/>
  <c r="I15" i="13" s="1"/>
  <c r="I18" i="13" s="1"/>
  <c r="I22" i="13" s="1"/>
  <c r="I15" i="12"/>
  <c r="I18" i="12" s="1"/>
  <c r="I22" i="12" s="1"/>
  <c r="I15" i="34"/>
  <c r="I18" i="34" s="1"/>
  <c r="I22" i="34" s="1"/>
  <c r="I15" i="7"/>
  <c r="I18" i="7" s="1"/>
  <c r="I22" i="7" s="1"/>
  <c r="I15" i="10"/>
  <c r="I18" i="10" s="1"/>
  <c r="I22" i="10" s="1"/>
  <c r="I15" i="14"/>
  <c r="I18" i="14" s="1"/>
  <c r="I22" i="14" s="1"/>
  <c r="K12" i="25"/>
  <c r="K12" i="22"/>
  <c r="K12" i="21"/>
  <c r="K18" i="49" l="1"/>
  <c r="G22" i="49"/>
  <c r="B20" i="49"/>
  <c r="C20" i="49"/>
  <c r="C22" i="49" s="1"/>
  <c r="D20" i="49"/>
  <c r="D22" i="49" s="1"/>
  <c r="E20" i="49"/>
  <c r="E22" i="49" s="1"/>
  <c r="G22" i="48"/>
  <c r="D20" i="48"/>
  <c r="D22" i="48" s="1"/>
  <c r="B20" i="48"/>
  <c r="C20" i="48"/>
  <c r="C22" i="48" s="1"/>
  <c r="E20" i="48"/>
  <c r="E22" i="48" s="1"/>
  <c r="K18" i="48"/>
  <c r="D18" i="5"/>
  <c r="K12" i="44"/>
  <c r="K15" i="2"/>
  <c r="B17" i="5"/>
  <c r="B18" i="5" s="1"/>
  <c r="H18" i="5"/>
  <c r="H22" i="5" s="1"/>
  <c r="E17" i="5"/>
  <c r="E18" i="5" s="1"/>
  <c r="C17" i="5"/>
  <c r="C18" i="5" s="1"/>
  <c r="G17" i="5"/>
  <c r="G18" i="5" s="1"/>
  <c r="G20" i="5" s="1"/>
  <c r="B20" i="5" s="1"/>
  <c r="K15" i="5"/>
  <c r="K12" i="39"/>
  <c r="B17" i="2"/>
  <c r="B18" i="2" s="1"/>
  <c r="E17" i="2"/>
  <c r="E18" i="2" s="1"/>
  <c r="D17" i="2"/>
  <c r="D18" i="2" s="1"/>
  <c r="C15" i="38"/>
  <c r="C17" i="2"/>
  <c r="C18" i="2" s="1"/>
  <c r="G17" i="2"/>
  <c r="G18" i="2" s="1"/>
  <c r="G20" i="2" s="1"/>
  <c r="D20" i="2" s="1"/>
  <c r="I15" i="38"/>
  <c r="I18" i="38" s="1"/>
  <c r="I22" i="38" s="1"/>
  <c r="D14" i="38"/>
  <c r="D15" i="38" s="1"/>
  <c r="G14" i="38"/>
  <c r="G15" i="38" s="1"/>
  <c r="B14" i="38"/>
  <c r="B15" i="38" s="1"/>
  <c r="K12" i="38"/>
  <c r="E14" i="38"/>
  <c r="E15" i="38" s="1"/>
  <c r="H14" i="38"/>
  <c r="H15" i="38" s="1"/>
  <c r="H17" i="38" s="1"/>
  <c r="H18" i="38" s="1"/>
  <c r="H22" i="38" s="1"/>
  <c r="H17" i="14"/>
  <c r="H18" i="14" s="1"/>
  <c r="H22" i="14" s="1"/>
  <c r="H17" i="45"/>
  <c r="H18" i="45" s="1"/>
  <c r="H22" i="45" s="1"/>
  <c r="E14" i="13"/>
  <c r="E15" i="13" s="1"/>
  <c r="H14" i="13"/>
  <c r="H15" i="13" s="1"/>
  <c r="B14" i="13"/>
  <c r="B15" i="13" s="1"/>
  <c r="C14" i="13"/>
  <c r="C15" i="13" s="1"/>
  <c r="G14" i="13"/>
  <c r="G15" i="13" s="1"/>
  <c r="D14" i="13"/>
  <c r="D15" i="13" s="1"/>
  <c r="D14" i="46"/>
  <c r="D15" i="46" s="1"/>
  <c r="C14" i="46"/>
  <c r="C15" i="46" s="1"/>
  <c r="H14" i="46"/>
  <c r="H15" i="46" s="1"/>
  <c r="B14" i="46"/>
  <c r="B15" i="46" s="1"/>
  <c r="G14" i="46"/>
  <c r="G15" i="46" s="1"/>
  <c r="E14" i="46"/>
  <c r="E15" i="46" s="1"/>
  <c r="B14" i="40"/>
  <c r="B15" i="40" s="1"/>
  <c r="D14" i="40"/>
  <c r="D15" i="40" s="1"/>
  <c r="G14" i="40"/>
  <c r="G15" i="40" s="1"/>
  <c r="C14" i="40"/>
  <c r="C15" i="40" s="1"/>
  <c r="E14" i="40"/>
  <c r="E15" i="40" s="1"/>
  <c r="H14" i="40"/>
  <c r="H15" i="40" s="1"/>
  <c r="B14" i="29"/>
  <c r="B15" i="29" s="1"/>
  <c r="D14" i="29"/>
  <c r="D15" i="29" s="1"/>
  <c r="H14" i="29"/>
  <c r="H15" i="29" s="1"/>
  <c r="C14" i="29"/>
  <c r="C15" i="29" s="1"/>
  <c r="G14" i="29"/>
  <c r="G15" i="29" s="1"/>
  <c r="E14" i="29"/>
  <c r="E15" i="29" s="1"/>
  <c r="D14" i="6"/>
  <c r="D15" i="6" s="1"/>
  <c r="E14" i="6"/>
  <c r="E15" i="6" s="1"/>
  <c r="G14" i="6"/>
  <c r="G15" i="6" s="1"/>
  <c r="B14" i="6"/>
  <c r="B15" i="6" s="1"/>
  <c r="C14" i="6"/>
  <c r="C15" i="6" s="1"/>
  <c r="H14" i="6"/>
  <c r="H15" i="6" s="1"/>
  <c r="H14" i="8"/>
  <c r="H15" i="8" s="1"/>
  <c r="B14" i="8"/>
  <c r="B15" i="8" s="1"/>
  <c r="C14" i="8"/>
  <c r="C15" i="8" s="1"/>
  <c r="D14" i="8"/>
  <c r="D15" i="8" s="1"/>
  <c r="E14" i="8"/>
  <c r="E15" i="8" s="1"/>
  <c r="G14" i="8"/>
  <c r="G15" i="8" s="1"/>
  <c r="G14" i="41"/>
  <c r="G15" i="41" s="1"/>
  <c r="B14" i="41"/>
  <c r="B15" i="41" s="1"/>
  <c r="D14" i="41"/>
  <c r="D15" i="41" s="1"/>
  <c r="H14" i="41"/>
  <c r="H15" i="41" s="1"/>
  <c r="C14" i="41"/>
  <c r="C15" i="41" s="1"/>
  <c r="E14" i="41"/>
  <c r="E15" i="41" s="1"/>
  <c r="B14" i="24"/>
  <c r="B15" i="24" s="1"/>
  <c r="C14" i="24"/>
  <c r="C15" i="24" s="1"/>
  <c r="D14" i="24"/>
  <c r="D15" i="24" s="1"/>
  <c r="E14" i="24"/>
  <c r="E15" i="24" s="1"/>
  <c r="G14" i="24"/>
  <c r="G15" i="24" s="1"/>
  <c r="H14" i="24"/>
  <c r="H15" i="24" s="1"/>
  <c r="H17" i="34"/>
  <c r="H18" i="34" s="1"/>
  <c r="H22" i="34" s="1"/>
  <c r="E14" i="11"/>
  <c r="E15" i="11" s="1"/>
  <c r="H14" i="11"/>
  <c r="H15" i="11" s="1"/>
  <c r="C14" i="11"/>
  <c r="C15" i="11" s="1"/>
  <c r="D14" i="11"/>
  <c r="D15" i="11" s="1"/>
  <c r="B14" i="11"/>
  <c r="B15" i="11" s="1"/>
  <c r="G14" i="11"/>
  <c r="G15" i="11" s="1"/>
  <c r="C14" i="15"/>
  <c r="C15" i="15" s="1"/>
  <c r="E14" i="15"/>
  <c r="E15" i="15" s="1"/>
  <c r="B14" i="15"/>
  <c r="B15" i="15" s="1"/>
  <c r="H14" i="15"/>
  <c r="H15" i="15" s="1"/>
  <c r="D14" i="15"/>
  <c r="D15" i="15" s="1"/>
  <c r="G14" i="15"/>
  <c r="G15" i="15" s="1"/>
  <c r="B14" i="39"/>
  <c r="B15" i="39" s="1"/>
  <c r="D14" i="39"/>
  <c r="D15" i="39" s="1"/>
  <c r="G14" i="39"/>
  <c r="G15" i="39" s="1"/>
  <c r="C14" i="39"/>
  <c r="C15" i="39" s="1"/>
  <c r="E14" i="39"/>
  <c r="E15" i="39" s="1"/>
  <c r="H14" i="39"/>
  <c r="H15" i="39" s="1"/>
  <c r="G14" i="20"/>
  <c r="G15" i="20" s="1"/>
  <c r="D14" i="20"/>
  <c r="D15" i="20" s="1"/>
  <c r="B14" i="20"/>
  <c r="B15" i="20" s="1"/>
  <c r="E14" i="20"/>
  <c r="E15" i="20" s="1"/>
  <c r="C14" i="20"/>
  <c r="C15" i="20" s="1"/>
  <c r="H14" i="20"/>
  <c r="H15" i="20" s="1"/>
  <c r="E14" i="25"/>
  <c r="E15" i="25" s="1"/>
  <c r="C14" i="25"/>
  <c r="C15" i="25" s="1"/>
  <c r="H14" i="25"/>
  <c r="H15" i="25" s="1"/>
  <c r="D14" i="25"/>
  <c r="D15" i="25" s="1"/>
  <c r="B14" i="25"/>
  <c r="B15" i="25" s="1"/>
  <c r="G14" i="25"/>
  <c r="G15" i="25" s="1"/>
  <c r="E14" i="44"/>
  <c r="E15" i="44" s="1"/>
  <c r="C14" i="44"/>
  <c r="C15" i="44" s="1"/>
  <c r="B14" i="44"/>
  <c r="B15" i="44" s="1"/>
  <c r="G14" i="44"/>
  <c r="G15" i="44" s="1"/>
  <c r="D14" i="44"/>
  <c r="D15" i="44" s="1"/>
  <c r="H14" i="44"/>
  <c r="H15" i="44" s="1"/>
  <c r="D14" i="17"/>
  <c r="D15" i="17" s="1"/>
  <c r="B14" i="17"/>
  <c r="B15" i="17" s="1"/>
  <c r="H14" i="17"/>
  <c r="H15" i="17" s="1"/>
  <c r="E14" i="17"/>
  <c r="E15" i="17" s="1"/>
  <c r="G14" i="17"/>
  <c r="G15" i="17" s="1"/>
  <c r="C14" i="17"/>
  <c r="C15" i="17" s="1"/>
  <c r="D14" i="35"/>
  <c r="D15" i="35" s="1"/>
  <c r="E14" i="35"/>
  <c r="E15" i="35" s="1"/>
  <c r="B14" i="35"/>
  <c r="B15" i="35" s="1"/>
  <c r="H14" i="35"/>
  <c r="H15" i="35" s="1"/>
  <c r="C14" i="35"/>
  <c r="C15" i="35" s="1"/>
  <c r="G14" i="35"/>
  <c r="G15" i="35" s="1"/>
  <c r="D14" i="27"/>
  <c r="D15" i="27" s="1"/>
  <c r="H14" i="27"/>
  <c r="H15" i="27" s="1"/>
  <c r="G14" i="27"/>
  <c r="G15" i="27" s="1"/>
  <c r="B14" i="27"/>
  <c r="B15" i="27" s="1"/>
  <c r="C14" i="27"/>
  <c r="C15" i="27" s="1"/>
  <c r="E14" i="27"/>
  <c r="E15" i="27" s="1"/>
  <c r="G14" i="4"/>
  <c r="G15" i="4" s="1"/>
  <c r="D14" i="4"/>
  <c r="D15" i="4" s="1"/>
  <c r="C14" i="4"/>
  <c r="C15" i="4" s="1"/>
  <c r="E14" i="4"/>
  <c r="E15" i="4" s="1"/>
  <c r="B14" i="4"/>
  <c r="B15" i="4" s="1"/>
  <c r="H14" i="4"/>
  <c r="H15" i="4" s="1"/>
  <c r="G14" i="32"/>
  <c r="G15" i="32" s="1"/>
  <c r="E14" i="32"/>
  <c r="E15" i="32" s="1"/>
  <c r="B14" i="32"/>
  <c r="B15" i="32" s="1"/>
  <c r="H14" i="32"/>
  <c r="H15" i="32" s="1"/>
  <c r="D14" i="32"/>
  <c r="D15" i="32" s="1"/>
  <c r="C14" i="32"/>
  <c r="C15" i="32" s="1"/>
  <c r="H17" i="12"/>
  <c r="H18" i="12" s="1"/>
  <c r="H22" i="12" s="1"/>
  <c r="K15" i="12"/>
  <c r="G14" i="36"/>
  <c r="G15" i="36" s="1"/>
  <c r="B14" i="36"/>
  <c r="B15" i="36" s="1"/>
  <c r="C14" i="36"/>
  <c r="C15" i="36" s="1"/>
  <c r="D14" i="36"/>
  <c r="D15" i="36" s="1"/>
  <c r="E14" i="36"/>
  <c r="E15" i="36" s="1"/>
  <c r="H14" i="36"/>
  <c r="H15" i="36" s="1"/>
  <c r="K15" i="45"/>
  <c r="G14" i="31"/>
  <c r="G15" i="31" s="1"/>
  <c r="E14" i="31"/>
  <c r="E15" i="31" s="1"/>
  <c r="B14" i="31"/>
  <c r="B15" i="31" s="1"/>
  <c r="H14" i="31"/>
  <c r="H15" i="31" s="1"/>
  <c r="C14" i="31"/>
  <c r="C15" i="31" s="1"/>
  <c r="D14" i="31"/>
  <c r="D15" i="31" s="1"/>
  <c r="C14" i="1"/>
  <c r="C15" i="1" s="1"/>
  <c r="E14" i="1"/>
  <c r="E15" i="1" s="1"/>
  <c r="H14" i="1"/>
  <c r="H15" i="1" s="1"/>
  <c r="D14" i="1"/>
  <c r="D15" i="1" s="1"/>
  <c r="G14" i="1"/>
  <c r="G15" i="1" s="1"/>
  <c r="B14" i="1"/>
  <c r="B15" i="1" s="1"/>
  <c r="B14" i="22"/>
  <c r="B15" i="22" s="1"/>
  <c r="H14" i="22"/>
  <c r="H15" i="22" s="1"/>
  <c r="D14" i="22"/>
  <c r="D15" i="22" s="1"/>
  <c r="C14" i="22"/>
  <c r="C15" i="22" s="1"/>
  <c r="G14" i="22"/>
  <c r="G15" i="22" s="1"/>
  <c r="E14" i="22"/>
  <c r="E15" i="22" s="1"/>
  <c r="G14" i="23"/>
  <c r="G15" i="23" s="1"/>
  <c r="D14" i="23"/>
  <c r="D15" i="23" s="1"/>
  <c r="H14" i="23"/>
  <c r="H15" i="23" s="1"/>
  <c r="B14" i="23"/>
  <c r="B15" i="23" s="1"/>
  <c r="E14" i="23"/>
  <c r="E15" i="23" s="1"/>
  <c r="C14" i="23"/>
  <c r="C15" i="23" s="1"/>
  <c r="D14" i="28"/>
  <c r="D15" i="28" s="1"/>
  <c r="C14" i="28"/>
  <c r="C15" i="28" s="1"/>
  <c r="E14" i="28"/>
  <c r="E15" i="28" s="1"/>
  <c r="G14" i="28"/>
  <c r="G15" i="28" s="1"/>
  <c r="B14" i="28"/>
  <c r="B15" i="28" s="1"/>
  <c r="H14" i="28"/>
  <c r="H15" i="28" s="1"/>
  <c r="K15" i="14"/>
  <c r="B14" i="9"/>
  <c r="B15" i="9" s="1"/>
  <c r="C14" i="9"/>
  <c r="C15" i="9" s="1"/>
  <c r="H14" i="9"/>
  <c r="H15" i="9" s="1"/>
  <c r="G14" i="9"/>
  <c r="G15" i="9" s="1"/>
  <c r="E14" i="9"/>
  <c r="E15" i="9" s="1"/>
  <c r="D14" i="9"/>
  <c r="D15" i="9" s="1"/>
  <c r="K15" i="34"/>
  <c r="B14" i="30"/>
  <c r="B15" i="30" s="1"/>
  <c r="H14" i="30"/>
  <c r="H15" i="30" s="1"/>
  <c r="D14" i="30"/>
  <c r="D15" i="30" s="1"/>
  <c r="C14" i="30"/>
  <c r="C15" i="30" s="1"/>
  <c r="E14" i="30"/>
  <c r="E15" i="30" s="1"/>
  <c r="G14" i="30"/>
  <c r="G15" i="30" s="1"/>
  <c r="H14" i="18"/>
  <c r="H15" i="18" s="1"/>
  <c r="C14" i="18"/>
  <c r="C15" i="18" s="1"/>
  <c r="E14" i="18"/>
  <c r="E15" i="18" s="1"/>
  <c r="G14" i="18"/>
  <c r="G15" i="18" s="1"/>
  <c r="B14" i="18"/>
  <c r="B15" i="18" s="1"/>
  <c r="D14" i="18"/>
  <c r="D15" i="18" s="1"/>
  <c r="D14" i="21"/>
  <c r="D15" i="21" s="1"/>
  <c r="C14" i="21"/>
  <c r="C15" i="21" s="1"/>
  <c r="H14" i="21"/>
  <c r="H15" i="21" s="1"/>
  <c r="B14" i="21"/>
  <c r="B15" i="21" s="1"/>
  <c r="E14" i="21"/>
  <c r="E15" i="21" s="1"/>
  <c r="G14" i="21"/>
  <c r="G15" i="21" s="1"/>
  <c r="H17" i="10"/>
  <c r="H18" i="10" s="1"/>
  <c r="H22" i="10" s="1"/>
  <c r="K15" i="10"/>
  <c r="E14" i="37"/>
  <c r="E15" i="37" s="1"/>
  <c r="C14" i="37"/>
  <c r="C15" i="37" s="1"/>
  <c r="H14" i="37"/>
  <c r="H15" i="37" s="1"/>
  <c r="D14" i="37"/>
  <c r="D15" i="37" s="1"/>
  <c r="B14" i="37"/>
  <c r="B15" i="37" s="1"/>
  <c r="G14" i="37"/>
  <c r="G15" i="37" s="1"/>
  <c r="B14" i="19"/>
  <c r="B15" i="19" s="1"/>
  <c r="C14" i="19"/>
  <c r="C15" i="19" s="1"/>
  <c r="G14" i="19"/>
  <c r="G15" i="19" s="1"/>
  <c r="D14" i="19"/>
  <c r="D15" i="19" s="1"/>
  <c r="E14" i="19"/>
  <c r="E15" i="19" s="1"/>
  <c r="H14" i="19"/>
  <c r="H15" i="19" s="1"/>
  <c r="K15" i="7"/>
  <c r="H17" i="7"/>
  <c r="H18" i="7" s="1"/>
  <c r="H22" i="7" s="1"/>
  <c r="B22" i="49" l="1"/>
  <c r="B28" i="49" s="1"/>
  <c r="K20" i="49"/>
  <c r="K22" i="49" s="1"/>
  <c r="B22" i="48"/>
  <c r="B28" i="48" s="1"/>
  <c r="K20" i="48"/>
  <c r="K22" i="48" s="1"/>
  <c r="G22" i="5"/>
  <c r="B20" i="2"/>
  <c r="B22" i="2" s="1"/>
  <c r="B28" i="2" s="1"/>
  <c r="D20" i="5"/>
  <c r="D22" i="5" s="1"/>
  <c r="K18" i="5"/>
  <c r="C20" i="5"/>
  <c r="C22" i="5" s="1"/>
  <c r="E20" i="5"/>
  <c r="E22" i="5" s="1"/>
  <c r="D22" i="2"/>
  <c r="K18" i="2"/>
  <c r="G22" i="2"/>
  <c r="C20" i="2"/>
  <c r="C22" i="2" s="1"/>
  <c r="E20" i="2"/>
  <c r="E22" i="2" s="1"/>
  <c r="K15" i="38"/>
  <c r="K15" i="37"/>
  <c r="H17" i="37"/>
  <c r="H18" i="37" s="1"/>
  <c r="H22" i="37" s="1"/>
  <c r="B17" i="7"/>
  <c r="B18" i="7" s="1"/>
  <c r="C17" i="7"/>
  <c r="C18" i="7" s="1"/>
  <c r="D17" i="7"/>
  <c r="D18" i="7" s="1"/>
  <c r="E17" i="7"/>
  <c r="E18" i="7" s="1"/>
  <c r="G17" i="7"/>
  <c r="G18" i="7" s="1"/>
  <c r="G20" i="7" s="1"/>
  <c r="H17" i="19"/>
  <c r="H18" i="19" s="1"/>
  <c r="H22" i="19" s="1"/>
  <c r="K15" i="21"/>
  <c r="H17" i="30"/>
  <c r="H18" i="30" s="1"/>
  <c r="H22" i="30" s="1"/>
  <c r="H17" i="28"/>
  <c r="H18" i="28" s="1"/>
  <c r="H22" i="28" s="1"/>
  <c r="K15" i="23"/>
  <c r="H17" i="22"/>
  <c r="K15" i="1"/>
  <c r="H17" i="31"/>
  <c r="H17" i="36"/>
  <c r="H18" i="36" s="1"/>
  <c r="H22" i="36" s="1"/>
  <c r="K15" i="36"/>
  <c r="B22" i="5"/>
  <c r="B28" i="5" s="1"/>
  <c r="D17" i="12"/>
  <c r="D18" i="12" s="1"/>
  <c r="E17" i="12"/>
  <c r="E18" i="12" s="1"/>
  <c r="B17" i="12"/>
  <c r="B18" i="12" s="1"/>
  <c r="G17" i="12"/>
  <c r="G18" i="12" s="1"/>
  <c r="G20" i="12" s="1"/>
  <c r="C17" i="12"/>
  <c r="C18" i="12" s="1"/>
  <c r="H17" i="32"/>
  <c r="H17" i="4"/>
  <c r="H18" i="4" s="1"/>
  <c r="H22" i="4" s="1"/>
  <c r="K15" i="27"/>
  <c r="H17" i="27"/>
  <c r="H18" i="27" s="1"/>
  <c r="H22" i="27" s="1"/>
  <c r="H17" i="35"/>
  <c r="K15" i="17"/>
  <c r="H17" i="44"/>
  <c r="H17" i="20"/>
  <c r="H17" i="39"/>
  <c r="H17" i="15"/>
  <c r="H18" i="15" s="1"/>
  <c r="H22" i="15" s="1"/>
  <c r="H17" i="11"/>
  <c r="H18" i="11" s="1"/>
  <c r="H22" i="11" s="1"/>
  <c r="K15" i="24"/>
  <c r="H17" i="8"/>
  <c r="H18" i="8" s="1"/>
  <c r="H22" i="8" s="1"/>
  <c r="H17" i="29"/>
  <c r="K15" i="29"/>
  <c r="K15" i="40"/>
  <c r="H17" i="46"/>
  <c r="H18" i="46" s="1"/>
  <c r="H22" i="46" s="1"/>
  <c r="K15" i="13"/>
  <c r="C17" i="14"/>
  <c r="C18" i="14" s="1"/>
  <c r="B17" i="14"/>
  <c r="B18" i="14" s="1"/>
  <c r="G17" i="14"/>
  <c r="G18" i="14" s="1"/>
  <c r="G20" i="14" s="1"/>
  <c r="D17" i="14"/>
  <c r="D18" i="14" s="1"/>
  <c r="E17" i="14"/>
  <c r="E18" i="14" s="1"/>
  <c r="K15" i="19"/>
  <c r="B17" i="10"/>
  <c r="B18" i="10" s="1"/>
  <c r="D17" i="10"/>
  <c r="D18" i="10" s="1"/>
  <c r="C17" i="10"/>
  <c r="C18" i="10" s="1"/>
  <c r="E17" i="10"/>
  <c r="E18" i="10" s="1"/>
  <c r="G17" i="10"/>
  <c r="G18" i="10" s="1"/>
  <c r="G20" i="10" s="1"/>
  <c r="H17" i="21"/>
  <c r="H18" i="21" s="1"/>
  <c r="H22" i="21" s="1"/>
  <c r="K15" i="18"/>
  <c r="H17" i="18"/>
  <c r="K15" i="30"/>
  <c r="H17" i="9"/>
  <c r="K15" i="9"/>
  <c r="K15" i="28"/>
  <c r="H17" i="23"/>
  <c r="H18" i="23" s="1"/>
  <c r="H22" i="23" s="1"/>
  <c r="K15" i="22"/>
  <c r="H17" i="1"/>
  <c r="H18" i="1" s="1"/>
  <c r="H22" i="1" s="1"/>
  <c r="K15" i="31"/>
  <c r="K15" i="32"/>
  <c r="K15" i="4"/>
  <c r="D17" i="38"/>
  <c r="D18" i="38" s="1"/>
  <c r="B17" i="38"/>
  <c r="B18" i="38" s="1"/>
  <c r="C17" i="38"/>
  <c r="C18" i="38" s="1"/>
  <c r="E17" i="38"/>
  <c r="E18" i="38" s="1"/>
  <c r="G17" i="38"/>
  <c r="G18" i="38" s="1"/>
  <c r="G20" i="38" s="1"/>
  <c r="K15" i="35"/>
  <c r="H17" i="17"/>
  <c r="H18" i="17" s="1"/>
  <c r="H22" i="17" s="1"/>
  <c r="K15" i="44"/>
  <c r="K15" i="25"/>
  <c r="H17" i="25"/>
  <c r="H18" i="25" s="1"/>
  <c r="H22" i="25" s="1"/>
  <c r="K15" i="20"/>
  <c r="K15" i="39"/>
  <c r="K15" i="15"/>
  <c r="K15" i="11"/>
  <c r="D17" i="34"/>
  <c r="D18" i="34" s="1"/>
  <c r="E17" i="34"/>
  <c r="E18" i="34" s="1"/>
  <c r="B17" i="34"/>
  <c r="B18" i="34" s="1"/>
  <c r="G17" i="34"/>
  <c r="G18" i="34" s="1"/>
  <c r="G20" i="34" s="1"/>
  <c r="C17" i="34"/>
  <c r="C18" i="34" s="1"/>
  <c r="H17" i="24"/>
  <c r="H18" i="24" s="1"/>
  <c r="H22" i="24" s="1"/>
  <c r="H17" i="41"/>
  <c r="K15" i="41"/>
  <c r="K15" i="8"/>
  <c r="H17" i="6"/>
  <c r="H18" i="6" s="1"/>
  <c r="H22" i="6" s="1"/>
  <c r="K15" i="6"/>
  <c r="H17" i="40"/>
  <c r="H18" i="40" s="1"/>
  <c r="H22" i="40" s="1"/>
  <c r="K15" i="46"/>
  <c r="H17" i="13"/>
  <c r="C17" i="45"/>
  <c r="C18" i="45" s="1"/>
  <c r="G17" i="45"/>
  <c r="G18" i="45" s="1"/>
  <c r="G20" i="45" s="1"/>
  <c r="B17" i="45"/>
  <c r="B18" i="45" s="1"/>
  <c r="E17" i="45"/>
  <c r="E18" i="45" s="1"/>
  <c r="D17" i="45"/>
  <c r="D18" i="45" s="1"/>
  <c r="B30" i="49" l="1"/>
  <c r="D15" i="47" s="1"/>
  <c r="C15" i="47"/>
  <c r="B30" i="48"/>
  <c r="D7" i="47" s="1"/>
  <c r="C7" i="47"/>
  <c r="K20" i="5"/>
  <c r="K22" i="5" s="1"/>
  <c r="K20" i="2"/>
  <c r="K22" i="2" s="1"/>
  <c r="C20" i="45"/>
  <c r="C22" i="45" s="1"/>
  <c r="D20" i="45"/>
  <c r="D22" i="45" s="1"/>
  <c r="E20" i="45"/>
  <c r="E22" i="45" s="1"/>
  <c r="B20" i="45"/>
  <c r="G22" i="45"/>
  <c r="C17" i="41"/>
  <c r="C18" i="41" s="1"/>
  <c r="D17" i="41"/>
  <c r="D18" i="41" s="1"/>
  <c r="E17" i="41"/>
  <c r="E18" i="41" s="1"/>
  <c r="B17" i="41"/>
  <c r="B18" i="41" s="1"/>
  <c r="G17" i="41"/>
  <c r="G18" i="41" s="1"/>
  <c r="G20" i="41" s="1"/>
  <c r="B17" i="9"/>
  <c r="B18" i="9" s="1"/>
  <c r="C17" i="9"/>
  <c r="C18" i="9" s="1"/>
  <c r="E17" i="9"/>
  <c r="E18" i="9" s="1"/>
  <c r="D17" i="9"/>
  <c r="D18" i="9" s="1"/>
  <c r="G17" i="9"/>
  <c r="G18" i="9" s="1"/>
  <c r="G20" i="9" s="1"/>
  <c r="C17" i="18"/>
  <c r="C18" i="18" s="1"/>
  <c r="E17" i="18"/>
  <c r="E18" i="18" s="1"/>
  <c r="B17" i="18"/>
  <c r="B18" i="18" s="1"/>
  <c r="D17" i="18"/>
  <c r="D18" i="18" s="1"/>
  <c r="G17" i="18"/>
  <c r="G18" i="18" s="1"/>
  <c r="G20" i="18" s="1"/>
  <c r="C20" i="10"/>
  <c r="C22" i="10" s="1"/>
  <c r="E20" i="10"/>
  <c r="E22" i="10" s="1"/>
  <c r="G22" i="10"/>
  <c r="D20" i="10"/>
  <c r="D22" i="10" s="1"/>
  <c r="B20" i="10"/>
  <c r="E20" i="14"/>
  <c r="E22" i="14" s="1"/>
  <c r="G22" i="14"/>
  <c r="C20" i="14"/>
  <c r="C22" i="14" s="1"/>
  <c r="B20" i="14"/>
  <c r="D20" i="14"/>
  <c r="D22" i="14" s="1"/>
  <c r="D17" i="29"/>
  <c r="D18" i="29" s="1"/>
  <c r="C17" i="29"/>
  <c r="C18" i="29" s="1"/>
  <c r="G17" i="29"/>
  <c r="G18" i="29" s="1"/>
  <c r="G20" i="29" s="1"/>
  <c r="E17" i="29"/>
  <c r="E18" i="29" s="1"/>
  <c r="B17" i="29"/>
  <c r="B18" i="29" s="1"/>
  <c r="B30" i="2"/>
  <c r="D46" i="47" s="1"/>
  <c r="C46" i="47"/>
  <c r="C17" i="39"/>
  <c r="C18" i="39" s="1"/>
  <c r="E17" i="39"/>
  <c r="E18" i="39" s="1"/>
  <c r="G17" i="39"/>
  <c r="G18" i="39" s="1"/>
  <c r="G20" i="39" s="1"/>
  <c r="D17" i="39"/>
  <c r="D18" i="39" s="1"/>
  <c r="B17" i="39"/>
  <c r="B18" i="39" s="1"/>
  <c r="B17" i="20"/>
  <c r="B18" i="20" s="1"/>
  <c r="D17" i="20"/>
  <c r="D18" i="20" s="1"/>
  <c r="E17" i="20"/>
  <c r="E18" i="20" s="1"/>
  <c r="C17" i="20"/>
  <c r="C18" i="20" s="1"/>
  <c r="G17" i="20"/>
  <c r="G18" i="20" s="1"/>
  <c r="G20" i="20" s="1"/>
  <c r="E17" i="44"/>
  <c r="E18" i="44" s="1"/>
  <c r="C17" i="44"/>
  <c r="C18" i="44" s="1"/>
  <c r="G17" i="44"/>
  <c r="G18" i="44" s="1"/>
  <c r="G20" i="44" s="1"/>
  <c r="B17" i="44"/>
  <c r="B18" i="44" s="1"/>
  <c r="D17" i="44"/>
  <c r="D18" i="44" s="1"/>
  <c r="C17" i="35"/>
  <c r="C18" i="35" s="1"/>
  <c r="D17" i="35"/>
  <c r="D18" i="35" s="1"/>
  <c r="B17" i="35"/>
  <c r="B18" i="35" s="1"/>
  <c r="G17" i="35"/>
  <c r="G18" i="35" s="1"/>
  <c r="G20" i="35" s="1"/>
  <c r="E17" i="35"/>
  <c r="E18" i="35" s="1"/>
  <c r="B17" i="32"/>
  <c r="B18" i="32" s="1"/>
  <c r="E17" i="32"/>
  <c r="E18" i="32" s="1"/>
  <c r="G17" i="32"/>
  <c r="G18" i="32" s="1"/>
  <c r="G20" i="32" s="1"/>
  <c r="D17" i="32"/>
  <c r="D18" i="32" s="1"/>
  <c r="C17" i="32"/>
  <c r="C18" i="32" s="1"/>
  <c r="D20" i="12"/>
  <c r="D22" i="12" s="1"/>
  <c r="B20" i="12"/>
  <c r="C20" i="12"/>
  <c r="C22" i="12" s="1"/>
  <c r="E20" i="12"/>
  <c r="E22" i="12" s="1"/>
  <c r="G22" i="12"/>
  <c r="B30" i="5"/>
  <c r="D45" i="47" s="1"/>
  <c r="C45" i="47"/>
  <c r="G17" i="31"/>
  <c r="G18" i="31" s="1"/>
  <c r="G20" i="31" s="1"/>
  <c r="C17" i="31"/>
  <c r="C18" i="31" s="1"/>
  <c r="D17" i="31"/>
  <c r="D18" i="31" s="1"/>
  <c r="E17" i="31"/>
  <c r="E18" i="31" s="1"/>
  <c r="B17" i="31"/>
  <c r="B18" i="31" s="1"/>
  <c r="D17" i="22"/>
  <c r="D18" i="22" s="1"/>
  <c r="C17" i="22"/>
  <c r="C18" i="22" s="1"/>
  <c r="G17" i="22"/>
  <c r="G18" i="22" s="1"/>
  <c r="G20" i="22" s="1"/>
  <c r="B17" i="22"/>
  <c r="B18" i="22" s="1"/>
  <c r="E17" i="22"/>
  <c r="E18" i="22" s="1"/>
  <c r="D20" i="7"/>
  <c r="D22" i="7" s="1"/>
  <c r="C20" i="7"/>
  <c r="C22" i="7" s="1"/>
  <c r="E20" i="7"/>
  <c r="E22" i="7" s="1"/>
  <c r="G22" i="7"/>
  <c r="B20" i="7"/>
  <c r="K18" i="34"/>
  <c r="K18" i="38"/>
  <c r="K18" i="10"/>
  <c r="K18" i="7"/>
  <c r="D17" i="13"/>
  <c r="D18" i="13" s="1"/>
  <c r="G17" i="13"/>
  <c r="G18" i="13" s="1"/>
  <c r="G20" i="13" s="1"/>
  <c r="B17" i="13"/>
  <c r="B18" i="13" s="1"/>
  <c r="C17" i="13"/>
  <c r="C18" i="13" s="1"/>
  <c r="E17" i="13"/>
  <c r="E18" i="13" s="1"/>
  <c r="D17" i="40"/>
  <c r="D18" i="40" s="1"/>
  <c r="B17" i="40"/>
  <c r="B18" i="40" s="1"/>
  <c r="C17" i="40"/>
  <c r="C18" i="40" s="1"/>
  <c r="E17" i="40"/>
  <c r="E18" i="40" s="1"/>
  <c r="G17" i="40"/>
  <c r="G18" i="40" s="1"/>
  <c r="G20" i="40" s="1"/>
  <c r="B17" i="6"/>
  <c r="B18" i="6" s="1"/>
  <c r="E17" i="6"/>
  <c r="E18" i="6" s="1"/>
  <c r="G17" i="6"/>
  <c r="G18" i="6" s="1"/>
  <c r="G20" i="6" s="1"/>
  <c r="D17" i="6"/>
  <c r="D18" i="6" s="1"/>
  <c r="C17" i="6"/>
  <c r="C18" i="6" s="1"/>
  <c r="B17" i="24"/>
  <c r="B18" i="24" s="1"/>
  <c r="E17" i="24"/>
  <c r="E18" i="24" s="1"/>
  <c r="G17" i="24"/>
  <c r="G18" i="24" s="1"/>
  <c r="G20" i="24" s="1"/>
  <c r="C17" i="24"/>
  <c r="C18" i="24" s="1"/>
  <c r="D17" i="24"/>
  <c r="D18" i="24" s="1"/>
  <c r="C20" i="34"/>
  <c r="C22" i="34" s="1"/>
  <c r="D20" i="34"/>
  <c r="D22" i="34" s="1"/>
  <c r="E20" i="34"/>
  <c r="E22" i="34" s="1"/>
  <c r="B20" i="34"/>
  <c r="G22" i="34"/>
  <c r="D17" i="25"/>
  <c r="D18" i="25" s="1"/>
  <c r="B17" i="25"/>
  <c r="B18" i="25" s="1"/>
  <c r="E17" i="25"/>
  <c r="E18" i="25" s="1"/>
  <c r="C17" i="25"/>
  <c r="C18" i="25" s="1"/>
  <c r="G17" i="25"/>
  <c r="G18" i="25" s="1"/>
  <c r="G20" i="25" s="1"/>
  <c r="B17" i="17"/>
  <c r="B18" i="17" s="1"/>
  <c r="D17" i="17"/>
  <c r="D18" i="17" s="1"/>
  <c r="G17" i="17"/>
  <c r="G18" i="17" s="1"/>
  <c r="G20" i="17" s="1"/>
  <c r="C17" i="17"/>
  <c r="C18" i="17" s="1"/>
  <c r="E17" i="17"/>
  <c r="E18" i="17" s="1"/>
  <c r="E20" i="38"/>
  <c r="E22" i="38" s="1"/>
  <c r="C20" i="38"/>
  <c r="C22" i="38" s="1"/>
  <c r="D20" i="38"/>
  <c r="D22" i="38" s="1"/>
  <c r="G22" i="38"/>
  <c r="B20" i="38"/>
  <c r="C17" i="1"/>
  <c r="C18" i="1" s="1"/>
  <c r="E17" i="1"/>
  <c r="E18" i="1" s="1"/>
  <c r="B17" i="1"/>
  <c r="B18" i="1" s="1"/>
  <c r="D17" i="1"/>
  <c r="D18" i="1" s="1"/>
  <c r="G17" i="1"/>
  <c r="G18" i="1" s="1"/>
  <c r="G20" i="1" s="1"/>
  <c r="E17" i="23"/>
  <c r="E18" i="23" s="1"/>
  <c r="D17" i="23"/>
  <c r="D18" i="23" s="1"/>
  <c r="B17" i="23"/>
  <c r="B18" i="23" s="1"/>
  <c r="C17" i="23"/>
  <c r="C18" i="23" s="1"/>
  <c r="G17" i="23"/>
  <c r="G18" i="23" s="1"/>
  <c r="G20" i="23" s="1"/>
  <c r="G17" i="21"/>
  <c r="G18" i="21" s="1"/>
  <c r="G20" i="21" s="1"/>
  <c r="C17" i="21"/>
  <c r="C18" i="21" s="1"/>
  <c r="E17" i="21"/>
  <c r="E18" i="21" s="1"/>
  <c r="D17" i="21"/>
  <c r="D18" i="21" s="1"/>
  <c r="B17" i="21"/>
  <c r="B18" i="21" s="1"/>
  <c r="C17" i="46"/>
  <c r="C18" i="46" s="1"/>
  <c r="B17" i="46"/>
  <c r="B18" i="46" s="1"/>
  <c r="G17" i="46"/>
  <c r="G18" i="46" s="1"/>
  <c r="G20" i="46" s="1"/>
  <c r="E17" i="46"/>
  <c r="E18" i="46" s="1"/>
  <c r="D17" i="46"/>
  <c r="D18" i="46" s="1"/>
  <c r="D17" i="8"/>
  <c r="D18" i="8" s="1"/>
  <c r="C17" i="8"/>
  <c r="C18" i="8" s="1"/>
  <c r="B17" i="8"/>
  <c r="B18" i="8" s="1"/>
  <c r="E17" i="8"/>
  <c r="E18" i="8" s="1"/>
  <c r="G17" i="8"/>
  <c r="G18" i="8" s="1"/>
  <c r="G20" i="8" s="1"/>
  <c r="D17" i="11"/>
  <c r="D18" i="11" s="1"/>
  <c r="E17" i="11"/>
  <c r="E18" i="11" s="1"/>
  <c r="B17" i="11"/>
  <c r="B18" i="11" s="1"/>
  <c r="C17" i="11"/>
  <c r="C18" i="11" s="1"/>
  <c r="G17" i="11"/>
  <c r="G18" i="11" s="1"/>
  <c r="G20" i="11" s="1"/>
  <c r="C17" i="15"/>
  <c r="C18" i="15" s="1"/>
  <c r="B17" i="15"/>
  <c r="B18" i="15" s="1"/>
  <c r="D17" i="15"/>
  <c r="D18" i="15" s="1"/>
  <c r="G17" i="15"/>
  <c r="G18" i="15" s="1"/>
  <c r="G20" i="15" s="1"/>
  <c r="E17" i="15"/>
  <c r="E18" i="15" s="1"/>
  <c r="D17" i="27"/>
  <c r="D18" i="27" s="1"/>
  <c r="C17" i="27"/>
  <c r="C18" i="27" s="1"/>
  <c r="G17" i="27"/>
  <c r="G18" i="27" s="1"/>
  <c r="G20" i="27" s="1"/>
  <c r="E17" i="27"/>
  <c r="E18" i="27" s="1"/>
  <c r="B17" i="27"/>
  <c r="B18" i="27" s="1"/>
  <c r="G17" i="4"/>
  <c r="G18" i="4" s="1"/>
  <c r="G20" i="4" s="1"/>
  <c r="C17" i="4"/>
  <c r="C18" i="4" s="1"/>
  <c r="E17" i="4"/>
  <c r="E18" i="4" s="1"/>
  <c r="B17" i="4"/>
  <c r="B18" i="4" s="1"/>
  <c r="D17" i="4"/>
  <c r="D18" i="4" s="1"/>
  <c r="C17" i="36"/>
  <c r="C18" i="36" s="1"/>
  <c r="E17" i="36"/>
  <c r="E18" i="36" s="1"/>
  <c r="D17" i="36"/>
  <c r="D18" i="36" s="1"/>
  <c r="B17" i="36"/>
  <c r="B18" i="36" s="1"/>
  <c r="G17" i="36"/>
  <c r="G18" i="36" s="1"/>
  <c r="G20" i="36" s="1"/>
  <c r="E17" i="28"/>
  <c r="E18" i="28" s="1"/>
  <c r="G17" i="28"/>
  <c r="G18" i="28" s="1"/>
  <c r="G20" i="28" s="1"/>
  <c r="C17" i="28"/>
  <c r="C18" i="28" s="1"/>
  <c r="B17" i="28"/>
  <c r="B18" i="28" s="1"/>
  <c r="D17" i="28"/>
  <c r="D18" i="28" s="1"/>
  <c r="G17" i="30"/>
  <c r="G18" i="30" s="1"/>
  <c r="G20" i="30" s="1"/>
  <c r="C17" i="30"/>
  <c r="C18" i="30" s="1"/>
  <c r="B17" i="30"/>
  <c r="B18" i="30" s="1"/>
  <c r="D17" i="30"/>
  <c r="D18" i="30" s="1"/>
  <c r="E17" i="30"/>
  <c r="E18" i="30" s="1"/>
  <c r="C17" i="19"/>
  <c r="C18" i="19" s="1"/>
  <c r="E17" i="19"/>
  <c r="E18" i="19" s="1"/>
  <c r="B17" i="19"/>
  <c r="B18" i="19" s="1"/>
  <c r="D17" i="19"/>
  <c r="D18" i="19" s="1"/>
  <c r="G17" i="19"/>
  <c r="G18" i="19" s="1"/>
  <c r="G20" i="19" s="1"/>
  <c r="G17" i="37"/>
  <c r="G18" i="37" s="1"/>
  <c r="G20" i="37" s="1"/>
  <c r="E17" i="37"/>
  <c r="E18" i="37" s="1"/>
  <c r="B17" i="37"/>
  <c r="B18" i="37" s="1"/>
  <c r="D17" i="37"/>
  <c r="D18" i="37" s="1"/>
  <c r="C17" i="37"/>
  <c r="C18" i="37" s="1"/>
  <c r="K18" i="45"/>
  <c r="H18" i="13"/>
  <c r="H22" i="13" s="1"/>
  <c r="H18" i="41"/>
  <c r="H22" i="41" s="1"/>
  <c r="H18" i="9"/>
  <c r="H22" i="9" s="1"/>
  <c r="H18" i="18"/>
  <c r="H22" i="18" s="1"/>
  <c r="K18" i="14"/>
  <c r="H18" i="29"/>
  <c r="H22" i="29" s="1"/>
  <c r="H18" i="39"/>
  <c r="H22" i="39" s="1"/>
  <c r="H18" i="20"/>
  <c r="H22" i="20" s="1"/>
  <c r="H18" i="44"/>
  <c r="H22" i="44" s="1"/>
  <c r="H18" i="35"/>
  <c r="H22" i="35" s="1"/>
  <c r="H18" i="32"/>
  <c r="H22" i="32" s="1"/>
  <c r="K18" i="12"/>
  <c r="H18" i="31"/>
  <c r="H22" i="31" s="1"/>
  <c r="H18" i="22"/>
  <c r="H22" i="22" s="1"/>
  <c r="K18" i="27" l="1"/>
  <c r="K18" i="28"/>
  <c r="K18" i="4"/>
  <c r="G22" i="37"/>
  <c r="D20" i="37"/>
  <c r="D22" i="37" s="1"/>
  <c r="B20" i="37"/>
  <c r="C20" i="37"/>
  <c r="C22" i="37" s="1"/>
  <c r="E20" i="37"/>
  <c r="E22" i="37" s="1"/>
  <c r="G22" i="36"/>
  <c r="C20" i="36"/>
  <c r="C22" i="36" s="1"/>
  <c r="E20" i="36"/>
  <c r="E22" i="36" s="1"/>
  <c r="B20" i="36"/>
  <c r="D20" i="36"/>
  <c r="D22" i="36" s="1"/>
  <c r="G22" i="19"/>
  <c r="B20" i="19"/>
  <c r="C20" i="19"/>
  <c r="C22" i="19" s="1"/>
  <c r="D20" i="19"/>
  <c r="D22" i="19" s="1"/>
  <c r="E20" i="19"/>
  <c r="E22" i="19" s="1"/>
  <c r="G22" i="4"/>
  <c r="E20" i="4"/>
  <c r="E22" i="4" s="1"/>
  <c r="B20" i="4"/>
  <c r="C20" i="4"/>
  <c r="C22" i="4" s="1"/>
  <c r="D20" i="4"/>
  <c r="D22" i="4" s="1"/>
  <c r="G22" i="8"/>
  <c r="D20" i="8"/>
  <c r="D22" i="8" s="1"/>
  <c r="C20" i="8"/>
  <c r="C22" i="8" s="1"/>
  <c r="B20" i="8"/>
  <c r="E20" i="8"/>
  <c r="E22" i="8" s="1"/>
  <c r="G22" i="21"/>
  <c r="E20" i="21"/>
  <c r="E22" i="21" s="1"/>
  <c r="D20" i="21"/>
  <c r="D22" i="21" s="1"/>
  <c r="C20" i="21"/>
  <c r="C22" i="21" s="1"/>
  <c r="B20" i="21"/>
  <c r="G22" i="1"/>
  <c r="C20" i="1"/>
  <c r="C22" i="1" s="1"/>
  <c r="D20" i="1"/>
  <c r="D22" i="1" s="1"/>
  <c r="B20" i="1"/>
  <c r="E20" i="1"/>
  <c r="E22" i="1" s="1"/>
  <c r="G22" i="17"/>
  <c r="C20" i="17"/>
  <c r="C22" i="17" s="1"/>
  <c r="B20" i="17"/>
  <c r="D20" i="17"/>
  <c r="D22" i="17" s="1"/>
  <c r="E20" i="17"/>
  <c r="E22" i="17" s="1"/>
  <c r="G22" i="6"/>
  <c r="B20" i="6"/>
  <c r="E20" i="6"/>
  <c r="E22" i="6" s="1"/>
  <c r="D20" i="6"/>
  <c r="D22" i="6" s="1"/>
  <c r="C20" i="6"/>
  <c r="C22" i="6" s="1"/>
  <c r="G22" i="22"/>
  <c r="B20" i="22"/>
  <c r="C20" i="22"/>
  <c r="C22" i="22" s="1"/>
  <c r="E20" i="22"/>
  <c r="E22" i="22" s="1"/>
  <c r="D20" i="22"/>
  <c r="D22" i="22" s="1"/>
  <c r="G22" i="20"/>
  <c r="D20" i="20"/>
  <c r="D22" i="20" s="1"/>
  <c r="E20" i="20"/>
  <c r="E22" i="20" s="1"/>
  <c r="B20" i="20"/>
  <c r="C20" i="20"/>
  <c r="C22" i="20" s="1"/>
  <c r="G22" i="29"/>
  <c r="E20" i="29"/>
  <c r="E22" i="29" s="1"/>
  <c r="C20" i="29"/>
  <c r="C22" i="29" s="1"/>
  <c r="B20" i="29"/>
  <c r="D20" i="29"/>
  <c r="D22" i="29" s="1"/>
  <c r="K20" i="14"/>
  <c r="K22" i="14" s="1"/>
  <c r="B22" i="14"/>
  <c r="B28" i="14" s="1"/>
  <c r="B22" i="10"/>
  <c r="B28" i="10" s="1"/>
  <c r="K20" i="10"/>
  <c r="K22" i="10" s="1"/>
  <c r="G22" i="9"/>
  <c r="C20" i="9"/>
  <c r="C22" i="9" s="1"/>
  <c r="B20" i="9"/>
  <c r="E20" i="9"/>
  <c r="E22" i="9" s="1"/>
  <c r="D20" i="9"/>
  <c r="D22" i="9" s="1"/>
  <c r="K18" i="30"/>
  <c r="K18" i="19"/>
  <c r="K18" i="36"/>
  <c r="K18" i="8"/>
  <c r="K18" i="46"/>
  <c r="K18" i="21"/>
  <c r="K18" i="1"/>
  <c r="K18" i="17"/>
  <c r="K18" i="25"/>
  <c r="K18" i="6"/>
  <c r="K18" i="40"/>
  <c r="K18" i="13"/>
  <c r="K18" i="35"/>
  <c r="K18" i="44"/>
  <c r="K18" i="20"/>
  <c r="K18" i="29"/>
  <c r="K18" i="9"/>
  <c r="K18" i="41"/>
  <c r="G22" i="30"/>
  <c r="D20" i="30"/>
  <c r="D22" i="30" s="1"/>
  <c r="E20" i="30"/>
  <c r="E22" i="30" s="1"/>
  <c r="C20" i="30"/>
  <c r="C22" i="30" s="1"/>
  <c r="B20" i="30"/>
  <c r="G22" i="28"/>
  <c r="D20" i="28"/>
  <c r="D22" i="28" s="1"/>
  <c r="E20" i="28"/>
  <c r="E22" i="28" s="1"/>
  <c r="B20" i="28"/>
  <c r="C20" i="28"/>
  <c r="C22" i="28" s="1"/>
  <c r="G22" i="27"/>
  <c r="C20" i="27"/>
  <c r="C22" i="27" s="1"/>
  <c r="B20" i="27"/>
  <c r="D20" i="27"/>
  <c r="D22" i="27" s="1"/>
  <c r="E20" i="27"/>
  <c r="E22" i="27" s="1"/>
  <c r="G22" i="15"/>
  <c r="C20" i="15"/>
  <c r="C22" i="15" s="1"/>
  <c r="D20" i="15"/>
  <c r="D22" i="15" s="1"/>
  <c r="E20" i="15"/>
  <c r="E22" i="15" s="1"/>
  <c r="B20" i="15"/>
  <c r="G22" i="11"/>
  <c r="D20" i="11"/>
  <c r="D22" i="11" s="1"/>
  <c r="E20" i="11"/>
  <c r="E22" i="11" s="1"/>
  <c r="C20" i="11"/>
  <c r="C22" i="11" s="1"/>
  <c r="B20" i="11"/>
  <c r="G22" i="46"/>
  <c r="E20" i="46"/>
  <c r="E22" i="46" s="1"/>
  <c r="B20" i="46"/>
  <c r="D20" i="46"/>
  <c r="D22" i="46" s="1"/>
  <c r="C20" i="46"/>
  <c r="C22" i="46" s="1"/>
  <c r="G22" i="23"/>
  <c r="B20" i="23"/>
  <c r="C20" i="23"/>
  <c r="C22" i="23" s="1"/>
  <c r="D20" i="23"/>
  <c r="D22" i="23" s="1"/>
  <c r="E20" i="23"/>
  <c r="E22" i="23" s="1"/>
  <c r="K20" i="38"/>
  <c r="K22" i="38" s="1"/>
  <c r="B22" i="38"/>
  <c r="B28" i="38" s="1"/>
  <c r="B30" i="38" s="1"/>
  <c r="G22" i="25"/>
  <c r="D20" i="25"/>
  <c r="D22" i="25" s="1"/>
  <c r="B20" i="25"/>
  <c r="C20" i="25"/>
  <c r="C22" i="25" s="1"/>
  <c r="E20" i="25"/>
  <c r="E22" i="25" s="1"/>
  <c r="K20" i="34"/>
  <c r="K22" i="34" s="1"/>
  <c r="B22" i="34"/>
  <c r="B28" i="34" s="1"/>
  <c r="G22" i="24"/>
  <c r="B20" i="24"/>
  <c r="E20" i="24"/>
  <c r="E22" i="24" s="1"/>
  <c r="D20" i="24"/>
  <c r="D22" i="24" s="1"/>
  <c r="C20" i="24"/>
  <c r="C22" i="24" s="1"/>
  <c r="G22" i="40"/>
  <c r="C20" i="40"/>
  <c r="C22" i="40" s="1"/>
  <c r="E20" i="40"/>
  <c r="E22" i="40" s="1"/>
  <c r="B20" i="40"/>
  <c r="D20" i="40"/>
  <c r="D22" i="40" s="1"/>
  <c r="G22" i="13"/>
  <c r="D20" i="13"/>
  <c r="D22" i="13" s="1"/>
  <c r="C20" i="13"/>
  <c r="C22" i="13" s="1"/>
  <c r="E20" i="13"/>
  <c r="E22" i="13" s="1"/>
  <c r="B20" i="13"/>
  <c r="K20" i="7"/>
  <c r="K22" i="7" s="1"/>
  <c r="B22" i="7"/>
  <c r="B28" i="7" s="1"/>
  <c r="G22" i="31"/>
  <c r="D20" i="31"/>
  <c r="D22" i="31" s="1"/>
  <c r="E20" i="31"/>
  <c r="E22" i="31" s="1"/>
  <c r="C20" i="31"/>
  <c r="C22" i="31" s="1"/>
  <c r="B20" i="31"/>
  <c r="K20" i="12"/>
  <c r="K22" i="12" s="1"/>
  <c r="B22" i="12"/>
  <c r="B28" i="12" s="1"/>
  <c r="G22" i="32"/>
  <c r="B20" i="32"/>
  <c r="E20" i="32"/>
  <c r="E22" i="32" s="1"/>
  <c r="D20" i="32"/>
  <c r="D22" i="32" s="1"/>
  <c r="C20" i="32"/>
  <c r="C22" i="32" s="1"/>
  <c r="G22" i="35"/>
  <c r="B20" i="35"/>
  <c r="E20" i="35"/>
  <c r="E22" i="35" s="1"/>
  <c r="C20" i="35"/>
  <c r="C22" i="35" s="1"/>
  <c r="D20" i="35"/>
  <c r="D22" i="35" s="1"/>
  <c r="G22" i="44"/>
  <c r="E20" i="44"/>
  <c r="E22" i="44" s="1"/>
  <c r="B20" i="44"/>
  <c r="D20" i="44"/>
  <c r="D22" i="44" s="1"/>
  <c r="C20" i="44"/>
  <c r="C22" i="44" s="1"/>
  <c r="G22" i="39"/>
  <c r="C20" i="39"/>
  <c r="C22" i="39" s="1"/>
  <c r="E20" i="39"/>
  <c r="E22" i="39" s="1"/>
  <c r="B20" i="39"/>
  <c r="D20" i="39"/>
  <c r="D22" i="39" s="1"/>
  <c r="G22" i="18"/>
  <c r="C20" i="18"/>
  <c r="C22" i="18" s="1"/>
  <c r="D20" i="18"/>
  <c r="D22" i="18" s="1"/>
  <c r="E20" i="18"/>
  <c r="E22" i="18" s="1"/>
  <c r="B20" i="18"/>
  <c r="G22" i="41"/>
  <c r="D20" i="41"/>
  <c r="D22" i="41" s="1"/>
  <c r="B20" i="41"/>
  <c r="E20" i="41"/>
  <c r="E22" i="41" s="1"/>
  <c r="C20" i="41"/>
  <c r="C22" i="41" s="1"/>
  <c r="K20" i="45"/>
  <c r="K22" i="45" s="1"/>
  <c r="B22" i="45"/>
  <c r="B28" i="45" s="1"/>
  <c r="K18" i="37"/>
  <c r="K18" i="15"/>
  <c r="K18" i="11"/>
  <c r="K18" i="23"/>
  <c r="K18" i="24"/>
  <c r="K18" i="22"/>
  <c r="K18" i="31"/>
  <c r="K18" i="32"/>
  <c r="K18" i="39"/>
  <c r="K18" i="18"/>
  <c r="K20" i="18" l="1"/>
  <c r="K22" i="18" s="1"/>
  <c r="B22" i="18"/>
  <c r="B28" i="18" s="1"/>
  <c r="K20" i="39"/>
  <c r="K22" i="39" s="1"/>
  <c r="B22" i="39"/>
  <c r="B28" i="39" s="1"/>
  <c r="B30" i="39" s="1"/>
  <c r="D30" i="47" s="1"/>
  <c r="K20" i="35"/>
  <c r="K22" i="35" s="1"/>
  <c r="B22" i="35"/>
  <c r="B28" i="35" s="1"/>
  <c r="C43" i="47"/>
  <c r="B30" i="7"/>
  <c r="D43" i="47" s="1"/>
  <c r="B30" i="45"/>
  <c r="D12" i="47" s="1"/>
  <c r="C12" i="47"/>
  <c r="K20" i="41"/>
  <c r="K22" i="41" s="1"/>
  <c r="B22" i="41"/>
  <c r="B28" i="41" s="1"/>
  <c r="K20" i="32"/>
  <c r="K22" i="32" s="1"/>
  <c r="B22" i="32"/>
  <c r="B28" i="32" s="1"/>
  <c r="C9" i="47"/>
  <c r="B30" i="12"/>
  <c r="D9" i="47" s="1"/>
  <c r="B22" i="31"/>
  <c r="B28" i="31" s="1"/>
  <c r="K20" i="31"/>
  <c r="K22" i="31" s="1"/>
  <c r="K20" i="24"/>
  <c r="K22" i="24" s="1"/>
  <c r="B22" i="24"/>
  <c r="B28" i="24" s="1"/>
  <c r="C16" i="47"/>
  <c r="B30" i="34"/>
  <c r="D16" i="47" s="1"/>
  <c r="K20" i="25"/>
  <c r="K22" i="25" s="1"/>
  <c r="B22" i="25"/>
  <c r="B28" i="25" s="1"/>
  <c r="K20" i="23"/>
  <c r="K22" i="23" s="1"/>
  <c r="B22" i="23"/>
  <c r="B28" i="23" s="1"/>
  <c r="K20" i="46"/>
  <c r="K22" i="46" s="1"/>
  <c r="B22" i="46"/>
  <c r="B28" i="46" s="1"/>
  <c r="B22" i="15"/>
  <c r="B28" i="15" s="1"/>
  <c r="B30" i="15" s="1"/>
  <c r="K20" i="15"/>
  <c r="K22" i="15" s="1"/>
  <c r="K20" i="9"/>
  <c r="K22" i="9" s="1"/>
  <c r="B22" i="9"/>
  <c r="B28" i="9" s="1"/>
  <c r="B30" i="10"/>
  <c r="D39" i="47" s="1"/>
  <c r="C39" i="47"/>
  <c r="B22" i="29"/>
  <c r="B28" i="29" s="1"/>
  <c r="B30" i="29" s="1"/>
  <c r="K20" i="29"/>
  <c r="K22" i="29" s="1"/>
  <c r="K20" i="22"/>
  <c r="K22" i="22" s="1"/>
  <c r="B22" i="22"/>
  <c r="B28" i="22" s="1"/>
  <c r="K20" i="36"/>
  <c r="K22" i="36" s="1"/>
  <c r="B22" i="36"/>
  <c r="B28" i="36" s="1"/>
  <c r="K20" i="37"/>
  <c r="K22" i="37" s="1"/>
  <c r="B22" i="37"/>
  <c r="B28" i="37" s="1"/>
  <c r="B22" i="44"/>
  <c r="B28" i="44" s="1"/>
  <c r="B30" i="44" s="1"/>
  <c r="D10" i="47" s="1"/>
  <c r="K20" i="44"/>
  <c r="K22" i="44" s="1"/>
  <c r="B22" i="13"/>
  <c r="B28" i="13" s="1"/>
  <c r="K20" i="13"/>
  <c r="K22" i="13" s="1"/>
  <c r="K20" i="40"/>
  <c r="K22" i="40" s="1"/>
  <c r="B22" i="40"/>
  <c r="B28" i="40" s="1"/>
  <c r="B22" i="11"/>
  <c r="B28" i="11" s="1"/>
  <c r="K20" i="11"/>
  <c r="K22" i="11" s="1"/>
  <c r="K20" i="27"/>
  <c r="K22" i="27" s="1"/>
  <c r="B22" i="27"/>
  <c r="B28" i="27" s="1"/>
  <c r="K20" i="28"/>
  <c r="K22" i="28" s="1"/>
  <c r="B22" i="28"/>
  <c r="B28" i="28" s="1"/>
  <c r="K20" i="30"/>
  <c r="K22" i="30" s="1"/>
  <c r="B22" i="30"/>
  <c r="B28" i="30" s="1"/>
  <c r="B30" i="14"/>
  <c r="D34" i="47" s="1"/>
  <c r="C34" i="47"/>
  <c r="K20" i="20"/>
  <c r="K22" i="20" s="1"/>
  <c r="B22" i="20"/>
  <c r="B28" i="20" s="1"/>
  <c r="K20" i="6"/>
  <c r="K22" i="6" s="1"/>
  <c r="B22" i="6"/>
  <c r="B28" i="6" s="1"/>
  <c r="K20" i="17"/>
  <c r="K22" i="17" s="1"/>
  <c r="B22" i="17"/>
  <c r="B28" i="17" s="1"/>
  <c r="K20" i="1"/>
  <c r="K22" i="1" s="1"/>
  <c r="B22" i="1"/>
  <c r="B28" i="1" s="1"/>
  <c r="K20" i="21"/>
  <c r="K22" i="21" s="1"/>
  <c r="B22" i="21"/>
  <c r="B28" i="21" s="1"/>
  <c r="K20" i="8"/>
  <c r="K22" i="8" s="1"/>
  <c r="B22" i="8"/>
  <c r="B28" i="8" s="1"/>
  <c r="K20" i="4"/>
  <c r="K22" i="4" s="1"/>
  <c r="B22" i="4"/>
  <c r="B28" i="4" s="1"/>
  <c r="K20" i="19"/>
  <c r="K22" i="19" s="1"/>
  <c r="B22" i="19"/>
  <c r="B28" i="19" s="1"/>
  <c r="B30" i="4" l="1"/>
  <c r="D41" i="47" s="1"/>
  <c r="C41" i="47"/>
  <c r="C42" i="47"/>
  <c r="B30" i="8"/>
  <c r="D42" i="47" s="1"/>
  <c r="B30" i="1"/>
  <c r="D6" i="47" s="1"/>
  <c r="C6" i="47"/>
  <c r="B30" i="6"/>
  <c r="D44" i="47" s="1"/>
  <c r="C44" i="47"/>
  <c r="B30" i="30"/>
  <c r="D31" i="47" s="1"/>
  <c r="C31" i="47"/>
  <c r="C20" i="47"/>
  <c r="B30" i="27"/>
  <c r="D20" i="47" s="1"/>
  <c r="C33" i="47"/>
  <c r="B30" i="40"/>
  <c r="D33" i="47" s="1"/>
  <c r="C11" i="47"/>
  <c r="C10" i="47" s="1"/>
  <c r="B30" i="37"/>
  <c r="D11" i="47" s="1"/>
  <c r="B30" i="22"/>
  <c r="D26" i="47" s="1"/>
  <c r="C26" i="47"/>
  <c r="B30" i="9"/>
  <c r="D40" i="47" s="1"/>
  <c r="C40" i="47"/>
  <c r="B30" i="11"/>
  <c r="D8" i="47" s="1"/>
  <c r="C8" i="47"/>
  <c r="C38" i="47"/>
  <c r="B30" i="13"/>
  <c r="D38" i="47" s="1"/>
  <c r="D19" i="47"/>
  <c r="C19" i="47"/>
  <c r="D37" i="47"/>
  <c r="C37" i="47"/>
  <c r="C18" i="47"/>
  <c r="B30" i="31"/>
  <c r="D18" i="47" s="1"/>
  <c r="C28" i="47"/>
  <c r="B30" i="19"/>
  <c r="D28" i="47" s="1"/>
  <c r="B30" i="21"/>
  <c r="D27" i="47" s="1"/>
  <c r="C27" i="47"/>
  <c r="B30" i="17"/>
  <c r="D36" i="47" s="1"/>
  <c r="C36" i="47"/>
  <c r="B30" i="20"/>
  <c r="D25" i="47" s="1"/>
  <c r="C25" i="47"/>
  <c r="C32" i="47"/>
  <c r="B30" i="28"/>
  <c r="D32" i="47" s="1"/>
  <c r="C13" i="47"/>
  <c r="B30" i="36"/>
  <c r="D13" i="47" s="1"/>
  <c r="C24" i="47"/>
  <c r="B30" i="46"/>
  <c r="D24" i="47" s="1"/>
  <c r="C23" i="47"/>
  <c r="B30" i="23"/>
  <c r="D23" i="47" s="1"/>
  <c r="B30" i="25"/>
  <c r="D21" i="47" s="1"/>
  <c r="C21" i="47"/>
  <c r="B30" i="24"/>
  <c r="D22" i="47" s="1"/>
  <c r="C22" i="47"/>
  <c r="B30" i="32"/>
  <c r="D17" i="47" s="1"/>
  <c r="C17" i="47"/>
  <c r="B30" i="41"/>
  <c r="D35" i="47" s="1"/>
  <c r="C35" i="47"/>
  <c r="B30" i="35"/>
  <c r="D14" i="47" s="1"/>
  <c r="C14" i="47"/>
  <c r="B30" i="18"/>
  <c r="D29" i="47" s="1"/>
  <c r="C29" i="47"/>
  <c r="C30" i="47" l="1"/>
</calcChain>
</file>

<file path=xl/sharedStrings.xml><?xml version="1.0" encoding="utf-8"?>
<sst xmlns="http://schemas.openxmlformats.org/spreadsheetml/2006/main" count="1343" uniqueCount="173">
  <si>
    <t>Other</t>
  </si>
  <si>
    <t>Total</t>
  </si>
  <si>
    <t>TOTAL  -  Direct Costs</t>
  </si>
  <si>
    <t>Physical Plant</t>
  </si>
  <si>
    <t xml:space="preserve">    Sub-total</t>
  </si>
  <si>
    <t>Institutional Support</t>
  </si>
  <si>
    <t>Student Support</t>
  </si>
  <si>
    <t>Academic Support</t>
  </si>
  <si>
    <t>FULLY ALLOCATED COSTS</t>
  </si>
  <si>
    <t>Direct Instruction</t>
  </si>
  <si>
    <t>Indirect</t>
  </si>
  <si>
    <t>Indirect per FYE</t>
  </si>
  <si>
    <t>Instruction &amp; Dept Research</t>
  </si>
  <si>
    <t>Separately Budgeted Research</t>
  </si>
  <si>
    <t>Public Service</t>
  </si>
  <si>
    <t>Institution Support</t>
  </si>
  <si>
    <t>PRIMARY PROGRAMS</t>
  </si>
  <si>
    <t>SUPPORT PROGRAMS</t>
  </si>
  <si>
    <t>ANOKA RAMSEY CC</t>
  </si>
  <si>
    <t>BEMIDJI SU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</si>
  <si>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</si>
  <si>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</si>
  <si>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</si>
  <si>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</si>
  <si>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</si>
  <si>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</si>
  <si>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</si>
  <si>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MINNESOTA WEST COLLEGE</t>
  </si>
  <si>
    <t>NORMANDALE CC</t>
  </si>
  <si>
    <t>NORTH HENNEPIN CC</t>
  </si>
  <si>
    <t>RAINY RIVER CC</t>
  </si>
  <si>
    <t>RIDGEWATER COLLEGE</t>
  </si>
  <si>
    <t>ST CLOUD SU</t>
  </si>
  <si>
    <t>WINONA SU</t>
  </si>
  <si>
    <t>NORTHEAST HIGHER EDUCATION DISTRICT</t>
  </si>
  <si>
    <t>Institution Name</t>
  </si>
  <si>
    <t>Instruction</t>
  </si>
  <si>
    <t>Research</t>
  </si>
  <si>
    <t>Student Services</t>
  </si>
  <si>
    <t>Central Lakes College</t>
  </si>
  <si>
    <t>Century College</t>
  </si>
  <si>
    <t>Lake Superior College</t>
  </si>
  <si>
    <t>Minnesota SU Moorhead</t>
  </si>
  <si>
    <t>Minnesota SU, Mankato</t>
  </si>
  <si>
    <t>Minnesota West College</t>
  </si>
  <si>
    <t>Northeast Higher Education District</t>
  </si>
  <si>
    <t xml:space="preserve">     Mesabi Range College</t>
  </si>
  <si>
    <t>Northeast Service Unit</t>
  </si>
  <si>
    <t>Ridgewater College</t>
  </si>
  <si>
    <t>TOTAL</t>
  </si>
  <si>
    <t>MnSCU Finance Division</t>
  </si>
  <si>
    <t>Saint Paul College</t>
  </si>
  <si>
    <t>ANOKA TC</t>
  </si>
  <si>
    <t>METROPOLITAN SU</t>
  </si>
  <si>
    <t>SOUTHWEST MINNESOTA SU</t>
  </si>
  <si>
    <t>SAINT PAUL COLLEGE</t>
  </si>
  <si>
    <t>GFS 105 - excludes transfers, prior year salary, cost subsidies &amp; fiscal/auxiliary activities; instruction includes credit based; public service includes non credit and customized training/continuing education instruction; Other includes SGR appro and intercollegiate athletics</t>
  </si>
  <si>
    <t>NORTHWEST TC-BEMIDJI</t>
  </si>
  <si>
    <t>BEMIDJI SU &amp; NORTHWEST TC-BEMIDJI</t>
  </si>
  <si>
    <t>MINNESOTA SU MOORHEAD</t>
  </si>
  <si>
    <t>MINNESOTA SU, MANKATO</t>
  </si>
  <si>
    <t>MESABI RANGE COLLEGE</t>
  </si>
  <si>
    <t>VERMILION CC</t>
  </si>
  <si>
    <t>SOUTH CENTRAL COLLEGE</t>
  </si>
  <si>
    <t>MNSCU SYSTEM -- INCLUDES COST OF MnSCU SYSTEMWIDE/OFFICE OF THE CHANCELLOR &amp; NORTHEAST SERVICE UNIT</t>
  </si>
  <si>
    <t>South Central College</t>
  </si>
  <si>
    <t>ST CLOUD TCC</t>
  </si>
  <si>
    <t>Anoka Ramsey CC - Anoka TC</t>
  </si>
  <si>
    <t>ANOKA RAMSEY CC - ANOKA TC</t>
  </si>
  <si>
    <t xml:space="preserve"> </t>
  </si>
  <si>
    <t>Alexandria Technical &amp; Community College</t>
  </si>
  <si>
    <t>Anoka-Ramsey Community College</t>
  </si>
  <si>
    <t>Anoka Technical College</t>
  </si>
  <si>
    <t xml:space="preserve">    Anoka-Ramsey Community College</t>
  </si>
  <si>
    <t xml:space="preserve">    Anoka Technical College</t>
  </si>
  <si>
    <t xml:space="preserve">   Bemidji State University</t>
  </si>
  <si>
    <t xml:space="preserve">   Northwest Technical College-Bemidji</t>
  </si>
  <si>
    <t>Bemidji State University &amp;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</si>
  <si>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</si>
  <si>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</si>
  <si>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</si>
  <si>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</si>
  <si>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</si>
  <si>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</si>
  <si>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College-Southeast Technical</t>
  </si>
  <si>
    <t>Minnesota State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</si>
  <si>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</si>
  <si>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</si>
  <si>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</si>
  <si>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</si>
  <si>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Rainy River Community College</t>
  </si>
  <si>
    <t xml:space="preserve">     Vermilion Community College</t>
  </si>
  <si>
    <t>Northland Community &amp; Technical College</t>
  </si>
  <si>
    <t>Pine Technical &amp; Community College</t>
  </si>
  <si>
    <t>Riverland Community College</t>
  </si>
  <si>
    <t>Rochester Community &amp; Technical College</t>
  </si>
  <si>
    <t>Southwest Minnesota State University</t>
  </si>
  <si>
    <t>St. Cloud State University</t>
  </si>
  <si>
    <t>St. Cloud Technical &amp; Community College</t>
  </si>
  <si>
    <t>Winona State University</t>
  </si>
  <si>
    <t>ALEXANDRIA TCC</t>
  </si>
  <si>
    <t>MINNEAPOLIS CTC</t>
  </si>
  <si>
    <t>MINNESOTA SC-SOUTHEAST TECHNICAL</t>
  </si>
  <si>
    <t>MINNESOTA STATE CTC</t>
  </si>
  <si>
    <t>HIBBING COMMUNITY COLLEGE</t>
  </si>
  <si>
    <t>ITASCA COMMUNITY COLLEGE</t>
  </si>
  <si>
    <t>NORTHLAND CTC</t>
  </si>
  <si>
    <t>PINE TCC</t>
  </si>
  <si>
    <t>RIVERLAND CC</t>
  </si>
  <si>
    <t>ROCHESTER CTC</t>
  </si>
  <si>
    <t>Alexandria Technical College</t>
  </si>
  <si>
    <t>Anoak Ramsery CC-Anoka TC</t>
  </si>
  <si>
    <t>Minnesota State University Moorhead</t>
  </si>
  <si>
    <t>Minnesota State University, Mankato</t>
  </si>
  <si>
    <t>Minnesota West Community &amp; Technical College</t>
  </si>
  <si>
    <t xml:space="preserve">Minnesota State </t>
  </si>
  <si>
    <t xml:space="preserve">   Dakota County Technical College</t>
  </si>
  <si>
    <t xml:space="preserve">   Inver Hills Community College</t>
  </si>
  <si>
    <t>Inver Hills CC - Dakota County TC</t>
  </si>
  <si>
    <t>INVER HILLS CC - DAKOTA COUNTY TC</t>
  </si>
  <si>
    <t>Minnesota State System Office</t>
  </si>
  <si>
    <t>March 2017</t>
  </si>
  <si>
    <t>Inst ID</t>
  </si>
  <si>
    <t>0203</t>
  </si>
  <si>
    <t>0152</t>
  </si>
  <si>
    <t>0153</t>
  </si>
  <si>
    <t>0155</t>
  </si>
  <si>
    <t>0157</t>
  </si>
  <si>
    <t>0202</t>
  </si>
  <si>
    <t>0070</t>
  </si>
  <si>
    <t>0263</t>
  </si>
  <si>
    <t>0301</t>
  </si>
  <si>
    <t>0304</t>
  </si>
  <si>
    <t>0211</t>
  </si>
  <si>
    <t>0163</t>
  </si>
  <si>
    <t>0204</t>
  </si>
  <si>
    <t>0302</t>
  </si>
  <si>
    <t>0076</t>
  </si>
  <si>
    <t>0305</t>
  </si>
  <si>
    <t>0213</t>
  </si>
  <si>
    <t>0142</t>
  </si>
  <si>
    <t>0072</t>
  </si>
  <si>
    <t>0071</t>
  </si>
  <si>
    <t>0209</t>
  </si>
  <si>
    <t>0156</t>
  </si>
  <si>
    <t>0411</t>
  </si>
  <si>
    <t>0310</t>
  </si>
  <si>
    <t>0144</t>
  </si>
  <si>
    <t>0147</t>
  </si>
  <si>
    <t>0303</t>
  </si>
  <si>
    <t>0205</t>
  </si>
  <si>
    <t>0308</t>
  </si>
  <si>
    <t>0307</t>
  </si>
  <si>
    <t>0306</t>
  </si>
  <si>
    <t>0206</t>
  </si>
  <si>
    <t>0309</t>
  </si>
  <si>
    <t>0075</t>
  </si>
  <si>
    <t>0073</t>
  </si>
  <si>
    <t>0208</t>
  </si>
  <si>
    <t>0074</t>
  </si>
  <si>
    <t>Dakota County Technical College-Inver Hills Community College</t>
  </si>
  <si>
    <t>FY2018 Indirect</t>
  </si>
  <si>
    <t>FY2019 Expenditures by IPEDS Category -- Used in Step Down</t>
  </si>
  <si>
    <t>FP&amp;A March 2020</t>
  </si>
  <si>
    <t>FY2019 FYE</t>
  </si>
  <si>
    <t>MINNESOTA STATE - F.Y. 2019</t>
  </si>
  <si>
    <t>Bemidji State University</t>
  </si>
  <si>
    <t>Northwest Technical College-Bemidji</t>
  </si>
  <si>
    <t>Hibbing Community College</t>
  </si>
  <si>
    <t>Itasca Community College</t>
  </si>
  <si>
    <t>Mesabi Range College</t>
  </si>
  <si>
    <t>Rainy River Community College</t>
  </si>
  <si>
    <t>Vermilion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</si>
</sst>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_);[Red]\(#,##0.000\)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6" fillId="0" borderId="0"/>
    <xf numFmtId="43" fontId="13" fillId="0" borderId="0" applyFont="0" applyFill="0" applyBorder="0" applyAlignment="0" applyProtection="0"/>
  </cellStyleXfs>
  <cellXfs count="51">
    <xf numFmtId="0" fontId="0" fillId="0" borderId="0" xfId="0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/>
    <xf numFmtId="38" fontId="1" fillId="0" borderId="0" xfId="0" applyNumberFormat="1" applyFont="1" applyBorder="1" applyAlignment="1"/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0" fontId="3" fillId="0" borderId="0" xfId="0" applyFont="1"/>
    <xf numFmtId="38" fontId="0" fillId="0" borderId="0" xfId="0" applyNumberFormat="1" applyBorder="1" applyAlignment="1">
      <alignment horizontal="center" wrapText="1"/>
    </xf>
    <xf numFmtId="38" fontId="0" fillId="0" borderId="0" xfId="0" applyNumberFormat="1" applyBorder="1" applyAlignment="1">
      <alignment wrapText="1"/>
    </xf>
    <xf numFmtId="38" fontId="1" fillId="0" borderId="1" xfId="0" applyNumberFormat="1" applyFont="1" applyBorder="1" applyAlignment="1">
      <alignment horizontal="centerContinuous"/>
    </xf>
    <xf numFmtId="38" fontId="0" fillId="0" borderId="1" xfId="0" applyNumberFormat="1" applyBorder="1" applyAlignment="1">
      <alignment horizontal="centerContinuous"/>
    </xf>
    <xf numFmtId="0" fontId="4" fillId="0" borderId="0" xfId="0" applyFont="1"/>
    <xf numFmtId="0" fontId="5" fillId="2" borderId="2" xfId="2" applyFont="1" applyFill="1" applyBorder="1" applyAlignment="1">
      <alignment horizontal="center" wrapText="1"/>
    </xf>
    <xf numFmtId="0" fontId="7" fillId="0" borderId="0" xfId="0" applyFont="1"/>
    <xf numFmtId="0" fontId="5" fillId="0" borderId="3" xfId="2" applyFont="1" applyFill="1" applyBorder="1" applyAlignment="1">
      <alignment horizontal="left" wrapText="1"/>
    </xf>
    <xf numFmtId="38" fontId="5" fillId="0" borderId="2" xfId="1" applyNumberFormat="1" applyFont="1" applyFill="1" applyBorder="1" applyAlignment="1">
      <alignment horizontal="right" wrapText="1"/>
    </xf>
    <xf numFmtId="38" fontId="4" fillId="0" borderId="0" xfId="0" applyNumberFormat="1" applyFont="1" applyFill="1"/>
    <xf numFmtId="38" fontId="4" fillId="0" borderId="0" xfId="0" applyNumberFormat="1" applyFont="1" applyFill="1" applyBorder="1"/>
    <xf numFmtId="38" fontId="9" fillId="0" borderId="0" xfId="0" applyNumberFormat="1" applyFont="1" applyFill="1"/>
    <xf numFmtId="38" fontId="5" fillId="0" borderId="2" xfId="2" applyNumberFormat="1" applyFont="1" applyFill="1" applyBorder="1" applyAlignment="1">
      <alignment horizontal="center" wrapText="1"/>
    </xf>
    <xf numFmtId="38" fontId="5" fillId="0" borderId="5" xfId="2" applyNumberFormat="1" applyFont="1" applyFill="1" applyBorder="1" applyAlignment="1">
      <alignment horizontal="center" wrapText="1"/>
    </xf>
    <xf numFmtId="38" fontId="5" fillId="0" borderId="6" xfId="1" applyNumberFormat="1" applyFont="1" applyFill="1" applyBorder="1" applyAlignment="1">
      <alignment horizontal="right" wrapText="1"/>
    </xf>
    <xf numFmtId="38" fontId="5" fillId="0" borderId="0" xfId="1" applyNumberFormat="1" applyFont="1" applyFill="1" applyBorder="1" applyAlignment="1">
      <alignment horizontal="right" wrapText="1"/>
    </xf>
    <xf numFmtId="38" fontId="5" fillId="0" borderId="6" xfId="1" applyNumberFormat="1" applyFont="1" applyFill="1" applyBorder="1"/>
    <xf numFmtId="38" fontId="5" fillId="0" borderId="2" xfId="2" applyNumberFormat="1" applyFont="1" applyFill="1" applyBorder="1" applyAlignment="1">
      <alignment horizontal="right" wrapText="1"/>
    </xf>
    <xf numFmtId="38" fontId="5" fillId="0" borderId="6" xfId="2" applyNumberFormat="1" applyFont="1" applyFill="1" applyBorder="1" applyAlignment="1">
      <alignment horizontal="right" wrapText="1"/>
    </xf>
    <xf numFmtId="49" fontId="4" fillId="0" borderId="0" xfId="0" applyNumberFormat="1" applyFont="1"/>
    <xf numFmtId="3" fontId="4" fillId="0" borderId="0" xfId="0" applyNumberFormat="1" applyFont="1"/>
    <xf numFmtId="0" fontId="12" fillId="0" borderId="0" xfId="0" applyFont="1"/>
    <xf numFmtId="0" fontId="4" fillId="0" borderId="0" xfId="0" applyFont="1" applyFill="1"/>
    <xf numFmtId="38" fontId="4" fillId="0" borderId="4" xfId="0" applyNumberFormat="1" applyFont="1" applyFill="1" applyBorder="1" applyAlignment="1">
      <alignment horizontal="right" wrapText="1"/>
    </xf>
    <xf numFmtId="3" fontId="4" fillId="0" borderId="2" xfId="0" applyNumberFormat="1" applyFont="1" applyBorder="1"/>
    <xf numFmtId="0" fontId="4" fillId="0" borderId="2" xfId="0" applyFont="1" applyBorder="1"/>
    <xf numFmtId="0" fontId="5" fillId="0" borderId="2" xfId="2" applyFont="1" applyFill="1" applyBorder="1" applyAlignment="1">
      <alignment horizontal="left" wrapText="1"/>
    </xf>
    <xf numFmtId="38" fontId="4" fillId="0" borderId="2" xfId="0" applyNumberFormat="1" applyFont="1" applyBorder="1"/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7" fillId="0" borderId="0" xfId="0" applyFont="1" applyFill="1"/>
    <xf numFmtId="0" fontId="5" fillId="0" borderId="2" xfId="2" applyFont="1" applyFill="1" applyBorder="1" applyAlignment="1">
      <alignment horizontal="center" wrapText="1"/>
    </xf>
    <xf numFmtId="38" fontId="4" fillId="0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Fill="1"/>
    <xf numFmtId="49" fontId="4" fillId="0" borderId="2" xfId="0" applyNumberFormat="1" applyFont="1" applyBorder="1"/>
    <xf numFmtId="43" fontId="4" fillId="0" borderId="2" xfId="3" applyFont="1" applyBorder="1"/>
    <xf numFmtId="43" fontId="4" fillId="0" borderId="0" xfId="3" applyFont="1"/>
    <xf numFmtId="3" fontId="4" fillId="0" borderId="2" xfId="3" applyNumberFormat="1" applyFont="1" applyBorder="1"/>
    <xf numFmtId="38" fontId="4" fillId="0" borderId="2" xfId="3" applyNumberFormat="1" applyFont="1" applyBorder="1"/>
    <xf numFmtId="38" fontId="4" fillId="0" borderId="0" xfId="3" applyNumberFormat="1" applyFont="1"/>
    <xf numFmtId="40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wrapText="1"/>
    </xf>
  </cellXfs>
  <cellStyles count="4">
    <cellStyle name="Comma" xfId="3" builtinId="3"/>
    <cellStyle name="Normal" xfId="0" builtinId="0"/>
    <cellStyle name="Normal_Master Expend Table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3"/>
  <sheetViews>
    <sheetView tabSelected="1" zoomScaleNormal="10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B38" sqref="B38:B39"/>
    </sheetView>
  </sheetViews>
  <sheetFormatPr defaultColWidth="9.1796875" defaultRowHeight="11.5" x14ac:dyDescent="0.25"/>
  <cols>
    <col min="1" max="1" width="35.7265625" style="30" customWidth="1"/>
    <col min="2" max="2" width="11.453125" style="17" customWidth="1"/>
    <col min="3" max="3" width="10.1796875" style="17" customWidth="1"/>
    <col min="4" max="4" width="11.26953125" style="17" customWidth="1"/>
    <col min="5" max="5" width="10.1796875" style="17" customWidth="1"/>
    <col min="6" max="6" width="2.7265625" style="18" customWidth="1"/>
    <col min="7" max="7" width="14.81640625" style="17" customWidth="1"/>
    <col min="8" max="8" width="13.7265625" style="17" customWidth="1"/>
    <col min="9" max="9" width="14.54296875" style="17" customWidth="1"/>
    <col min="10" max="10" width="11.7265625" style="17" customWidth="1"/>
    <col min="11" max="11" width="12.7265625" style="17" customWidth="1"/>
    <col min="12" max="12" width="2.26953125" style="30" customWidth="1"/>
    <col min="13" max="13" width="12.81640625" style="30" bestFit="1" customWidth="1"/>
    <col min="14" max="16384" width="9.1796875" style="30"/>
  </cols>
  <sheetData>
    <row r="1" spans="1:13" ht="20" x14ac:dyDescent="0.4">
      <c r="A1" s="38" t="s">
        <v>115</v>
      </c>
      <c r="H1" s="19"/>
    </row>
    <row r="2" spans="1:13" x14ac:dyDescent="0.25">
      <c r="A2" s="38" t="s">
        <v>162</v>
      </c>
    </row>
    <row r="3" spans="1:13" ht="24" customHeight="1" x14ac:dyDescent="0.25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3" ht="31.5" customHeight="1" x14ac:dyDescent="0.25">
      <c r="A5" s="39" t="s">
        <v>35</v>
      </c>
      <c r="B5" s="20" t="s">
        <v>36</v>
      </c>
      <c r="C5" s="20" t="s">
        <v>37</v>
      </c>
      <c r="D5" s="20" t="s">
        <v>14</v>
      </c>
      <c r="E5" s="20" t="s">
        <v>0</v>
      </c>
      <c r="F5" s="21"/>
      <c r="G5" s="20" t="s">
        <v>7</v>
      </c>
      <c r="H5" s="20" t="s">
        <v>38</v>
      </c>
      <c r="I5" s="20" t="s">
        <v>15</v>
      </c>
      <c r="J5" s="20" t="s">
        <v>3</v>
      </c>
      <c r="K5" s="40" t="s">
        <v>1</v>
      </c>
    </row>
    <row r="6" spans="1:13" ht="12" customHeight="1" x14ac:dyDescent="0.25">
      <c r="A6" s="15" t="s">
        <v>70</v>
      </c>
      <c r="B6" s="22">
        <v>10373261.26</v>
      </c>
      <c r="C6" s="22">
        <v>32424.9</v>
      </c>
      <c r="D6" s="22">
        <v>794860.09</v>
      </c>
      <c r="E6" s="22"/>
      <c r="F6" s="23"/>
      <c r="G6" s="22">
        <v>2413575.87</v>
      </c>
      <c r="H6" s="22">
        <v>2098850.5</v>
      </c>
      <c r="I6" s="22">
        <v>3442967.34</v>
      </c>
      <c r="J6" s="22">
        <v>2551007.88</v>
      </c>
      <c r="K6" s="31">
        <f t="shared" ref="K6:K48" si="0">SUM(B6:J6)</f>
        <v>21706947.84</v>
      </c>
    </row>
    <row r="7" spans="1:13" ht="12" customHeight="1" x14ac:dyDescent="0.25">
      <c r="A7" s="15" t="s">
        <v>67</v>
      </c>
      <c r="B7" s="22">
        <f>B8+B9</f>
        <v>30805469.630000003</v>
      </c>
      <c r="C7" s="22">
        <f>C8+C9</f>
        <v>0</v>
      </c>
      <c r="D7" s="22">
        <f>D8+D9</f>
        <v>1329438.9099999999</v>
      </c>
      <c r="E7" s="22">
        <f>E8+E9</f>
        <v>49316.229999999996</v>
      </c>
      <c r="F7" s="23"/>
      <c r="G7" s="22">
        <f>G8+G9</f>
        <v>9046797.2100000009</v>
      </c>
      <c r="H7" s="22">
        <f>H8+H9</f>
        <v>7174959.9100000001</v>
      </c>
      <c r="I7" s="22">
        <f>I8+I9</f>
        <v>9275767.5800000001</v>
      </c>
      <c r="J7" s="22">
        <f>J8+J9</f>
        <v>7255531.6199999992</v>
      </c>
      <c r="K7" s="31">
        <f t="shared" si="0"/>
        <v>64937281.089999996</v>
      </c>
    </row>
    <row r="8" spans="1:13" ht="12" customHeight="1" x14ac:dyDescent="0.25">
      <c r="A8" s="34" t="s">
        <v>73</v>
      </c>
      <c r="B8" s="22">
        <v>22148800.350000001</v>
      </c>
      <c r="C8" s="22"/>
      <c r="D8" s="22">
        <v>1329438.9099999999</v>
      </c>
      <c r="E8" s="22">
        <v>25229.11</v>
      </c>
      <c r="F8" s="23"/>
      <c r="G8" s="22">
        <v>7515812.3700000001</v>
      </c>
      <c r="H8" s="22">
        <v>5519111.1200000001</v>
      </c>
      <c r="I8" s="22">
        <v>7112743.7300000004</v>
      </c>
      <c r="J8" s="22">
        <v>4964489.1399999997</v>
      </c>
      <c r="K8" s="31">
        <f t="shared" si="0"/>
        <v>48615624.730000004</v>
      </c>
      <c r="M8" s="17"/>
    </row>
    <row r="9" spans="1:13" ht="12" customHeight="1" x14ac:dyDescent="0.25">
      <c r="A9" s="34" t="s">
        <v>74</v>
      </c>
      <c r="B9" s="22">
        <v>8656669.2799999993</v>
      </c>
      <c r="C9" s="24"/>
      <c r="D9" s="22"/>
      <c r="E9" s="22">
        <v>24087.119999999999</v>
      </c>
      <c r="F9" s="23"/>
      <c r="G9" s="22">
        <v>1530984.84</v>
      </c>
      <c r="H9" s="22">
        <v>1655848.79</v>
      </c>
      <c r="I9" s="22">
        <v>2163023.85</v>
      </c>
      <c r="J9" s="22">
        <v>2291042.48</v>
      </c>
      <c r="K9" s="31">
        <f t="shared" si="0"/>
        <v>16321656.359999998</v>
      </c>
      <c r="M9" s="49"/>
    </row>
    <row r="10" spans="1:13" ht="12" customHeight="1" x14ac:dyDescent="0.25">
      <c r="A10" s="34" t="s">
        <v>77</v>
      </c>
      <c r="B10" s="16">
        <f>SUM(B11:B12)</f>
        <v>27249603.57</v>
      </c>
      <c r="C10" s="16">
        <f>SUM(C11:C12)</f>
        <v>0</v>
      </c>
      <c r="D10" s="16">
        <f>SUM(D11:D12)</f>
        <v>199689.59000000003</v>
      </c>
      <c r="E10" s="16">
        <f>SUM(E11:E12)</f>
        <v>4686435.0599999996</v>
      </c>
      <c r="F10" s="23"/>
      <c r="G10" s="16">
        <f>SUM(G11:G12)</f>
        <v>7861543.5</v>
      </c>
      <c r="H10" s="16">
        <f>SUM(H11:H12)</f>
        <v>6224628.9100000001</v>
      </c>
      <c r="I10" s="16">
        <f>SUM(I11:I12)</f>
        <v>10791743.890000001</v>
      </c>
      <c r="J10" s="16">
        <f>SUM(J11:J12)</f>
        <v>7124530.54</v>
      </c>
      <c r="K10" s="16">
        <f>SUM(K11:K12)</f>
        <v>64138175.059999987</v>
      </c>
    </row>
    <row r="11" spans="1:13" ht="12" customHeight="1" x14ac:dyDescent="0.25">
      <c r="A11" s="34" t="s">
        <v>75</v>
      </c>
      <c r="B11" s="22">
        <v>23440885.989999998</v>
      </c>
      <c r="C11" s="22"/>
      <c r="D11" s="22">
        <v>137513.95000000001</v>
      </c>
      <c r="E11" s="22">
        <v>4600117.5</v>
      </c>
      <c r="F11" s="23"/>
      <c r="G11" s="22">
        <v>7277997.1399999997</v>
      </c>
      <c r="H11" s="22">
        <v>4731071.08</v>
      </c>
      <c r="I11" s="22">
        <v>8915680.8000000007</v>
      </c>
      <c r="J11" s="22">
        <v>6500086.8700000001</v>
      </c>
      <c r="K11" s="31">
        <f>SUM(B11:J11)</f>
        <v>55603353.329999991</v>
      </c>
    </row>
    <row r="12" spans="1:13" ht="12" customHeight="1" x14ac:dyDescent="0.25">
      <c r="A12" s="34" t="s">
        <v>76</v>
      </c>
      <c r="B12" s="22">
        <v>3808717.58</v>
      </c>
      <c r="C12" s="24"/>
      <c r="D12" s="22">
        <v>62175.64</v>
      </c>
      <c r="E12" s="22">
        <v>86317.56</v>
      </c>
      <c r="F12" s="23"/>
      <c r="G12" s="22">
        <v>583546.36</v>
      </c>
      <c r="H12" s="22">
        <v>1493557.83</v>
      </c>
      <c r="I12" s="22">
        <v>1876063.09</v>
      </c>
      <c r="J12" s="22">
        <v>624443.67000000004</v>
      </c>
      <c r="K12" s="31">
        <f>SUM(B12:J12)</f>
        <v>8534821.7300000004</v>
      </c>
    </row>
    <row r="13" spans="1:13" ht="12" customHeight="1" x14ac:dyDescent="0.25">
      <c r="A13" s="15" t="s">
        <v>39</v>
      </c>
      <c r="B13" s="22">
        <v>12526114.67</v>
      </c>
      <c r="C13" s="24"/>
      <c r="D13" s="22">
        <v>735095.83</v>
      </c>
      <c r="E13" s="22">
        <v>152996.01</v>
      </c>
      <c r="F13" s="23"/>
      <c r="G13" s="22">
        <v>3951653.37</v>
      </c>
      <c r="H13" s="22">
        <v>3135949.93</v>
      </c>
      <c r="I13" s="22">
        <v>3095886.27</v>
      </c>
      <c r="J13" s="22">
        <v>2764352.38</v>
      </c>
      <c r="K13" s="31">
        <f t="shared" si="0"/>
        <v>26362048.459999997</v>
      </c>
    </row>
    <row r="14" spans="1:13" ht="12" customHeight="1" x14ac:dyDescent="0.25">
      <c r="A14" s="15" t="s">
        <v>40</v>
      </c>
      <c r="B14" s="22">
        <v>29042340.780000001</v>
      </c>
      <c r="C14" s="24"/>
      <c r="D14" s="22">
        <v>1453336.63</v>
      </c>
      <c r="E14" s="22"/>
      <c r="F14" s="23"/>
      <c r="G14" s="22">
        <v>7216733.96</v>
      </c>
      <c r="H14" s="22">
        <v>6474638.9500000002</v>
      </c>
      <c r="I14" s="22">
        <v>9534158.2799999993</v>
      </c>
      <c r="J14" s="22">
        <v>6180296.6600000001</v>
      </c>
      <c r="K14" s="31">
        <f t="shared" si="0"/>
        <v>59901505.260000005</v>
      </c>
    </row>
    <row r="15" spans="1:13" ht="12" customHeight="1" x14ac:dyDescent="0.25">
      <c r="A15" s="15" t="s">
        <v>118</v>
      </c>
      <c r="B15" s="22">
        <f>B16+B17</f>
        <v>26563604</v>
      </c>
      <c r="C15" s="22">
        <f t="shared" ref="C15:E15" si="1">C16+C17</f>
        <v>0</v>
      </c>
      <c r="D15" s="22">
        <f t="shared" si="1"/>
        <v>2274558.46</v>
      </c>
      <c r="E15" s="22">
        <f t="shared" si="1"/>
        <v>329919.67000000004</v>
      </c>
      <c r="F15" s="23"/>
      <c r="G15" s="22">
        <f>G16+G17</f>
        <v>6892319.5700000003</v>
      </c>
      <c r="H15" s="22">
        <f t="shared" ref="H15:J15" si="2">H16+H17</f>
        <v>5844725.9199999999</v>
      </c>
      <c r="I15" s="22">
        <f t="shared" si="2"/>
        <v>7913443.29</v>
      </c>
      <c r="J15" s="22">
        <f t="shared" si="2"/>
        <v>6413880.9100000001</v>
      </c>
      <c r="K15" s="22">
        <f>K16+K17</f>
        <v>56232451.819999993</v>
      </c>
    </row>
    <row r="16" spans="1:13" ht="12" customHeight="1" x14ac:dyDescent="0.25">
      <c r="A16" s="34" t="s">
        <v>116</v>
      </c>
      <c r="B16" s="22">
        <v>11756780.060000001</v>
      </c>
      <c r="C16" s="24"/>
      <c r="D16" s="22">
        <v>1711683.01</v>
      </c>
      <c r="E16" s="22">
        <v>304211.89</v>
      </c>
      <c r="F16" s="23"/>
      <c r="G16" s="22">
        <v>2727909.39</v>
      </c>
      <c r="H16" s="22">
        <v>2496730.39</v>
      </c>
      <c r="I16" s="22">
        <v>3644566.66</v>
      </c>
      <c r="J16" s="22">
        <v>3307441.9</v>
      </c>
      <c r="K16" s="31">
        <f t="shared" si="0"/>
        <v>25949323.300000001</v>
      </c>
    </row>
    <row r="17" spans="1:13" ht="12" customHeight="1" x14ac:dyDescent="0.25">
      <c r="A17" s="34" t="s">
        <v>117</v>
      </c>
      <c r="B17" s="22">
        <v>14806823.939999999</v>
      </c>
      <c r="C17" s="24"/>
      <c r="D17" s="22">
        <v>562875.44999999995</v>
      </c>
      <c r="E17" s="22">
        <v>25707.78</v>
      </c>
      <c r="F17" s="23"/>
      <c r="G17" s="22">
        <v>4164410.18</v>
      </c>
      <c r="H17" s="22">
        <v>3347995.53</v>
      </c>
      <c r="I17" s="22">
        <v>4268876.63</v>
      </c>
      <c r="J17" s="22">
        <v>3106439.01</v>
      </c>
      <c r="K17" s="31">
        <f>SUM(B17:J17)</f>
        <v>30283128.519999996</v>
      </c>
    </row>
    <row r="18" spans="1:13" ht="12" customHeight="1" x14ac:dyDescent="0.25">
      <c r="A18" s="34" t="s">
        <v>79</v>
      </c>
      <c r="B18" s="22">
        <v>4276526.4800000004</v>
      </c>
      <c r="C18" s="22">
        <v>15554.56</v>
      </c>
      <c r="D18" s="22">
        <v>807.59</v>
      </c>
      <c r="E18" s="24"/>
      <c r="F18" s="23"/>
      <c r="G18" s="22">
        <v>1491293.22</v>
      </c>
      <c r="H18" s="22">
        <v>960100.53</v>
      </c>
      <c r="I18" s="22">
        <v>1573650.87</v>
      </c>
      <c r="J18" s="22">
        <v>935126.73</v>
      </c>
      <c r="K18" s="31">
        <f t="shared" si="0"/>
        <v>9253059.9800000004</v>
      </c>
    </row>
    <row r="19" spans="1:13" ht="12" customHeight="1" x14ac:dyDescent="0.25">
      <c r="A19" s="34" t="s">
        <v>80</v>
      </c>
      <c r="B19" s="22">
        <v>19677822.350000001</v>
      </c>
      <c r="C19" s="22"/>
      <c r="D19" s="22">
        <v>1911688.04</v>
      </c>
      <c r="E19" s="22"/>
      <c r="F19" s="23"/>
      <c r="G19" s="22">
        <v>5541378.9100000001</v>
      </c>
      <c r="H19" s="22">
        <v>4626193.87</v>
      </c>
      <c r="I19" s="22">
        <v>5296746.62</v>
      </c>
      <c r="J19" s="22">
        <v>4934288.03</v>
      </c>
      <c r="K19" s="31">
        <f t="shared" si="0"/>
        <v>41988117.82</v>
      </c>
    </row>
    <row r="20" spans="1:13" ht="12" customHeight="1" x14ac:dyDescent="0.25">
      <c r="A20" s="15" t="s">
        <v>41</v>
      </c>
      <c r="B20" s="22">
        <v>17942367.710000001</v>
      </c>
      <c r="C20" s="22"/>
      <c r="D20" s="22">
        <v>2333698.5499999998</v>
      </c>
      <c r="E20" s="22"/>
      <c r="F20" s="23"/>
      <c r="G20" s="22">
        <v>3397432.49</v>
      </c>
      <c r="H20" s="22">
        <v>3519975.34</v>
      </c>
      <c r="I20" s="22">
        <v>5371874.79</v>
      </c>
      <c r="J20" s="22">
        <v>3994364.19</v>
      </c>
      <c r="K20" s="31">
        <f t="shared" si="0"/>
        <v>36559713.07</v>
      </c>
    </row>
    <row r="21" spans="1:13" ht="12" customHeight="1" x14ac:dyDescent="0.25">
      <c r="A21" s="34" t="s">
        <v>82</v>
      </c>
      <c r="B21" s="22">
        <v>30197703.949999999</v>
      </c>
      <c r="C21" s="22">
        <v>176223.46</v>
      </c>
      <c r="D21" s="22">
        <v>7423.81</v>
      </c>
      <c r="E21" s="22"/>
      <c r="F21" s="23"/>
      <c r="G21" s="22">
        <v>21630710.140000001</v>
      </c>
      <c r="H21" s="22">
        <v>5044662.91</v>
      </c>
      <c r="I21" s="22">
        <v>15266494.560000001</v>
      </c>
      <c r="J21" s="22">
        <v>7010724.8200000003</v>
      </c>
      <c r="K21" s="31">
        <f t="shared" si="0"/>
        <v>79333943.650000006</v>
      </c>
    </row>
    <row r="22" spans="1:13" ht="12" customHeight="1" x14ac:dyDescent="0.25">
      <c r="A22" s="34" t="s">
        <v>83</v>
      </c>
      <c r="B22" s="22">
        <v>20951513.710000001</v>
      </c>
      <c r="C22" s="24"/>
      <c r="D22" s="22">
        <v>1212247.22</v>
      </c>
      <c r="E22" s="22"/>
      <c r="F22" s="23"/>
      <c r="G22" s="22">
        <v>6716872.75</v>
      </c>
      <c r="H22" s="22">
        <v>6128981.4000000004</v>
      </c>
      <c r="I22" s="22">
        <v>7292195.0099999998</v>
      </c>
      <c r="J22" s="22">
        <v>6427287.0099999998</v>
      </c>
      <c r="K22" s="31">
        <f t="shared" si="0"/>
        <v>48729097.099999994</v>
      </c>
    </row>
    <row r="23" spans="1:13" ht="12" customHeight="1" x14ac:dyDescent="0.25">
      <c r="A23" s="34" t="s">
        <v>84</v>
      </c>
      <c r="B23" s="22">
        <v>7671080.4900000002</v>
      </c>
      <c r="C23" s="22">
        <v>71312.62</v>
      </c>
      <c r="D23" s="22">
        <v>468129.22</v>
      </c>
      <c r="E23" s="22"/>
      <c r="F23" s="23"/>
      <c r="G23" s="22">
        <v>2131674.79</v>
      </c>
      <c r="H23" s="22">
        <v>1534802.43</v>
      </c>
      <c r="I23" s="22">
        <v>2675881.5299999998</v>
      </c>
      <c r="J23" s="22">
        <v>1570810.81</v>
      </c>
      <c r="K23" s="31">
        <f t="shared" si="0"/>
        <v>16123691.890000001</v>
      </c>
    </row>
    <row r="24" spans="1:13" ht="12" customHeight="1" x14ac:dyDescent="0.25">
      <c r="A24" s="34" t="s">
        <v>85</v>
      </c>
      <c r="B24" s="22">
        <v>20423866.719999999</v>
      </c>
      <c r="C24" s="24"/>
      <c r="D24" s="22">
        <v>1541618.58</v>
      </c>
      <c r="E24" s="22"/>
      <c r="F24" s="23"/>
      <c r="G24" s="22">
        <v>4751963</v>
      </c>
      <c r="H24" s="22">
        <v>6027654.2999999998</v>
      </c>
      <c r="I24" s="22">
        <v>6692781.6100000003</v>
      </c>
      <c r="J24" s="22">
        <v>4043574.43</v>
      </c>
      <c r="K24" s="31">
        <f t="shared" si="0"/>
        <v>43481458.640000001</v>
      </c>
    </row>
    <row r="25" spans="1:13" ht="12" customHeight="1" x14ac:dyDescent="0.25">
      <c r="A25" s="15" t="s">
        <v>42</v>
      </c>
      <c r="B25" s="22">
        <v>33978159.369999997</v>
      </c>
      <c r="C25" s="22">
        <v>6146.16</v>
      </c>
      <c r="D25" s="22">
        <v>856507.44</v>
      </c>
      <c r="E25" s="22">
        <v>3400249.01</v>
      </c>
      <c r="F25" s="23"/>
      <c r="G25" s="22">
        <v>12466151.029999999</v>
      </c>
      <c r="H25" s="22">
        <v>9410914.1600000001</v>
      </c>
      <c r="I25" s="22">
        <v>7941901.7300000004</v>
      </c>
      <c r="J25" s="22">
        <v>8393897.7599999998</v>
      </c>
      <c r="K25" s="31">
        <f>SUM(B25:J25)</f>
        <v>76453926.659999996</v>
      </c>
    </row>
    <row r="26" spans="1:13" ht="12" customHeight="1" x14ac:dyDescent="0.25">
      <c r="A26" s="15" t="s">
        <v>43</v>
      </c>
      <c r="B26" s="22">
        <v>85605451.230000004</v>
      </c>
      <c r="C26" s="22">
        <v>1189237.78</v>
      </c>
      <c r="D26" s="22">
        <v>2252512.54</v>
      </c>
      <c r="E26" s="22">
        <f>6523067.29+807562.35</f>
        <v>7330629.6399999997</v>
      </c>
      <c r="F26" s="23"/>
      <c r="G26" s="22">
        <v>30359568.170000002</v>
      </c>
      <c r="H26" s="22">
        <v>18689851.18</v>
      </c>
      <c r="I26" s="22">
        <v>21640650.309999999</v>
      </c>
      <c r="J26" s="22">
        <v>17546367.920000002</v>
      </c>
      <c r="K26" s="31">
        <f t="shared" si="0"/>
        <v>184614268.77000004</v>
      </c>
    </row>
    <row r="27" spans="1:13" ht="12" customHeight="1" x14ac:dyDescent="0.25">
      <c r="A27" s="15" t="s">
        <v>44</v>
      </c>
      <c r="B27" s="22">
        <v>11340310.6</v>
      </c>
      <c r="C27" s="22">
        <v>3000</v>
      </c>
      <c r="D27" s="22">
        <v>1342701.42</v>
      </c>
      <c r="E27" s="22">
        <v>268357.37</v>
      </c>
      <c r="F27" s="23"/>
      <c r="G27" s="22">
        <v>2934072.14</v>
      </c>
      <c r="H27" s="22">
        <v>3435620.07</v>
      </c>
      <c r="I27" s="22">
        <v>2807219.33</v>
      </c>
      <c r="J27" s="22">
        <v>2503803.98</v>
      </c>
      <c r="K27" s="31">
        <f t="shared" si="0"/>
        <v>24635084.91</v>
      </c>
    </row>
    <row r="28" spans="1:13" ht="12" customHeight="1" x14ac:dyDescent="0.25">
      <c r="A28" s="15" t="s">
        <v>120</v>
      </c>
      <c r="B28" s="24"/>
      <c r="C28" s="22"/>
      <c r="D28" s="22"/>
      <c r="E28" s="24"/>
      <c r="F28" s="23"/>
      <c r="G28" s="22">
        <v>4418511.6100000003</v>
      </c>
      <c r="H28" s="22">
        <v>1615392.24</v>
      </c>
      <c r="I28" s="22">
        <v>12510208.630000001</v>
      </c>
      <c r="J28" s="22">
        <v>1005845.89</v>
      </c>
      <c r="K28" s="31">
        <f t="shared" si="0"/>
        <v>19549958.370000001</v>
      </c>
    </row>
    <row r="29" spans="1:13" x14ac:dyDescent="0.25">
      <c r="A29" s="34" t="s">
        <v>86</v>
      </c>
      <c r="B29" s="22">
        <v>28933722.73</v>
      </c>
      <c r="C29" s="24">
        <v>673.71</v>
      </c>
      <c r="D29" s="22">
        <v>1124191.51</v>
      </c>
      <c r="E29" s="22"/>
      <c r="F29" s="23"/>
      <c r="G29" s="22">
        <v>11004895.99</v>
      </c>
      <c r="H29" s="22">
        <v>5361779.67</v>
      </c>
      <c r="I29" s="22">
        <v>8419809.6999999993</v>
      </c>
      <c r="J29" s="22">
        <v>5687952.1500000004</v>
      </c>
      <c r="K29" s="31">
        <f t="shared" si="0"/>
        <v>60533025.460000001</v>
      </c>
    </row>
    <row r="30" spans="1:13" ht="12" customHeight="1" x14ac:dyDescent="0.25">
      <c r="A30" s="34" t="s">
        <v>87</v>
      </c>
      <c r="B30" s="22">
        <v>18767149.09</v>
      </c>
      <c r="C30" s="22">
        <v>3104.45</v>
      </c>
      <c r="D30" s="22"/>
      <c r="E30" s="24"/>
      <c r="F30" s="23"/>
      <c r="G30" s="22">
        <v>6388289</v>
      </c>
      <c r="H30" s="22">
        <v>4394521.8099999996</v>
      </c>
      <c r="I30" s="22">
        <v>5590704.3700000001</v>
      </c>
      <c r="J30" s="22">
        <v>4605027.87</v>
      </c>
      <c r="K30" s="31">
        <f t="shared" si="0"/>
        <v>39748796.589999996</v>
      </c>
    </row>
    <row r="31" spans="1:13" ht="12" customHeight="1" x14ac:dyDescent="0.25">
      <c r="A31" s="15" t="s">
        <v>45</v>
      </c>
      <c r="B31" s="25">
        <f>SUM(B32:B36)</f>
        <v>17972537.289999999</v>
      </c>
      <c r="C31" s="25">
        <f>SUM(C32:C36)</f>
        <v>0</v>
      </c>
      <c r="D31" s="25">
        <f>SUM(D32:D36)</f>
        <v>1104826.32</v>
      </c>
      <c r="E31" s="25">
        <f>SUM(E32:E36)</f>
        <v>621772.15999999992</v>
      </c>
      <c r="G31" s="25">
        <f>SUM(G32:G36)</f>
        <v>3196076.35</v>
      </c>
      <c r="H31" s="25">
        <f>SUM(H32:H36)</f>
        <v>5028340.74</v>
      </c>
      <c r="I31" s="25">
        <f>SUM(I32:I36)</f>
        <v>6788364.6899999995</v>
      </c>
      <c r="J31" s="25">
        <f>SUM(J32:J36)</f>
        <v>4941842.25</v>
      </c>
      <c r="K31" s="31">
        <f t="shared" si="0"/>
        <v>39653759.799999997</v>
      </c>
    </row>
    <row r="32" spans="1:13" ht="14.25" customHeight="1" x14ac:dyDescent="0.25">
      <c r="A32" s="34" t="s">
        <v>88</v>
      </c>
      <c r="B32" s="22">
        <v>6185911.3799999999</v>
      </c>
      <c r="C32" s="24"/>
      <c r="D32" s="22">
        <v>657875.68000000005</v>
      </c>
      <c r="E32" s="22">
        <v>9648.98</v>
      </c>
      <c r="F32" s="23"/>
      <c r="G32" s="22">
        <v>989918.5</v>
      </c>
      <c r="H32" s="22">
        <v>1113145.32</v>
      </c>
      <c r="I32" s="22">
        <v>1954448.97</v>
      </c>
      <c r="J32" s="22">
        <v>1745158.94</v>
      </c>
      <c r="K32" s="31">
        <f t="shared" si="0"/>
        <v>12656107.77</v>
      </c>
      <c r="M32" s="48"/>
    </row>
    <row r="33" spans="1:11" ht="12" customHeight="1" x14ac:dyDescent="0.25">
      <c r="A33" s="34" t="s">
        <v>89</v>
      </c>
      <c r="B33" s="22">
        <v>4060032.26</v>
      </c>
      <c r="C33" s="22"/>
      <c r="D33" s="22">
        <v>253700.78</v>
      </c>
      <c r="E33" s="22">
        <v>222292.6</v>
      </c>
      <c r="F33" s="23"/>
      <c r="G33" s="22">
        <v>836265.87</v>
      </c>
      <c r="H33" s="22">
        <v>1351034.67</v>
      </c>
      <c r="I33" s="22">
        <v>1424787.84</v>
      </c>
      <c r="J33" s="22">
        <v>1070903.25</v>
      </c>
      <c r="K33" s="31">
        <f t="shared" si="0"/>
        <v>9219017.2699999996</v>
      </c>
    </row>
    <row r="34" spans="1:11" ht="12" customHeight="1" x14ac:dyDescent="0.25">
      <c r="A34" s="34" t="s">
        <v>46</v>
      </c>
      <c r="B34" s="22">
        <v>4234809.04</v>
      </c>
      <c r="C34" s="24"/>
      <c r="D34" s="22">
        <v>94812.26</v>
      </c>
      <c r="E34" s="22">
        <v>202578.27</v>
      </c>
      <c r="F34" s="23"/>
      <c r="G34" s="22">
        <v>777705.61</v>
      </c>
      <c r="H34" s="22">
        <v>1070276.79</v>
      </c>
      <c r="I34" s="22">
        <v>1406238.54</v>
      </c>
      <c r="J34" s="22">
        <v>1359745.06</v>
      </c>
      <c r="K34" s="31">
        <f t="shared" si="0"/>
        <v>9146165.5700000003</v>
      </c>
    </row>
    <row r="35" spans="1:11" ht="12" customHeight="1" x14ac:dyDescent="0.25">
      <c r="A35" s="34" t="s">
        <v>90</v>
      </c>
      <c r="B35" s="22">
        <v>864781.56</v>
      </c>
      <c r="C35" s="22"/>
      <c r="D35" s="22">
        <v>2691.25</v>
      </c>
      <c r="E35" s="22">
        <v>187252.31</v>
      </c>
      <c r="F35" s="23"/>
      <c r="G35" s="22">
        <v>218276.1</v>
      </c>
      <c r="H35" s="22">
        <v>442829.52</v>
      </c>
      <c r="I35" s="22">
        <v>839762.14</v>
      </c>
      <c r="J35" s="22">
        <v>308287.43</v>
      </c>
      <c r="K35" s="31">
        <f t="shared" si="0"/>
        <v>2863880.3100000005</v>
      </c>
    </row>
    <row r="36" spans="1:11" ht="12" customHeight="1" x14ac:dyDescent="0.25">
      <c r="A36" s="34" t="s">
        <v>91</v>
      </c>
      <c r="B36" s="22">
        <v>2627003.0499999998</v>
      </c>
      <c r="C36" s="24"/>
      <c r="D36" s="22">
        <v>95746.35</v>
      </c>
      <c r="E36" s="24"/>
      <c r="F36" s="23"/>
      <c r="G36" s="22">
        <v>373910.27</v>
      </c>
      <c r="H36" s="22">
        <v>1051054.44</v>
      </c>
      <c r="I36" s="22">
        <v>1163127.2</v>
      </c>
      <c r="J36" s="22">
        <v>457747.57</v>
      </c>
      <c r="K36" s="31">
        <f t="shared" si="0"/>
        <v>5768588.8799999999</v>
      </c>
    </row>
    <row r="37" spans="1:11" ht="12" customHeight="1" x14ac:dyDescent="0.25">
      <c r="A37" s="15" t="s">
        <v>47</v>
      </c>
      <c r="B37" s="24"/>
      <c r="C37" s="22"/>
      <c r="D37" s="22"/>
      <c r="E37" s="24"/>
      <c r="F37" s="23"/>
      <c r="G37" s="22">
        <v>838770.28</v>
      </c>
      <c r="H37" s="26">
        <v>60566.28</v>
      </c>
      <c r="I37" s="22">
        <v>82777.08</v>
      </c>
      <c r="J37" s="26">
        <v>8423.2999999999993</v>
      </c>
      <c r="K37" s="31">
        <f t="shared" si="0"/>
        <v>990536.94000000006</v>
      </c>
    </row>
    <row r="38" spans="1:11" ht="12" customHeight="1" x14ac:dyDescent="0.25">
      <c r="A38" s="34" t="s">
        <v>92</v>
      </c>
      <c r="B38" s="22">
        <v>13304874.16</v>
      </c>
      <c r="C38" s="22">
        <v>116367.9</v>
      </c>
      <c r="D38" s="22">
        <v>597735.85</v>
      </c>
      <c r="E38" s="22">
        <v>323960.34999999998</v>
      </c>
      <c r="F38" s="23"/>
      <c r="G38" s="22">
        <v>3581658.6</v>
      </c>
      <c r="H38" s="22">
        <v>2966515.05</v>
      </c>
      <c r="I38" s="22">
        <v>2990911.42</v>
      </c>
      <c r="J38" s="22">
        <v>2678631.4700000002</v>
      </c>
      <c r="K38" s="31">
        <f t="shared" si="0"/>
        <v>26560654.799999997</v>
      </c>
    </row>
    <row r="39" spans="1:11" ht="12" customHeight="1" x14ac:dyDescent="0.25">
      <c r="A39" s="34" t="s">
        <v>93</v>
      </c>
      <c r="B39" s="22">
        <v>3797822.33</v>
      </c>
      <c r="C39" s="24"/>
      <c r="D39" s="22">
        <v>607456.37</v>
      </c>
      <c r="E39" s="22"/>
      <c r="F39" s="23"/>
      <c r="G39" s="22">
        <v>1170847.8500000001</v>
      </c>
      <c r="H39" s="22">
        <v>1177895.1499999999</v>
      </c>
      <c r="I39" s="22">
        <v>1363745.96</v>
      </c>
      <c r="J39" s="22">
        <v>713964.93</v>
      </c>
      <c r="K39" s="31">
        <f t="shared" si="0"/>
        <v>8831732.5900000017</v>
      </c>
    </row>
    <row r="40" spans="1:11" ht="12" customHeight="1" x14ac:dyDescent="0.25">
      <c r="A40" s="34" t="s">
        <v>48</v>
      </c>
      <c r="B40" s="22">
        <v>16591977.66</v>
      </c>
      <c r="C40" s="24">
        <v>29678.69</v>
      </c>
      <c r="D40" s="22">
        <v>2137026.08</v>
      </c>
      <c r="E40" s="22">
        <v>4.32</v>
      </c>
      <c r="F40" s="23"/>
      <c r="G40" s="22">
        <v>3579046.76</v>
      </c>
      <c r="H40" s="22">
        <v>3283153.52</v>
      </c>
      <c r="I40" s="22">
        <v>4016855.04</v>
      </c>
      <c r="J40" s="22">
        <v>3390073.31</v>
      </c>
      <c r="K40" s="31">
        <f t="shared" si="0"/>
        <v>33027815.379999995</v>
      </c>
    </row>
    <row r="41" spans="1:11" ht="12" customHeight="1" x14ac:dyDescent="0.25">
      <c r="A41" s="34" t="s">
        <v>94</v>
      </c>
      <c r="B41" s="22">
        <v>10647426.880000001</v>
      </c>
      <c r="C41" s="24"/>
      <c r="D41" s="22">
        <v>854017.97</v>
      </c>
      <c r="E41" s="22">
        <v>53967.41</v>
      </c>
      <c r="F41" s="23"/>
      <c r="G41" s="22">
        <v>3344955.86</v>
      </c>
      <c r="H41" s="22">
        <v>3227441.33</v>
      </c>
      <c r="I41" s="22">
        <v>3852457.32</v>
      </c>
      <c r="J41" s="22">
        <v>2521462.63</v>
      </c>
      <c r="K41" s="31">
        <f t="shared" si="0"/>
        <v>24501729.400000002</v>
      </c>
    </row>
    <row r="42" spans="1:11" ht="12" customHeight="1" x14ac:dyDescent="0.25">
      <c r="A42" s="34" t="s">
        <v>95</v>
      </c>
      <c r="B42" s="22">
        <v>18732884.41</v>
      </c>
      <c r="C42" s="24"/>
      <c r="D42" s="22">
        <v>1082208.17</v>
      </c>
      <c r="E42" s="22">
        <v>166219.95000000001</v>
      </c>
      <c r="F42" s="23"/>
      <c r="G42" s="22">
        <v>6387034.1900000004</v>
      </c>
      <c r="H42" s="22">
        <v>3525602.41</v>
      </c>
      <c r="I42" s="22">
        <v>5439862.0300000003</v>
      </c>
      <c r="J42" s="22">
        <v>5203851.6399999997</v>
      </c>
      <c r="K42" s="31">
        <f t="shared" si="0"/>
        <v>40537662.799999997</v>
      </c>
    </row>
    <row r="43" spans="1:11" ht="12" customHeight="1" x14ac:dyDescent="0.25">
      <c r="A43" s="34" t="s">
        <v>51</v>
      </c>
      <c r="B43" s="22">
        <v>21542113.149999999</v>
      </c>
      <c r="C43" s="22"/>
      <c r="D43" s="22">
        <v>964333.17</v>
      </c>
      <c r="E43" s="22"/>
      <c r="F43" s="23"/>
      <c r="G43" s="22">
        <v>5186646.07</v>
      </c>
      <c r="H43" s="22">
        <v>5201246.0999999996</v>
      </c>
      <c r="I43" s="22">
        <v>6663606.0899999999</v>
      </c>
      <c r="J43" s="22">
        <v>5389544.5899999999</v>
      </c>
      <c r="K43" s="31">
        <f t="shared" si="0"/>
        <v>44947489.170000002</v>
      </c>
    </row>
    <row r="44" spans="1:11" ht="12" customHeight="1" x14ac:dyDescent="0.25">
      <c r="A44" s="34" t="s">
        <v>65</v>
      </c>
      <c r="B44" s="22">
        <v>12581601.300000001</v>
      </c>
      <c r="C44" s="24"/>
      <c r="D44" s="22">
        <v>2071088.75</v>
      </c>
      <c r="E44" s="22">
        <v>155042.96</v>
      </c>
      <c r="F44" s="23"/>
      <c r="G44" s="22">
        <v>3780573.56</v>
      </c>
      <c r="H44" s="22">
        <v>3829345.33</v>
      </c>
      <c r="I44" s="22">
        <v>4614290.62</v>
      </c>
      <c r="J44" s="22">
        <v>2284145.86</v>
      </c>
      <c r="K44" s="31">
        <f t="shared" si="0"/>
        <v>29316088.379999999</v>
      </c>
    </row>
    <row r="45" spans="1:11" ht="12" customHeight="1" x14ac:dyDescent="0.25">
      <c r="A45" s="34" t="s">
        <v>96</v>
      </c>
      <c r="B45" s="22">
        <v>16912226.32</v>
      </c>
      <c r="C45" s="22">
        <v>19278.37</v>
      </c>
      <c r="D45" s="22">
        <v>427171.25</v>
      </c>
      <c r="E45" s="22">
        <f>2971986.25+1300</f>
        <v>2973286.25</v>
      </c>
      <c r="F45" s="23"/>
      <c r="G45" s="22">
        <v>5443419.1699999999</v>
      </c>
      <c r="H45" s="22">
        <v>5396528.3200000003</v>
      </c>
      <c r="I45" s="22">
        <v>6642151.2000000002</v>
      </c>
      <c r="J45" s="22">
        <v>4047761.97</v>
      </c>
      <c r="K45" s="31">
        <f t="shared" si="0"/>
        <v>41861822.850000001</v>
      </c>
    </row>
    <row r="46" spans="1:11" ht="12" customHeight="1" x14ac:dyDescent="0.25">
      <c r="A46" s="34" t="s">
        <v>97</v>
      </c>
      <c r="B46" s="22">
        <v>68288045.340000004</v>
      </c>
      <c r="C46" s="22">
        <v>849894.46</v>
      </c>
      <c r="D46" s="22">
        <v>2783378.02</v>
      </c>
      <c r="E46" s="22">
        <f>4808003.66+67331.5</f>
        <v>4875335.16</v>
      </c>
      <c r="F46" s="23"/>
      <c r="G46" s="22">
        <v>20516631.350000001</v>
      </c>
      <c r="H46" s="22">
        <v>10251814.529999999</v>
      </c>
      <c r="I46" s="22">
        <v>21537342.82</v>
      </c>
      <c r="J46" s="22">
        <v>14320977.35</v>
      </c>
      <c r="K46" s="31">
        <f t="shared" si="0"/>
        <v>143423419.02999997</v>
      </c>
    </row>
    <row r="47" spans="1:11" ht="12" customHeight="1" x14ac:dyDescent="0.25">
      <c r="A47" s="34" t="s">
        <v>98</v>
      </c>
      <c r="B47" s="22">
        <v>17487202.52</v>
      </c>
      <c r="C47" s="24"/>
      <c r="D47" s="22">
        <v>910676.07</v>
      </c>
      <c r="E47" s="22"/>
      <c r="F47" s="23"/>
      <c r="G47" s="22">
        <v>3438222.34</v>
      </c>
      <c r="H47" s="22">
        <v>3436409.25</v>
      </c>
      <c r="I47" s="22">
        <v>3900955.16</v>
      </c>
      <c r="J47" s="22">
        <v>4014129.31</v>
      </c>
      <c r="K47" s="31">
        <f t="shared" si="0"/>
        <v>33187594.649999999</v>
      </c>
    </row>
    <row r="48" spans="1:11" ht="12" customHeight="1" x14ac:dyDescent="0.25">
      <c r="A48" s="34" t="s">
        <v>99</v>
      </c>
      <c r="B48" s="22">
        <v>48456201.649999999</v>
      </c>
      <c r="C48" s="22">
        <v>73084.87</v>
      </c>
      <c r="D48" s="22">
        <v>194442.21</v>
      </c>
      <c r="E48" s="22">
        <v>3170329.48</v>
      </c>
      <c r="F48" s="23"/>
      <c r="G48" s="22">
        <v>14639416.25</v>
      </c>
      <c r="H48" s="22">
        <v>7581225.8200000003</v>
      </c>
      <c r="I48" s="22">
        <v>15431023.460000001</v>
      </c>
      <c r="J48" s="22">
        <v>9674040.4399999995</v>
      </c>
      <c r="K48" s="31">
        <f t="shared" si="0"/>
        <v>99219764.180000007</v>
      </c>
    </row>
    <row r="50" spans="1:11" hidden="1" x14ac:dyDescent="0.25">
      <c r="A50" s="30" t="s">
        <v>49</v>
      </c>
      <c r="B50" s="17">
        <f>SUM(B6:B48)-B11-B12-B32-B33-B34-B35-B36-B8-B9-B16-B17</f>
        <v>702640981.3499999</v>
      </c>
      <c r="C50" s="17">
        <f t="shared" ref="C50:E50" si="3">SUM(C6:C48)-C11-C12-C32-C33-C34-C35-C36-C8-C9-C16-C17</f>
        <v>2585981.9299999997</v>
      </c>
      <c r="D50" s="17">
        <f t="shared" si="3"/>
        <v>33572865.660000019</v>
      </c>
      <c r="E50" s="17">
        <f t="shared" si="3"/>
        <v>28557821.029999997</v>
      </c>
      <c r="G50" s="17">
        <f t="shared" ref="G50:J50" si="4">SUM(G6:G48)-G11-G12-G32-G33-G34-G35-G36-G8-G9-G16-G17</f>
        <v>225718735.34999996</v>
      </c>
      <c r="H50" s="17">
        <f t="shared" si="4"/>
        <v>156670287.86000001</v>
      </c>
      <c r="I50" s="17">
        <f t="shared" si="4"/>
        <v>230458428.60000002</v>
      </c>
      <c r="J50" s="17">
        <f t="shared" si="4"/>
        <v>160137520.63000008</v>
      </c>
      <c r="K50" s="17">
        <f>SUM(K6:K48)-K11-K12-K32-K33-K34-K35-K36-K8-K9-K16-K17</f>
        <v>1540342622.4100003</v>
      </c>
    </row>
    <row r="52" spans="1:11" x14ac:dyDescent="0.25">
      <c r="A52" s="41" t="s">
        <v>163</v>
      </c>
    </row>
    <row r="53" spans="1:11" x14ac:dyDescent="0.25">
      <c r="A53" s="41"/>
    </row>
  </sheetData>
  <mergeCells count="1">
    <mergeCell ref="A3:K3"/>
  </mergeCells>
  <phoneticPr fontId="0" type="noConversion"/>
  <pageMargins left="0.36" right="0.11" top="0.45" bottom="0.17" header="0.19" footer="0.17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0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20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Table'!B13</f>
        <v>12526114.67</v>
      </c>
      <c r="C9" s="1">
        <f>'Master Expend Table'!C13</f>
        <v>0</v>
      </c>
      <c r="D9" s="1">
        <f>'Master Expend Table'!D13</f>
        <v>735095.83</v>
      </c>
      <c r="E9" s="1">
        <f>'Master Expend Table'!E13</f>
        <v>152996.01</v>
      </c>
      <c r="G9" s="1">
        <f>'Master Expend Table'!G13</f>
        <v>3951653.37</v>
      </c>
      <c r="H9" s="1">
        <f>'Master Expend Table'!H13</f>
        <v>3135949.93</v>
      </c>
      <c r="I9" s="1">
        <f>'Master Expend Table'!I13</f>
        <v>3095886.27</v>
      </c>
      <c r="J9" s="1">
        <f>'Master Expend Table'!J13</f>
        <v>2764352.38</v>
      </c>
      <c r="K9" s="1">
        <f>SUM(B9:J9)</f>
        <v>26362048.459999997</v>
      </c>
    </row>
    <row r="11" spans="1:11" x14ac:dyDescent="0.25">
      <c r="A11" t="s">
        <v>3</v>
      </c>
      <c r="B11" s="1">
        <f>(B9/($K9-$J9))*-$J$11</f>
        <v>1467371.847776057</v>
      </c>
      <c r="C11" s="1">
        <f t="shared" ref="C11:I11" si="0">(C9/($K9-$J9))*-$J$11</f>
        <v>0</v>
      </c>
      <c r="D11" s="1">
        <f t="shared" si="0"/>
        <v>86112.809500535586</v>
      </c>
      <c r="E11" s="1">
        <f t="shared" si="0"/>
        <v>17922.719359558927</v>
      </c>
      <c r="G11" s="1">
        <f t="shared" si="0"/>
        <v>462916.47969620436</v>
      </c>
      <c r="H11" s="1">
        <f t="shared" si="0"/>
        <v>367360.8907906714</v>
      </c>
      <c r="I11" s="1">
        <f t="shared" si="0"/>
        <v>362667.63287697296</v>
      </c>
      <c r="J11" s="1">
        <f>-J9</f>
        <v>-2764352.38</v>
      </c>
      <c r="K11" s="1">
        <v>0</v>
      </c>
    </row>
    <row r="12" spans="1:11" x14ac:dyDescent="0.25">
      <c r="A12" t="s">
        <v>4</v>
      </c>
      <c r="B12" s="1">
        <f>+B9+B11</f>
        <v>13993486.517776057</v>
      </c>
      <c r="C12" s="1">
        <f t="shared" ref="C12:J12" si="1">+C9+C11</f>
        <v>0</v>
      </c>
      <c r="D12" s="1">
        <f t="shared" si="1"/>
        <v>821208.63950053556</v>
      </c>
      <c r="E12" s="1">
        <f t="shared" si="1"/>
        <v>170918.72935955893</v>
      </c>
      <c r="G12" s="1">
        <f t="shared" si="1"/>
        <v>4414569.8496962041</v>
      </c>
      <c r="H12" s="1">
        <f t="shared" si="1"/>
        <v>3503310.8207906717</v>
      </c>
      <c r="I12" s="1">
        <f t="shared" si="1"/>
        <v>3458553.9028769732</v>
      </c>
      <c r="J12" s="1">
        <f t="shared" si="1"/>
        <v>0</v>
      </c>
      <c r="K12" s="1">
        <f>SUM(B12:J12)</f>
        <v>26362048.460000001</v>
      </c>
    </row>
    <row r="14" spans="1:11" x14ac:dyDescent="0.25">
      <c r="A14" t="s">
        <v>5</v>
      </c>
      <c r="B14" s="1">
        <f>B$9/($K$9-$J$9-$I$9)*-I14</f>
        <v>2113093.5844835551</v>
      </c>
      <c r="C14" s="1">
        <f t="shared" ref="C14:H14" si="2">C$9/($K$9-$J$9-$I$9)*-$I$14</f>
        <v>0</v>
      </c>
      <c r="D14" s="1">
        <f t="shared" si="2"/>
        <v>124007.03037421691</v>
      </c>
      <c r="E14" s="1">
        <f t="shared" si="2"/>
        <v>25809.670093223074</v>
      </c>
      <c r="G14" s="1">
        <f t="shared" si="2"/>
        <v>666624.3766910861</v>
      </c>
      <c r="H14" s="1">
        <f t="shared" si="2"/>
        <v>529019.2412348924</v>
      </c>
      <c r="I14" s="1">
        <f>-I12</f>
        <v>-3458553.9028769732</v>
      </c>
      <c r="K14" s="1">
        <v>0</v>
      </c>
    </row>
    <row r="15" spans="1:11" x14ac:dyDescent="0.25">
      <c r="A15" t="s">
        <v>4</v>
      </c>
      <c r="B15" s="1">
        <f>+B12+B14</f>
        <v>16106580.102259612</v>
      </c>
      <c r="C15" s="1">
        <f>+C12+C14</f>
        <v>0</v>
      </c>
      <c r="D15" s="1">
        <f>+D12+D14</f>
        <v>945215.66987475241</v>
      </c>
      <c r="E15" s="1">
        <f>+E12+E14</f>
        <v>196728.399452782</v>
      </c>
      <c r="G15" s="1">
        <f>+G12+G14</f>
        <v>5081194.2263872903</v>
      </c>
      <c r="H15" s="1">
        <f>+H12+H14</f>
        <v>4032330.0620255643</v>
      </c>
      <c r="I15" s="1">
        <f>+I12+I14</f>
        <v>0</v>
      </c>
      <c r="J15" s="1">
        <f>+J12+J14</f>
        <v>0</v>
      </c>
      <c r="K15" s="1">
        <f>SUM(B15:J15)</f>
        <v>26362048.460000005</v>
      </c>
    </row>
    <row r="17" spans="1:11" x14ac:dyDescent="0.25">
      <c r="A17" t="s">
        <v>6</v>
      </c>
      <c r="B17" s="1">
        <f>B$9/($K$9-$J$9-$I$9-$H$9)*-$H$17</f>
        <v>2908547.5233156397</v>
      </c>
      <c r="C17" s="1">
        <f>C$9/($K$9-$J$9-$I$9-$H$9)*-$H$17</f>
        <v>0</v>
      </c>
      <c r="D17" s="1">
        <f>D$9/($K$9-$J$9-$I$9-$H$9)*-$H$17</f>
        <v>170688.29497999113</v>
      </c>
      <c r="E17" s="1">
        <f>E$9/($K$9-$J$9-$I$9-$H$9)*-$H$17</f>
        <v>35525.474393783028</v>
      </c>
      <c r="G17" s="1">
        <f>G$9/($K$9-$J$9-$I$9-$H$9)*-$H$17</f>
        <v>917568.76933615061</v>
      </c>
      <c r="H17" s="1">
        <f>-H15</f>
        <v>-4032330.0620255643</v>
      </c>
      <c r="K17" s="1">
        <v>0</v>
      </c>
    </row>
    <row r="18" spans="1:11" x14ac:dyDescent="0.25">
      <c r="A18" t="s">
        <v>4</v>
      </c>
      <c r="B18" s="1">
        <f>+B15+B17</f>
        <v>19015127.625575252</v>
      </c>
      <c r="C18" s="1">
        <f>+C15+C17</f>
        <v>0</v>
      </c>
      <c r="D18" s="1">
        <f>+D15+D17</f>
        <v>1115903.9648547436</v>
      </c>
      <c r="E18" s="1">
        <f>+E15+E17</f>
        <v>232253.87384656502</v>
      </c>
      <c r="G18" s="1">
        <f>+G15+G17</f>
        <v>5998762.9957234412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26362048.460000001</v>
      </c>
    </row>
    <row r="20" spans="1:11" x14ac:dyDescent="0.25">
      <c r="A20" t="s">
        <v>7</v>
      </c>
      <c r="B20" s="1">
        <f>B$9/($K$9-$J$9-$I$9-$H$9-$G$9)*-$G$20</f>
        <v>5601612.9695460126</v>
      </c>
      <c r="C20" s="1">
        <f>C$9/($K$9-$J$9-$I$9-$H$9-$G$9)*-$G$20</f>
        <v>0</v>
      </c>
      <c r="D20" s="1">
        <f>D$9/($K$9-$J$9-$I$9-$H$9-$G$9)*-$G$20</f>
        <v>328731.01066599053</v>
      </c>
      <c r="E20" s="1">
        <f>E$9/($K$9-$J$9-$I$9-$H$9-$G$9)*-$G$20</f>
        <v>68419.015511438833</v>
      </c>
      <c r="G20" s="1">
        <f>-G18</f>
        <v>-5998762.9957234412</v>
      </c>
      <c r="K20" s="1">
        <f>SUM(B20:J20)</f>
        <v>0</v>
      </c>
    </row>
    <row r="22" spans="1:11" x14ac:dyDescent="0.25">
      <c r="A22" t="s">
        <v>8</v>
      </c>
      <c r="B22" s="1">
        <f>+B20+B18</f>
        <v>24616740.595121264</v>
      </c>
      <c r="C22" s="1">
        <f t="shared" ref="C22:K22" si="3">+C20+C18</f>
        <v>0</v>
      </c>
      <c r="D22" s="1">
        <f t="shared" si="3"/>
        <v>1444634.9755207342</v>
      </c>
      <c r="E22" s="1">
        <f t="shared" si="3"/>
        <v>300672.88935800386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26362048.460000001</v>
      </c>
    </row>
    <row r="27" spans="1:11" x14ac:dyDescent="0.25">
      <c r="A27" t="s">
        <v>9</v>
      </c>
      <c r="B27" s="1">
        <f>+B9</f>
        <v>12526114.67</v>
      </c>
    </row>
    <row r="28" spans="1:11" x14ac:dyDescent="0.25">
      <c r="A28" t="s">
        <v>10</v>
      </c>
      <c r="B28" s="1">
        <f>+B22-B27</f>
        <v>12090625.925121265</v>
      </c>
    </row>
    <row r="29" spans="1:11" x14ac:dyDescent="0.25">
      <c r="A29" s="29" t="s">
        <v>164</v>
      </c>
      <c r="B29" s="1">
        <v>2633</v>
      </c>
    </row>
    <row r="30" spans="1:11" x14ac:dyDescent="0.25">
      <c r="A30" t="s">
        <v>11</v>
      </c>
      <c r="B30" s="1">
        <f>+B28/B29</f>
        <v>4591.9581941212555</v>
      </c>
    </row>
  </sheetData>
  <phoneticPr fontId="0" type="noConversion"/>
  <pageMargins left="0.46" right="0.55000000000000004" top="1" bottom="0.48" header="0.5" footer="0.5"/>
  <pageSetup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0"/>
  <sheetViews>
    <sheetView zoomScale="80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2.1796875" style="1" customWidth="1"/>
    <col min="8" max="10" width="10.26953125" style="1" customWidth="1"/>
    <col min="11" max="11" width="10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21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Table'!B14</f>
        <v>29042340.780000001</v>
      </c>
      <c r="C9" s="1">
        <f>'Master Expend Table'!C14</f>
        <v>0</v>
      </c>
      <c r="D9" s="1">
        <f>'Master Expend Table'!D14</f>
        <v>1453336.63</v>
      </c>
      <c r="E9" s="1">
        <f>'Master Expend Table'!E14</f>
        <v>0</v>
      </c>
      <c r="G9" s="1">
        <f>'Master Expend Table'!G14</f>
        <v>7216733.96</v>
      </c>
      <c r="H9" s="1">
        <f>'Master Expend Table'!H14</f>
        <v>6474638.9500000002</v>
      </c>
      <c r="I9" s="1">
        <f>'Master Expend Table'!I14</f>
        <v>9534158.2799999993</v>
      </c>
      <c r="J9" s="1">
        <f>'Master Expend Table'!J14</f>
        <v>6180296.6600000001</v>
      </c>
      <c r="K9" s="1">
        <f>SUM(B9:J9)</f>
        <v>59901505.260000005</v>
      </c>
    </row>
    <row r="11" spans="1:11" x14ac:dyDescent="0.25">
      <c r="A11" t="s">
        <v>3</v>
      </c>
      <c r="B11" s="1">
        <f>(B9/($K9-$J9))*-$J$11</f>
        <v>3341143.7754067164</v>
      </c>
      <c r="C11" s="1">
        <f t="shared" ref="C11:I11" si="0">(C9/($K9-$J9))*-$J$11</f>
        <v>0</v>
      </c>
      <c r="D11" s="1">
        <f t="shared" si="0"/>
        <v>167197.49525971487</v>
      </c>
      <c r="E11" s="1">
        <f t="shared" si="0"/>
        <v>0</v>
      </c>
      <c r="G11" s="1">
        <f t="shared" si="0"/>
        <v>830241.12732073886</v>
      </c>
      <c r="H11" s="1">
        <f t="shared" si="0"/>
        <v>744867.63273212931</v>
      </c>
      <c r="I11" s="1">
        <f t="shared" si="0"/>
        <v>1096846.6292806996</v>
      </c>
      <c r="J11" s="1">
        <f>-J9</f>
        <v>-6180296.6600000001</v>
      </c>
      <c r="K11" s="1">
        <v>0</v>
      </c>
    </row>
    <row r="12" spans="1:11" x14ac:dyDescent="0.25">
      <c r="A12" t="s">
        <v>4</v>
      </c>
      <c r="B12" s="1">
        <f>+B9+B11</f>
        <v>32383484.555406719</v>
      </c>
      <c r="C12" s="1">
        <f t="shared" ref="C12:J12" si="1">+C9+C11</f>
        <v>0</v>
      </c>
      <c r="D12" s="1">
        <f t="shared" si="1"/>
        <v>1620534.1252597147</v>
      </c>
      <c r="E12" s="1">
        <f t="shared" si="1"/>
        <v>0</v>
      </c>
      <c r="G12" s="1">
        <f t="shared" si="1"/>
        <v>8046975.0873207385</v>
      </c>
      <c r="H12" s="1">
        <f t="shared" si="1"/>
        <v>7219506.5827321298</v>
      </c>
      <c r="I12" s="1">
        <f t="shared" si="1"/>
        <v>10631004.909280699</v>
      </c>
      <c r="J12" s="1">
        <f t="shared" si="1"/>
        <v>0</v>
      </c>
      <c r="K12" s="1">
        <f>SUM(B12:J12)</f>
        <v>59901505.260000005</v>
      </c>
    </row>
    <row r="14" spans="1:11" x14ac:dyDescent="0.25">
      <c r="A14" t="s">
        <v>5</v>
      </c>
      <c r="B14" s="1">
        <f>B$9/($K$9-$J$9-$I$9)*-I14</f>
        <v>6987324.6838890379</v>
      </c>
      <c r="C14" s="1">
        <f t="shared" ref="C14:H14" si="2">C$9/($K$9-$J$9-$I$9)*-$I$14</f>
        <v>0</v>
      </c>
      <c r="D14" s="1">
        <f t="shared" si="2"/>
        <v>349659.65676541819</v>
      </c>
      <c r="E14" s="1">
        <f t="shared" si="2"/>
        <v>0</v>
      </c>
      <c r="G14" s="1">
        <f t="shared" si="2"/>
        <v>1736280.9601936045</v>
      </c>
      <c r="H14" s="1">
        <f t="shared" si="2"/>
        <v>1557739.6084326368</v>
      </c>
      <c r="I14" s="1">
        <f>-I12</f>
        <v>-10631004.909280699</v>
      </c>
      <c r="K14" s="1">
        <v>0</v>
      </c>
    </row>
    <row r="15" spans="1:11" x14ac:dyDescent="0.25">
      <c r="A15" t="s">
        <v>4</v>
      </c>
      <c r="B15" s="1">
        <f>+B12+B14</f>
        <v>39370809.239295758</v>
      </c>
      <c r="C15" s="1">
        <f>+C12+C14</f>
        <v>0</v>
      </c>
      <c r="D15" s="1">
        <f>+D12+D14</f>
        <v>1970193.7820251328</v>
      </c>
      <c r="E15" s="1">
        <f>+E12+E14</f>
        <v>0</v>
      </c>
      <c r="G15" s="1">
        <f>+G12+G14</f>
        <v>9783256.0475143436</v>
      </c>
      <c r="H15" s="1">
        <f>+H12+H14</f>
        <v>8777246.1911647674</v>
      </c>
      <c r="I15" s="1">
        <f>+I12+I14</f>
        <v>0</v>
      </c>
      <c r="J15" s="1">
        <f>+J12+J14</f>
        <v>0</v>
      </c>
      <c r="K15" s="1">
        <f>SUM(B15:J15)</f>
        <v>59901505.260000005</v>
      </c>
    </row>
    <row r="17" spans="1:11" x14ac:dyDescent="0.25">
      <c r="A17" t="s">
        <v>6</v>
      </c>
      <c r="B17" s="1">
        <f>B$9/($K$9-$J$9-$I$9-$H$9)*-$H$17</f>
        <v>6759360.2671757285</v>
      </c>
      <c r="C17" s="1">
        <f>C$9/($K$9-$J$9-$I$9-$H$9)*-$H$17</f>
        <v>0</v>
      </c>
      <c r="D17" s="1">
        <f>D$9/($K$9-$J$9-$I$9-$H$9)*-$H$17</f>
        <v>338251.86289454013</v>
      </c>
      <c r="E17" s="1">
        <f>E$9/($K$9-$J$9-$I$9-$H$9)*-$H$17</f>
        <v>0</v>
      </c>
      <c r="G17" s="1">
        <f>G$9/($K$9-$J$9-$I$9-$H$9)*-$H$17</f>
        <v>1679634.061094498</v>
      </c>
      <c r="H17" s="1">
        <f>-H15</f>
        <v>-8777246.1911647674</v>
      </c>
      <c r="K17" s="1">
        <v>0</v>
      </c>
    </row>
    <row r="18" spans="1:11" x14ac:dyDescent="0.25">
      <c r="A18" t="s">
        <v>4</v>
      </c>
      <c r="B18" s="1">
        <f>+B15+B17</f>
        <v>46130169.506471485</v>
      </c>
      <c r="C18" s="1">
        <f>+C15+C17</f>
        <v>0</v>
      </c>
      <c r="D18" s="1">
        <f>+D15+D17</f>
        <v>2308445.644919673</v>
      </c>
      <c r="E18" s="1">
        <f>+E15+E17</f>
        <v>0</v>
      </c>
      <c r="G18" s="1">
        <f>+G15+G17</f>
        <v>11462890.108608842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59901505.259999998</v>
      </c>
    </row>
    <row r="20" spans="1:11" x14ac:dyDescent="0.25">
      <c r="A20" t="s">
        <v>7</v>
      </c>
      <c r="B20" s="1">
        <f>B$9/($K$9-$J$9-$I$9-$H$9-$G$9)*-$G$20</f>
        <v>10916601.601666443</v>
      </c>
      <c r="C20" s="1">
        <f>C$9/($K$9-$J$9-$I$9-$H$9-$G$9)*-$G$20</f>
        <v>0</v>
      </c>
      <c r="D20" s="1">
        <f>D$9/($K$9-$J$9-$I$9-$H$9-$G$9)*-$G$20</f>
        <v>546288.50694239768</v>
      </c>
      <c r="E20" s="1">
        <f>E$9/($K$9-$J$9-$I$9-$H$9-$G$9)*-$G$20</f>
        <v>0</v>
      </c>
      <c r="G20" s="1">
        <f>-G18</f>
        <v>-11462890.108608842</v>
      </c>
      <c r="K20" s="1">
        <f>SUM(B20:J20)</f>
        <v>0</v>
      </c>
    </row>
    <row r="22" spans="1:11" x14ac:dyDescent="0.25">
      <c r="A22" t="s">
        <v>8</v>
      </c>
      <c r="B22" s="1">
        <f>+B20+B18</f>
        <v>57046771.108137928</v>
      </c>
      <c r="C22" s="1">
        <f t="shared" ref="C22:K22" si="3">+C20+C18</f>
        <v>0</v>
      </c>
      <c r="D22" s="1">
        <f t="shared" si="3"/>
        <v>2854734.1518620709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59901505.259999998</v>
      </c>
    </row>
    <row r="27" spans="1:11" x14ac:dyDescent="0.25">
      <c r="A27" t="s">
        <v>9</v>
      </c>
      <c r="B27" s="1">
        <f>+B9</f>
        <v>29042340.780000001</v>
      </c>
    </row>
    <row r="28" spans="1:11" x14ac:dyDescent="0.25">
      <c r="A28" t="s">
        <v>10</v>
      </c>
      <c r="B28" s="1">
        <f>+B22-B27</f>
        <v>28004430.328137927</v>
      </c>
    </row>
    <row r="29" spans="1:11" x14ac:dyDescent="0.25">
      <c r="A29" s="29" t="s">
        <v>164</v>
      </c>
      <c r="B29" s="1">
        <v>6809</v>
      </c>
    </row>
    <row r="30" spans="1:11" x14ac:dyDescent="0.25">
      <c r="A30" t="s">
        <v>11</v>
      </c>
      <c r="B30" s="1">
        <f>+B28/B29</f>
        <v>4112.85509298545</v>
      </c>
    </row>
  </sheetData>
  <phoneticPr fontId="0" type="noConversion"/>
  <pageMargins left="0.46" right="0.55000000000000004" top="1" bottom="0.63" header="0.5" footer="0.5"/>
  <pageSetup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0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119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Table'!B15</f>
        <v>26563604</v>
      </c>
      <c r="C9" s="1">
        <f>'Master Expend Table'!C15</f>
        <v>0</v>
      </c>
      <c r="D9" s="1">
        <f>'Master Expend Table'!D15</f>
        <v>2274558.46</v>
      </c>
      <c r="E9" s="1">
        <f>'Master Expend Table'!E15</f>
        <v>329919.67000000004</v>
      </c>
      <c r="G9" s="1">
        <f>'Master Expend Table'!G15</f>
        <v>6892319.5700000003</v>
      </c>
      <c r="H9" s="1">
        <f>'Master Expend Table'!H15</f>
        <v>5844725.9199999999</v>
      </c>
      <c r="I9" s="1">
        <f>'Master Expend Table'!I15</f>
        <v>7913443.29</v>
      </c>
      <c r="J9" s="1">
        <f>'Master Expend Table'!J15</f>
        <v>6413880.9100000001</v>
      </c>
      <c r="K9" s="1">
        <f>SUM(B9:J9)</f>
        <v>56232451.820000008</v>
      </c>
    </row>
    <row r="11" spans="1:11" x14ac:dyDescent="0.25">
      <c r="A11" t="s">
        <v>3</v>
      </c>
      <c r="B11" s="1">
        <f>(B9/($K9-$J9))*-$J$11</f>
        <v>3419925.330740476</v>
      </c>
      <c r="C11" s="1">
        <f t="shared" ref="C11:I11" si="0">(C9/($K9-$J9))*-$J$11</f>
        <v>0</v>
      </c>
      <c r="D11" s="1">
        <f t="shared" si="0"/>
        <v>292837.52662492811</v>
      </c>
      <c r="E11" s="1">
        <f t="shared" si="0"/>
        <v>42475.435055519527</v>
      </c>
      <c r="G11" s="1">
        <f t="shared" si="0"/>
        <v>887350.16095712408</v>
      </c>
      <c r="H11" s="1">
        <f t="shared" si="0"/>
        <v>752477.94783582201</v>
      </c>
      <c r="I11" s="1">
        <f t="shared" si="0"/>
        <v>1018814.508786129</v>
      </c>
      <c r="J11" s="1">
        <f>-J9</f>
        <v>-6413880.9100000001</v>
      </c>
      <c r="K11" s="1">
        <v>0</v>
      </c>
    </row>
    <row r="12" spans="1:11" x14ac:dyDescent="0.25">
      <c r="A12" t="s">
        <v>4</v>
      </c>
      <c r="B12" s="1">
        <f>+B9+B11</f>
        <v>29983529.330740474</v>
      </c>
      <c r="C12" s="1">
        <f>+C9+C11</f>
        <v>0</v>
      </c>
      <c r="D12" s="1">
        <f>+D9+D11</f>
        <v>2567395.9866249282</v>
      </c>
      <c r="E12" s="1">
        <f>+E9+E11</f>
        <v>372395.10505551955</v>
      </c>
      <c r="G12" s="1">
        <f>+G9+G11</f>
        <v>7779669.7309571244</v>
      </c>
      <c r="H12" s="1">
        <f>+H9+H11</f>
        <v>6597203.8678358216</v>
      </c>
      <c r="I12" s="1">
        <f>+I9+I11</f>
        <v>8932257.7987861298</v>
      </c>
      <c r="J12" s="1">
        <f>+J9+J11</f>
        <v>0</v>
      </c>
      <c r="K12" s="1">
        <f>SUM(B12:J12)</f>
        <v>56232451.819999993</v>
      </c>
    </row>
    <row r="14" spans="1:11" x14ac:dyDescent="0.25">
      <c r="A14" t="s">
        <v>5</v>
      </c>
      <c r="B14" s="1">
        <f>B$9/($K$9-$J$9-$I$9)*-I14</f>
        <v>5662146.1971069966</v>
      </c>
      <c r="C14" s="1">
        <f t="shared" ref="C14:H14" si="1">C$9/($K$9-$J$9-$I$9)*-$I$14</f>
        <v>0</v>
      </c>
      <c r="D14" s="1">
        <f t="shared" si="1"/>
        <v>484831.89759893069</v>
      </c>
      <c r="E14" s="1">
        <f t="shared" si="1"/>
        <v>70323.793595225085</v>
      </c>
      <c r="G14" s="1">
        <f t="shared" si="1"/>
        <v>1469127.4964994069</v>
      </c>
      <c r="H14" s="1">
        <f t="shared" si="1"/>
        <v>1245828.4139855679</v>
      </c>
      <c r="I14" s="1">
        <f>-I12</f>
        <v>-8932257.7987861298</v>
      </c>
      <c r="K14" s="1">
        <v>0</v>
      </c>
    </row>
    <row r="15" spans="1:11" x14ac:dyDescent="0.25">
      <c r="A15" t="s">
        <v>4</v>
      </c>
      <c r="B15" s="1">
        <f>+B12+B14</f>
        <v>35645675.527847469</v>
      </c>
      <c r="C15" s="1">
        <f>+C12+C14</f>
        <v>0</v>
      </c>
      <c r="D15" s="1">
        <f>+D12+D14</f>
        <v>3052227.8842238588</v>
      </c>
      <c r="E15" s="1">
        <f>+E12+E14</f>
        <v>442718.89865074464</v>
      </c>
      <c r="G15" s="1">
        <f>+G12+G14</f>
        <v>9248797.2274565306</v>
      </c>
      <c r="H15" s="1">
        <f>+H12+H14</f>
        <v>7843032.2818213897</v>
      </c>
      <c r="I15" s="1">
        <f>+I12+I14</f>
        <v>0</v>
      </c>
      <c r="J15" s="1">
        <f>+J12+J14</f>
        <v>0</v>
      </c>
      <c r="K15" s="1">
        <f>SUM(B15:J15)</f>
        <v>56232451.819999993</v>
      </c>
    </row>
    <row r="17" spans="1:11" x14ac:dyDescent="0.25">
      <c r="A17" t="s">
        <v>6</v>
      </c>
      <c r="B17" s="1">
        <f>B$9/($K$9-$J$9-$I$9-$H$9)*-$H$17</f>
        <v>5777506.4578251699</v>
      </c>
      <c r="C17" s="1">
        <f>C$9/($K$9-$J$9-$I$9-$H$9)*-$H$17</f>
        <v>0</v>
      </c>
      <c r="D17" s="1">
        <f>D$9/($K$9-$J$9-$I$9-$H$9)*-$H$17</f>
        <v>494709.83648720529</v>
      </c>
      <c r="E17" s="1">
        <f>E$9/($K$9-$J$9-$I$9-$H$9)*-$H$17</f>
        <v>71756.566766638629</v>
      </c>
      <c r="G17" s="1">
        <f>G$9/($K$9-$J$9-$I$9-$H$9)*-$H$17</f>
        <v>1499059.4207423737</v>
      </c>
      <c r="H17" s="1">
        <f>-H15</f>
        <v>-7843032.2818213897</v>
      </c>
      <c r="K17" s="1">
        <v>0</v>
      </c>
    </row>
    <row r="18" spans="1:11" x14ac:dyDescent="0.25">
      <c r="A18" t="s">
        <v>4</v>
      </c>
      <c r="B18" s="1">
        <f>+B15+B17</f>
        <v>41423181.985672638</v>
      </c>
      <c r="C18" s="1">
        <f>+C15+C17</f>
        <v>0</v>
      </c>
      <c r="D18" s="1">
        <f>+D15+D17</f>
        <v>3546937.7207110641</v>
      </c>
      <c r="E18" s="1">
        <f>+E15+E17</f>
        <v>514475.46541738324</v>
      </c>
      <c r="G18" s="1">
        <f>+G15+G17</f>
        <v>10747856.648198904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56232451.819999993</v>
      </c>
    </row>
    <row r="20" spans="1:11" x14ac:dyDescent="0.25">
      <c r="A20" t="s">
        <v>7</v>
      </c>
      <c r="B20" s="1">
        <f>B$9/($K$9-$J$9-$I$9-$H$9-$G$9)*-$G$20</f>
        <v>9788158.3910475262</v>
      </c>
      <c r="C20" s="1">
        <f>C$9/($K$9-$J$9-$I$9-$H$9-$G$9)*-$G$20</f>
        <v>0</v>
      </c>
      <c r="D20" s="1">
        <f>D$9/($K$9-$J$9-$I$9-$H$9-$G$9)*-$G$20</f>
        <v>838129.43741282774</v>
      </c>
      <c r="E20" s="1">
        <f>E$9/($K$9-$J$9-$I$9-$H$9-$G$9)*-$G$20</f>
        <v>121568.81973854644</v>
      </c>
      <c r="G20" s="1">
        <f>-G18</f>
        <v>-10747856.648198904</v>
      </c>
      <c r="K20" s="1">
        <f>SUM(B20:J20)</f>
        <v>0</v>
      </c>
    </row>
    <row r="22" spans="1:11" x14ac:dyDescent="0.25">
      <c r="A22" t="s">
        <v>8</v>
      </c>
      <c r="B22" s="1">
        <f>+B20+B18</f>
        <v>51211340.37672016</v>
      </c>
      <c r="C22" s="1">
        <f t="shared" ref="C22:K22" si="2">+C20+C18</f>
        <v>0</v>
      </c>
      <c r="D22" s="1">
        <f t="shared" si="2"/>
        <v>4385067.1581238918</v>
      </c>
      <c r="E22" s="1">
        <f t="shared" si="2"/>
        <v>636044.28515592963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56232451.819999993</v>
      </c>
    </row>
    <row r="27" spans="1:11" x14ac:dyDescent="0.25">
      <c r="A27" t="s">
        <v>9</v>
      </c>
      <c r="B27" s="1">
        <f>+B9</f>
        <v>26563604</v>
      </c>
    </row>
    <row r="28" spans="1:11" x14ac:dyDescent="0.25">
      <c r="A28" t="s">
        <v>10</v>
      </c>
      <c r="B28" s="1">
        <f>+B22-B27</f>
        <v>24647736.37672016</v>
      </c>
    </row>
    <row r="29" spans="1:11" x14ac:dyDescent="0.25">
      <c r="A29" s="29" t="s">
        <v>164</v>
      </c>
      <c r="B29" s="1">
        <f>'DAKCTY TC'!B29+'INVER HILLS'!B29</f>
        <v>4744</v>
      </c>
    </row>
    <row r="30" spans="1:11" x14ac:dyDescent="0.25">
      <c r="A30" t="s">
        <v>11</v>
      </c>
      <c r="B30" s="1">
        <f>+B28/B29</f>
        <v>5195.5599445025637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0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22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Table'!B16</f>
        <v>11756780.060000001</v>
      </c>
      <c r="C9" s="1">
        <f>'Master Expend Table'!C16</f>
        <v>0</v>
      </c>
      <c r="D9" s="1">
        <f>'Master Expend Table'!D16</f>
        <v>1711683.01</v>
      </c>
      <c r="E9" s="1">
        <f>'Master Expend Table'!E16</f>
        <v>304211.89</v>
      </c>
      <c r="G9" s="1">
        <f>'Master Expend Table'!G16</f>
        <v>2727909.39</v>
      </c>
      <c r="H9" s="1">
        <f>'Master Expend Table'!H16</f>
        <v>2496730.39</v>
      </c>
      <c r="I9" s="1">
        <f>'Master Expend Table'!I16</f>
        <v>3644566.66</v>
      </c>
      <c r="J9" s="1">
        <f>'Master Expend Table'!J16</f>
        <v>3307441.9</v>
      </c>
      <c r="K9" s="1">
        <f>SUM(B9:J9)</f>
        <v>25949323.300000001</v>
      </c>
    </row>
    <row r="11" spans="1:11" x14ac:dyDescent="0.25">
      <c r="A11" t="s">
        <v>3</v>
      </c>
      <c r="B11" s="1">
        <f>(B9/($K9-$J9))*-$J$11</f>
        <v>1717386.7441743824</v>
      </c>
      <c r="C11" s="1">
        <f t="shared" ref="C11:I11" si="0">(C9/($K9-$J9))*-$J$11</f>
        <v>0</v>
      </c>
      <c r="D11" s="1">
        <f t="shared" si="0"/>
        <v>250036.29366206814</v>
      </c>
      <c r="E11" s="1">
        <f t="shared" si="0"/>
        <v>44438.142470978179</v>
      </c>
      <c r="G11" s="1">
        <f t="shared" si="0"/>
        <v>398482.86705933546</v>
      </c>
      <c r="H11" s="1">
        <f t="shared" si="0"/>
        <v>364713.09777681902</v>
      </c>
      <c r="I11" s="1">
        <f t="shared" si="0"/>
        <v>532384.75485641637</v>
      </c>
      <c r="J11" s="1">
        <f>-J9</f>
        <v>-3307441.9</v>
      </c>
      <c r="K11" s="1">
        <v>0</v>
      </c>
    </row>
    <row r="12" spans="1:11" x14ac:dyDescent="0.25">
      <c r="A12" t="s">
        <v>4</v>
      </c>
      <c r="B12" s="1">
        <f>+B9+B11</f>
        <v>13474166.804174382</v>
      </c>
      <c r="C12" s="1">
        <f>+C9+C11</f>
        <v>0</v>
      </c>
      <c r="D12" s="1">
        <f>+D9+D11</f>
        <v>1961719.3036620682</v>
      </c>
      <c r="E12" s="1">
        <f>+E9+E11</f>
        <v>348650.03247097821</v>
      </c>
      <c r="G12" s="1">
        <f>+G9+G11</f>
        <v>3126392.2570593357</v>
      </c>
      <c r="H12" s="1">
        <f>+H9+H11</f>
        <v>2861443.4877768192</v>
      </c>
      <c r="I12" s="1">
        <f>+I9+I11</f>
        <v>4176951.4148564166</v>
      </c>
      <c r="J12" s="1">
        <f>+J9+J11</f>
        <v>0</v>
      </c>
      <c r="K12" s="1">
        <f>SUM(B12:J12)</f>
        <v>25949323.300000001</v>
      </c>
    </row>
    <row r="14" spans="1:11" x14ac:dyDescent="0.25">
      <c r="A14" t="s">
        <v>5</v>
      </c>
      <c r="B14" s="1">
        <f>B$9/($K$9-$J$9-$I$9)*-I14</f>
        <v>2584970.5486204261</v>
      </c>
      <c r="C14" s="1">
        <f t="shared" ref="C14:H14" si="1">C$9/($K$9-$J$9-$I$9)*-$I$14</f>
        <v>0</v>
      </c>
      <c r="D14" s="1">
        <f t="shared" si="1"/>
        <v>376348.80867406155</v>
      </c>
      <c r="E14" s="1">
        <f t="shared" si="1"/>
        <v>66887.257580470265</v>
      </c>
      <c r="G14" s="1">
        <f t="shared" si="1"/>
        <v>599787.13529281679</v>
      </c>
      <c r="H14" s="1">
        <f t="shared" si="1"/>
        <v>548957.66468864179</v>
      </c>
      <c r="I14" s="1">
        <f>-I12</f>
        <v>-4176951.4148564166</v>
      </c>
      <c r="K14" s="1">
        <v>0</v>
      </c>
    </row>
    <row r="15" spans="1:11" x14ac:dyDescent="0.25">
      <c r="A15" t="s">
        <v>4</v>
      </c>
      <c r="B15" s="1">
        <f>+B12+B14</f>
        <v>16059137.352794807</v>
      </c>
      <c r="C15" s="1">
        <f>+C12+C14</f>
        <v>0</v>
      </c>
      <c r="D15" s="1">
        <f>+D12+D14</f>
        <v>2338068.1123361299</v>
      </c>
      <c r="E15" s="1">
        <f>+E12+E14</f>
        <v>415537.29005144851</v>
      </c>
      <c r="G15" s="1">
        <f>+G12+G14</f>
        <v>3726179.3923521526</v>
      </c>
      <c r="H15" s="1">
        <f>+H12+H14</f>
        <v>3410401.1524654608</v>
      </c>
      <c r="I15" s="1">
        <f>+I12+I14</f>
        <v>0</v>
      </c>
      <c r="J15" s="1">
        <f>+J12+J14</f>
        <v>0</v>
      </c>
      <c r="K15" s="1">
        <f>SUM(B15:J15)</f>
        <v>25949323.299999997</v>
      </c>
    </row>
    <row r="17" spans="1:11" x14ac:dyDescent="0.25">
      <c r="A17" t="s">
        <v>6</v>
      </c>
      <c r="B17" s="1">
        <f>B$9/($K$9-$J$9-$I$9-$H$9)*-$H$17</f>
        <v>2429934.3232597061</v>
      </c>
      <c r="C17" s="1">
        <f>C$9/($K$9-$J$9-$I$9-$H$9)*-$H$17</f>
        <v>0</v>
      </c>
      <c r="D17" s="1">
        <f>D$9/($K$9-$J$9-$I$9-$H$9)*-$H$17</f>
        <v>353776.90790444938</v>
      </c>
      <c r="E17" s="1">
        <f>E$9/($K$9-$J$9-$I$9-$H$9)*-$H$17</f>
        <v>62875.626598623829</v>
      </c>
      <c r="G17" s="1">
        <f>G$9/($K$9-$J$9-$I$9-$H$9)*-$H$17</f>
        <v>563814.29470268136</v>
      </c>
      <c r="H17" s="1">
        <f>-H15</f>
        <v>-3410401.1524654608</v>
      </c>
      <c r="K17" s="1">
        <v>0</v>
      </c>
    </row>
    <row r="18" spans="1:11" x14ac:dyDescent="0.25">
      <c r="A18" t="s">
        <v>4</v>
      </c>
      <c r="B18" s="1">
        <f>+B15+B17</f>
        <v>18489071.676054515</v>
      </c>
      <c r="C18" s="1">
        <f>+C15+C17</f>
        <v>0</v>
      </c>
      <c r="D18" s="1">
        <f>+D15+D17</f>
        <v>2691845.0202405793</v>
      </c>
      <c r="E18" s="1">
        <f>+E15+E17</f>
        <v>478412.91665007232</v>
      </c>
      <c r="G18" s="1">
        <f>+G15+G17</f>
        <v>4289993.6870548343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25949323.300000001</v>
      </c>
    </row>
    <row r="20" spans="1:11" x14ac:dyDescent="0.25">
      <c r="A20" t="s">
        <v>7</v>
      </c>
      <c r="B20" s="1">
        <f>B$9/($K$9-$J$9-$I$9-$H$9-$G$9)*-$G$20</f>
        <v>3662070.9037260367</v>
      </c>
      <c r="C20" s="1">
        <f>C$9/($K$9-$J$9-$I$9-$H$9-$G$9)*-$G$20</f>
        <v>0</v>
      </c>
      <c r="D20" s="1">
        <f>D$9/($K$9-$J$9-$I$9-$H$9-$G$9)*-$G$20</f>
        <v>533165.07711578324</v>
      </c>
      <c r="E20" s="1">
        <f>E$9/($K$9-$J$9-$I$9-$H$9-$G$9)*-$G$20</f>
        <v>94757.70621301439</v>
      </c>
      <c r="G20" s="1">
        <f>-G18</f>
        <v>-4289993.6870548343</v>
      </c>
      <c r="K20" s="1">
        <f>SUM(B20:J20)</f>
        <v>0</v>
      </c>
    </row>
    <row r="22" spans="1:11" x14ac:dyDescent="0.25">
      <c r="A22" t="s">
        <v>8</v>
      </c>
      <c r="B22" s="1">
        <f>+B20+B18</f>
        <v>22151142.579780553</v>
      </c>
      <c r="C22" s="1">
        <f t="shared" ref="C22:K22" si="2">+C20+C18</f>
        <v>0</v>
      </c>
      <c r="D22" s="1">
        <f t="shared" si="2"/>
        <v>3225010.0973563623</v>
      </c>
      <c r="E22" s="1">
        <f t="shared" si="2"/>
        <v>573170.62286308676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25949323.300000001</v>
      </c>
    </row>
    <row r="27" spans="1:11" x14ac:dyDescent="0.25">
      <c r="A27" t="s">
        <v>9</v>
      </c>
      <c r="B27" s="1">
        <f>+B9</f>
        <v>11756780.060000001</v>
      </c>
    </row>
    <row r="28" spans="1:11" x14ac:dyDescent="0.25">
      <c r="A28" t="s">
        <v>10</v>
      </c>
      <c r="B28" s="1">
        <f>+B22-B27</f>
        <v>10394362.519780552</v>
      </c>
    </row>
    <row r="29" spans="1:11" x14ac:dyDescent="0.25">
      <c r="A29" s="29" t="s">
        <v>164</v>
      </c>
      <c r="B29" s="1">
        <v>1900</v>
      </c>
    </row>
    <row r="30" spans="1:11" x14ac:dyDescent="0.25">
      <c r="A30" t="s">
        <v>11</v>
      </c>
      <c r="B30" s="1">
        <f>+B28/B29</f>
        <v>5470.7171156739751</v>
      </c>
    </row>
  </sheetData>
  <phoneticPr fontId="0" type="noConversion"/>
  <pageMargins left="0.52" right="0.55000000000000004" top="0.83" bottom="0.56000000000000005" header="0.5" footer="0.5"/>
  <pageSetup orientation="landscape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1.4531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25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Table'!B17</f>
        <v>14806823.939999999</v>
      </c>
      <c r="C9" s="1">
        <f>'Master Expend Table'!C17</f>
        <v>0</v>
      </c>
      <c r="D9" s="1">
        <f>'Master Expend Table'!D17</f>
        <v>562875.44999999995</v>
      </c>
      <c r="E9" s="1">
        <f>'Master Expend Table'!E17</f>
        <v>25707.78</v>
      </c>
      <c r="G9" s="1">
        <f>'Master Expend Table'!G17</f>
        <v>4164410.18</v>
      </c>
      <c r="H9" s="1">
        <f>'Master Expend Table'!H17</f>
        <v>3347995.53</v>
      </c>
      <c r="I9" s="1">
        <f>'Master Expend Table'!I17</f>
        <v>4268876.63</v>
      </c>
      <c r="J9" s="1">
        <f>'Master Expend Table'!J17</f>
        <v>3106439.01</v>
      </c>
      <c r="K9" s="1">
        <f>SUM(B9:J9)</f>
        <v>30283128.519999996</v>
      </c>
    </row>
    <row r="11" spans="1:11" x14ac:dyDescent="0.25">
      <c r="A11" t="s">
        <v>3</v>
      </c>
      <c r="B11" s="1">
        <f>(B9/($K9-$J9))*-$J$11</f>
        <v>1692498.1052049373</v>
      </c>
      <c r="C11" s="1">
        <f t="shared" ref="C11:I11" si="0">(C9/($K9-$J9))*-$J$11</f>
        <v>0</v>
      </c>
      <c r="D11" s="1">
        <f t="shared" si="0"/>
        <v>64339.633972265387</v>
      </c>
      <c r="E11" s="1">
        <f t="shared" si="0"/>
        <v>2938.5349022408504</v>
      </c>
      <c r="G11" s="1">
        <f t="shared" si="0"/>
        <v>476014.05726893194</v>
      </c>
      <c r="H11" s="1">
        <f t="shared" si="0"/>
        <v>382693.55492583779</v>
      </c>
      <c r="I11" s="1">
        <f t="shared" si="0"/>
        <v>487955.12372578657</v>
      </c>
      <c r="J11" s="1">
        <f>-J9</f>
        <v>-3106439.01</v>
      </c>
      <c r="K11" s="1">
        <v>0</v>
      </c>
    </row>
    <row r="12" spans="1:11" x14ac:dyDescent="0.25">
      <c r="A12" t="s">
        <v>4</v>
      </c>
      <c r="B12" s="1">
        <f>+B9+B11</f>
        <v>16499322.045204937</v>
      </c>
      <c r="C12" s="1">
        <f t="shared" ref="C12:J12" si="1">+C9+C11</f>
        <v>0</v>
      </c>
      <c r="D12" s="1">
        <f t="shared" si="1"/>
        <v>627215.08397226536</v>
      </c>
      <c r="E12" s="1">
        <f t="shared" si="1"/>
        <v>28646.314902240851</v>
      </c>
      <c r="G12" s="1">
        <f t="shared" si="1"/>
        <v>4640424.2372689322</v>
      </c>
      <c r="H12" s="1">
        <f t="shared" si="1"/>
        <v>3730689.0849258378</v>
      </c>
      <c r="I12" s="1">
        <f t="shared" si="1"/>
        <v>4756831.7537257867</v>
      </c>
      <c r="J12" s="1">
        <f t="shared" si="1"/>
        <v>0</v>
      </c>
      <c r="K12" s="1">
        <f>SUM(B12:J12)</f>
        <v>30283128.52</v>
      </c>
    </row>
    <row r="14" spans="1:11" x14ac:dyDescent="0.25">
      <c r="A14" t="s">
        <v>5</v>
      </c>
      <c r="B14" s="1">
        <f>B$9/($K$9-$J$9-$I$9)*-I14</f>
        <v>3074652.7684060233</v>
      </c>
      <c r="C14" s="1">
        <f t="shared" ref="C14:H14" si="2">C$9/($K$9-$J$9-$I$9)*-$I$14</f>
        <v>0</v>
      </c>
      <c r="D14" s="1">
        <f t="shared" si="2"/>
        <v>116881.68695887704</v>
      </c>
      <c r="E14" s="1">
        <f t="shared" si="2"/>
        <v>5338.2479096710995</v>
      </c>
      <c r="G14" s="1">
        <f t="shared" si="2"/>
        <v>864744.21122314152</v>
      </c>
      <c r="H14" s="1">
        <f t="shared" si="2"/>
        <v>695214.8392280736</v>
      </c>
      <c r="I14" s="1">
        <f>-I12</f>
        <v>-4756831.7537257867</v>
      </c>
      <c r="K14" s="1">
        <v>0</v>
      </c>
    </row>
    <row r="15" spans="1:11" x14ac:dyDescent="0.25">
      <c r="A15" t="s">
        <v>4</v>
      </c>
      <c r="B15" s="1">
        <f>+B12+B14</f>
        <v>19573974.81361096</v>
      </c>
      <c r="C15" s="1">
        <f>+C12+C14</f>
        <v>0</v>
      </c>
      <c r="D15" s="1">
        <f>+D12+D14</f>
        <v>744096.77093114238</v>
      </c>
      <c r="E15" s="1">
        <f>+E12+E14</f>
        <v>33984.56281191195</v>
      </c>
      <c r="G15" s="1">
        <f>+G12+G14</f>
        <v>5505168.4484920735</v>
      </c>
      <c r="H15" s="1">
        <f>+H12+H14</f>
        <v>4425903.9241539109</v>
      </c>
      <c r="I15" s="1">
        <f>+I12+I14</f>
        <v>0</v>
      </c>
      <c r="J15" s="1">
        <f>+J12+J14</f>
        <v>0</v>
      </c>
      <c r="K15" s="1">
        <f>SUM(B15:J15)</f>
        <v>30283128.519999996</v>
      </c>
    </row>
    <row r="17" spans="1:11" x14ac:dyDescent="0.25">
      <c r="A17" t="s">
        <v>6</v>
      </c>
      <c r="B17" s="1">
        <f>B$9/($K$9-$J$9-$I$9-$H$9)*-$H$17</f>
        <v>3350418.820771968</v>
      </c>
      <c r="C17" s="1">
        <f>C$9/($K$9-$J$9-$I$9-$H$9)*-$H$17</f>
        <v>0</v>
      </c>
      <c r="D17" s="1">
        <f>D$9/($K$9-$J$9-$I$9-$H$9)*-$H$17</f>
        <v>127364.82240029192</v>
      </c>
      <c r="E17" s="1">
        <f>E$9/($K$9-$J$9-$I$9-$H$9)*-$H$17</f>
        <v>5817.036138289167</v>
      </c>
      <c r="G17" s="1">
        <f>G$9/($K$9-$J$9-$I$9-$H$9)*-$H$17</f>
        <v>942303.24484336236</v>
      </c>
      <c r="H17" s="1">
        <f>-H15</f>
        <v>-4425903.9241539109</v>
      </c>
      <c r="K17" s="1">
        <v>0</v>
      </c>
    </row>
    <row r="18" spans="1:11" x14ac:dyDescent="0.25">
      <c r="A18" t="s">
        <v>4</v>
      </c>
      <c r="B18" s="1">
        <f>+B15+B17</f>
        <v>22924393.634382926</v>
      </c>
      <c r="C18" s="1">
        <f>+C15+C17</f>
        <v>0</v>
      </c>
      <c r="D18" s="1">
        <f>+D15+D17</f>
        <v>871461.5933314343</v>
      </c>
      <c r="E18" s="1">
        <f>+E15+E17</f>
        <v>39801.598950201114</v>
      </c>
      <c r="G18" s="1">
        <f>+G15+G17</f>
        <v>6447471.6933354363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30283128.519999996</v>
      </c>
    </row>
    <row r="20" spans="1:11" x14ac:dyDescent="0.25">
      <c r="A20" t="s">
        <v>7</v>
      </c>
      <c r="B20" s="1">
        <f>B$9/($K$9-$J$9-$I$9-$H$9-$G$9)*-$G$20</f>
        <v>6200977.8089780454</v>
      </c>
      <c r="C20" s="1">
        <f>C$9/($K$9-$J$9-$I$9-$H$9-$G$9)*-$G$20</f>
        <v>0</v>
      </c>
      <c r="D20" s="1">
        <f>D$9/($K$9-$J$9-$I$9-$H$9-$G$9)*-$G$20</f>
        <v>235727.67453791521</v>
      </c>
      <c r="E20" s="1">
        <f>E$9/($K$9-$J$9-$I$9-$H$9-$G$9)*-$G$20</f>
        <v>10766.209819476626</v>
      </c>
      <c r="G20" s="1">
        <f>-G18</f>
        <v>-6447471.6933354363</v>
      </c>
      <c r="K20" s="1">
        <f>SUM(B20:J20)</f>
        <v>0</v>
      </c>
    </row>
    <row r="22" spans="1:11" x14ac:dyDescent="0.25">
      <c r="A22" t="s">
        <v>8</v>
      </c>
      <c r="B22" s="1">
        <f>+B20+B18</f>
        <v>29125371.443360969</v>
      </c>
      <c r="C22" s="1">
        <f t="shared" ref="C22:K22" si="3">+C20+C18</f>
        <v>0</v>
      </c>
      <c r="D22" s="1">
        <f t="shared" si="3"/>
        <v>1107189.2678693496</v>
      </c>
      <c r="E22" s="1">
        <f t="shared" si="3"/>
        <v>50567.808769677737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30283128.519999996</v>
      </c>
    </row>
    <row r="27" spans="1:11" x14ac:dyDescent="0.25">
      <c r="A27" t="s">
        <v>9</v>
      </c>
      <c r="B27" s="1">
        <f>+B9</f>
        <v>14806823.939999999</v>
      </c>
    </row>
    <row r="28" spans="1:11" x14ac:dyDescent="0.25">
      <c r="A28" t="s">
        <v>10</v>
      </c>
      <c r="B28" s="1">
        <f>+B22-B27</f>
        <v>14318547.50336097</v>
      </c>
    </row>
    <row r="29" spans="1:11" x14ac:dyDescent="0.25">
      <c r="A29" s="29" t="s">
        <v>164</v>
      </c>
      <c r="B29" s="1">
        <v>2844</v>
      </c>
    </row>
    <row r="30" spans="1:11" x14ac:dyDescent="0.25">
      <c r="A30" t="s">
        <v>11</v>
      </c>
      <c r="B30" s="1">
        <f>+B28/B29</f>
        <v>5034.6510208723521</v>
      </c>
    </row>
  </sheetData>
  <phoneticPr fontId="0" type="noConversion"/>
  <pageMargins left="0.42" right="0.55000000000000004" top="1" bottom="0.57999999999999996" header="0.5" footer="0.5"/>
  <pageSetup orientation="landscape" horizontalDpi="4294967294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1.4531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23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Table'!B18</f>
        <v>4276526.4800000004</v>
      </c>
      <c r="C9" s="1">
        <f>'Master Expend Table'!C18</f>
        <v>15554.56</v>
      </c>
      <c r="D9" s="1">
        <f>'Master Expend Table'!D18</f>
        <v>807.59</v>
      </c>
      <c r="E9" s="1">
        <f>'Master Expend Table'!E18</f>
        <v>0</v>
      </c>
      <c r="G9" s="1">
        <f>'Master Expend Table'!G18</f>
        <v>1491293.22</v>
      </c>
      <c r="H9" s="1">
        <f>'Master Expend Table'!H18</f>
        <v>960100.53</v>
      </c>
      <c r="I9" s="1">
        <f>'Master Expend Table'!I18</f>
        <v>1573650.87</v>
      </c>
      <c r="J9" s="1">
        <f>'Master Expend Table'!J18</f>
        <v>935126.73</v>
      </c>
      <c r="K9" s="1">
        <f>SUM(B9:J9)</f>
        <v>9253059.9800000004</v>
      </c>
    </row>
    <row r="11" spans="1:11" x14ac:dyDescent="0.25">
      <c r="A11" t="s">
        <v>3</v>
      </c>
      <c r="B11" s="1">
        <f>(B9/($K9-$J9))*-$J$11</f>
        <v>480779.79262466554</v>
      </c>
      <c r="C11" s="1">
        <f t="shared" ref="C11:I11" si="0">(C9/($K9-$J9))*-$J$11</f>
        <v>1748.6897757190825</v>
      </c>
      <c r="D11" s="1">
        <f t="shared" si="0"/>
        <v>90.791663407577829</v>
      </c>
      <c r="E11" s="1">
        <f t="shared" si="0"/>
        <v>0</v>
      </c>
      <c r="G11" s="1">
        <f t="shared" si="0"/>
        <v>167655.60751401444</v>
      </c>
      <c r="H11" s="1">
        <f t="shared" si="0"/>
        <v>107937.34959223997</v>
      </c>
      <c r="I11" s="1">
        <f t="shared" si="0"/>
        <v>176914.49882995337</v>
      </c>
      <c r="J11" s="1">
        <f>-J9</f>
        <v>-935126.73</v>
      </c>
      <c r="K11" s="1">
        <v>0</v>
      </c>
    </row>
    <row r="12" spans="1:11" x14ac:dyDescent="0.25">
      <c r="A12" t="s">
        <v>4</v>
      </c>
      <c r="B12" s="1">
        <f>+B9+B11</f>
        <v>4757306.2726246659</v>
      </c>
      <c r="C12" s="1">
        <f t="shared" ref="C12:J12" si="1">+C9+C11</f>
        <v>17303.249775719083</v>
      </c>
      <c r="D12" s="1">
        <f t="shared" si="1"/>
        <v>898.38166340757789</v>
      </c>
      <c r="E12" s="1">
        <f t="shared" si="1"/>
        <v>0</v>
      </c>
      <c r="G12" s="1">
        <f t="shared" si="1"/>
        <v>1658948.8275140144</v>
      </c>
      <c r="H12" s="1">
        <f t="shared" si="1"/>
        <v>1068037.8795922401</v>
      </c>
      <c r="I12" s="1">
        <f t="shared" si="1"/>
        <v>1750565.3688299535</v>
      </c>
      <c r="J12" s="1">
        <f t="shared" si="1"/>
        <v>0</v>
      </c>
      <c r="K12" s="1">
        <f>SUM(B12:J12)</f>
        <v>9253059.9800000004</v>
      </c>
    </row>
    <row r="14" spans="1:11" x14ac:dyDescent="0.25">
      <c r="A14" t="s">
        <v>5</v>
      </c>
      <c r="B14" s="1">
        <f>B$9/($K$9-$J$9-$I$9)*-I14</f>
        <v>1110027.5363577325</v>
      </c>
      <c r="C14" s="1">
        <f t="shared" ref="C14:H14" si="2">C$9/($K$9-$J$9-$I$9)*-$I$14</f>
        <v>4037.3864155118072</v>
      </c>
      <c r="D14" s="1">
        <f t="shared" si="2"/>
        <v>209.62038754572168</v>
      </c>
      <c r="E14" s="1">
        <f t="shared" si="2"/>
        <v>0</v>
      </c>
      <c r="G14" s="1">
        <f t="shared" si="2"/>
        <v>387084.3654833606</v>
      </c>
      <c r="H14" s="1">
        <f t="shared" si="2"/>
        <v>249206.46018580318</v>
      </c>
      <c r="I14" s="1">
        <f>-I12</f>
        <v>-1750565.3688299535</v>
      </c>
      <c r="K14" s="1">
        <v>0</v>
      </c>
    </row>
    <row r="15" spans="1:11" x14ac:dyDescent="0.25">
      <c r="A15" t="s">
        <v>4</v>
      </c>
      <c r="B15" s="1">
        <f>+B12+B14</f>
        <v>5867333.8089823984</v>
      </c>
      <c r="C15" s="1">
        <f>+C12+C14</f>
        <v>21340.636191230889</v>
      </c>
      <c r="D15" s="1">
        <f>+D12+D14</f>
        <v>1108.0020509532997</v>
      </c>
      <c r="E15" s="1">
        <f>+E12+E14</f>
        <v>0</v>
      </c>
      <c r="G15" s="1">
        <f>+G12+G14</f>
        <v>2046033.192997375</v>
      </c>
      <c r="H15" s="1">
        <f>+H12+H14</f>
        <v>1317244.3397780433</v>
      </c>
      <c r="I15" s="1">
        <f>+I12+I14</f>
        <v>0</v>
      </c>
      <c r="J15" s="1">
        <f>+J12+J14</f>
        <v>0</v>
      </c>
      <c r="K15" s="1">
        <f>SUM(B15:J15)</f>
        <v>9253059.9800000004</v>
      </c>
    </row>
    <row r="17" spans="1:11" x14ac:dyDescent="0.25">
      <c r="A17" t="s">
        <v>6</v>
      </c>
      <c r="B17" s="1">
        <f>B$9/($K$9-$J$9-$I$9-$H$9)*-$H$17</f>
        <v>973902.69631493697</v>
      </c>
      <c r="C17" s="1">
        <f>C$9/($K$9-$J$9-$I$9-$H$9)*-$H$17</f>
        <v>3542.2738511822486</v>
      </c>
      <c r="D17" s="1">
        <f>D$9/($K$9-$J$9-$I$9-$H$9)*-$H$17</f>
        <v>183.91423090568119</v>
      </c>
      <c r="E17" s="1">
        <f>E$9/($K$9-$J$9-$I$9-$H$9)*-$H$17</f>
        <v>0</v>
      </c>
      <c r="G17" s="1">
        <f>G$9/($K$9-$J$9-$I$9-$H$9)*-$H$17</f>
        <v>339615.45538101858</v>
      </c>
      <c r="H17" s="1">
        <f>-H15</f>
        <v>-1317244.3397780433</v>
      </c>
      <c r="K17" s="1">
        <v>0</v>
      </c>
    </row>
    <row r="18" spans="1:11" x14ac:dyDescent="0.25">
      <c r="A18" t="s">
        <v>4</v>
      </c>
      <c r="B18" s="1">
        <f>+B15+B17</f>
        <v>6841236.5052973349</v>
      </c>
      <c r="C18" s="1">
        <f>+C15+C17</f>
        <v>24882.910042413139</v>
      </c>
      <c r="D18" s="1">
        <f>+D15+D17</f>
        <v>1291.9162818589809</v>
      </c>
      <c r="E18" s="1">
        <f>+E15+E17</f>
        <v>0</v>
      </c>
      <c r="G18" s="1">
        <f>+G15+G17</f>
        <v>2385648.6483783936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9253059.9800000004</v>
      </c>
    </row>
    <row r="20" spans="1:11" x14ac:dyDescent="0.25">
      <c r="A20" t="s">
        <v>7</v>
      </c>
      <c r="B20" s="1">
        <f>B$9/($K$9-$J$9-$I$9-$H$9-$G$9)*-$G$20</f>
        <v>2376555.8569280682</v>
      </c>
      <c r="C20" s="1">
        <f>C$9/($K$9-$J$9-$I$9-$H$9-$G$9)*-$G$20</f>
        <v>8643.9966741277021</v>
      </c>
      <c r="D20" s="1">
        <f>D$9/($K$9-$J$9-$I$9-$H$9-$G$9)*-$G$20</f>
        <v>448.79477619802753</v>
      </c>
      <c r="E20" s="1">
        <f>E$9/($K$9-$J$9-$I$9-$H$9-$G$9)*-$G$20</f>
        <v>0</v>
      </c>
      <c r="G20" s="1">
        <f>-G18</f>
        <v>-2385648.6483783936</v>
      </c>
      <c r="K20" s="1">
        <f>SUM(B20:J20)</f>
        <v>0</v>
      </c>
    </row>
    <row r="22" spans="1:11" x14ac:dyDescent="0.25">
      <c r="A22" t="s">
        <v>8</v>
      </c>
      <c r="B22" s="1">
        <f>+B20+B18</f>
        <v>9217792.3622254021</v>
      </c>
      <c r="C22" s="1">
        <f t="shared" ref="C22:K22" si="3">+C20+C18</f>
        <v>33526.906716540841</v>
      </c>
      <c r="D22" s="1">
        <f t="shared" si="3"/>
        <v>1740.7110580570084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9253059.9800000004</v>
      </c>
    </row>
    <row r="27" spans="1:11" x14ac:dyDescent="0.25">
      <c r="A27" t="s">
        <v>9</v>
      </c>
      <c r="B27" s="1">
        <f>+B9</f>
        <v>4276526.4800000004</v>
      </c>
    </row>
    <row r="28" spans="1:11" x14ac:dyDescent="0.25">
      <c r="A28" t="s">
        <v>10</v>
      </c>
      <c r="B28" s="1">
        <f>+B22-B27</f>
        <v>4941265.8822254017</v>
      </c>
    </row>
    <row r="29" spans="1:11" x14ac:dyDescent="0.25">
      <c r="A29" s="29" t="s">
        <v>164</v>
      </c>
      <c r="B29" s="1">
        <v>989</v>
      </c>
    </row>
    <row r="30" spans="1:11" x14ac:dyDescent="0.25">
      <c r="A30" t="s">
        <v>11</v>
      </c>
      <c r="B30" s="1">
        <f>+B28/B29</f>
        <v>4996.2243500762406</v>
      </c>
    </row>
  </sheetData>
  <phoneticPr fontId="0" type="noConversion"/>
  <pageMargins left="0.57999999999999996" right="0.55000000000000004" top="0.9" bottom="0.55000000000000004" header="0.5" footer="0.5"/>
  <pageSetup orientation="landscape" horizontalDpi="4294967294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1.4531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24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Table'!B19</f>
        <v>19677822.350000001</v>
      </c>
      <c r="C9" s="1">
        <f>'Master Expend Table'!C19</f>
        <v>0</v>
      </c>
      <c r="D9" s="1">
        <f>'Master Expend Table'!D19</f>
        <v>1911688.04</v>
      </c>
      <c r="E9" s="1">
        <f>'Master Expend Table'!E19</f>
        <v>0</v>
      </c>
      <c r="G9" s="1">
        <f>'Master Expend Table'!G19</f>
        <v>5541378.9100000001</v>
      </c>
      <c r="H9" s="1">
        <f>'Master Expend Table'!H19</f>
        <v>4626193.87</v>
      </c>
      <c r="I9" s="1">
        <f>'Master Expend Table'!I19</f>
        <v>5296746.62</v>
      </c>
      <c r="J9" s="1">
        <f>'Master Expend Table'!J19</f>
        <v>4934288.03</v>
      </c>
      <c r="K9" s="1">
        <f>SUM(B9:J9)</f>
        <v>41988117.82</v>
      </c>
    </row>
    <row r="11" spans="1:11" x14ac:dyDescent="0.25">
      <c r="A11" t="s">
        <v>3</v>
      </c>
      <c r="B11" s="1">
        <f>(B9/($K9-$J9))*-$J$11</f>
        <v>2620405.0655048764</v>
      </c>
      <c r="C11" s="1">
        <f t="shared" ref="C11:I11" si="0">(C9/($K9-$J9))*-$J$11</f>
        <v>0</v>
      </c>
      <c r="D11" s="1">
        <f t="shared" si="0"/>
        <v>254570.70068940267</v>
      </c>
      <c r="E11" s="1">
        <f t="shared" si="0"/>
        <v>0</v>
      </c>
      <c r="G11" s="1">
        <f t="shared" si="0"/>
        <v>737919.9337901274</v>
      </c>
      <c r="H11" s="1">
        <f t="shared" si="0"/>
        <v>616048.95274174516</v>
      </c>
      <c r="I11" s="1">
        <f t="shared" si="0"/>
        <v>705343.3772738491</v>
      </c>
      <c r="J11" s="1">
        <f>-J9</f>
        <v>-4934288.03</v>
      </c>
      <c r="K11" s="1">
        <v>0</v>
      </c>
    </row>
    <row r="12" spans="1:11" x14ac:dyDescent="0.25">
      <c r="A12" t="s">
        <v>4</v>
      </c>
      <c r="B12" s="1">
        <f>+B9+B11</f>
        <v>22298227.415504877</v>
      </c>
      <c r="C12" s="1">
        <f t="shared" ref="C12:J12" si="1">+C9+C11</f>
        <v>0</v>
      </c>
      <c r="D12" s="1">
        <f t="shared" si="1"/>
        <v>2166258.7406894029</v>
      </c>
      <c r="E12" s="1">
        <f t="shared" si="1"/>
        <v>0</v>
      </c>
      <c r="G12" s="1">
        <f t="shared" si="1"/>
        <v>6279298.8437901279</v>
      </c>
      <c r="H12" s="1">
        <f t="shared" si="1"/>
        <v>5242242.822741745</v>
      </c>
      <c r="I12" s="1">
        <f t="shared" si="1"/>
        <v>6002089.9972738493</v>
      </c>
      <c r="J12" s="1">
        <f t="shared" si="1"/>
        <v>0</v>
      </c>
      <c r="K12" s="1">
        <f>SUM(B12:J12)</f>
        <v>41988117.82</v>
      </c>
    </row>
    <row r="14" spans="1:11" x14ac:dyDescent="0.25">
      <c r="A14" t="s">
        <v>5</v>
      </c>
      <c r="B14" s="1">
        <f>B$9/($K$9-$J$9-$I$9)*-I14</f>
        <v>3719109.2161335549</v>
      </c>
      <c r="C14" s="1">
        <f t="shared" ref="C14:H14" si="2">C$9/($K$9-$J$9-$I$9)*-$I$14</f>
        <v>0</v>
      </c>
      <c r="D14" s="1">
        <f t="shared" si="2"/>
        <v>361309.11650070321</v>
      </c>
      <c r="E14" s="1">
        <f t="shared" si="2"/>
        <v>0</v>
      </c>
      <c r="G14" s="1">
        <f t="shared" si="2"/>
        <v>1047320.8370167603</v>
      </c>
      <c r="H14" s="1">
        <f t="shared" si="2"/>
        <v>874350.82762283168</v>
      </c>
      <c r="I14" s="1">
        <f>-I12</f>
        <v>-6002089.9972738493</v>
      </c>
      <c r="K14" s="1">
        <v>0</v>
      </c>
    </row>
    <row r="15" spans="1:11" x14ac:dyDescent="0.25">
      <c r="A15" t="s">
        <v>4</v>
      </c>
      <c r="B15" s="1">
        <f>+B12+B14</f>
        <v>26017336.63163843</v>
      </c>
      <c r="C15" s="1">
        <f>+C12+C14</f>
        <v>0</v>
      </c>
      <c r="D15" s="1">
        <f>+D12+D14</f>
        <v>2527567.8571901061</v>
      </c>
      <c r="E15" s="1">
        <f>+E12+E14</f>
        <v>0</v>
      </c>
      <c r="G15" s="1">
        <f>+G12+G14</f>
        <v>7326619.6808068883</v>
      </c>
      <c r="H15" s="1">
        <f>+H12+H14</f>
        <v>6116593.6503645768</v>
      </c>
      <c r="I15" s="1">
        <f>+I12+I14</f>
        <v>0</v>
      </c>
      <c r="J15" s="1">
        <f>+J12+J14</f>
        <v>0</v>
      </c>
      <c r="K15" s="1">
        <f>SUM(B15:J15)</f>
        <v>41988117.82</v>
      </c>
    </row>
    <row r="17" spans="1:11" x14ac:dyDescent="0.25">
      <c r="A17" t="s">
        <v>6</v>
      </c>
      <c r="B17" s="1">
        <f>B$9/($K$9-$J$9-$I$9-$H$9)*-$H$17</f>
        <v>4436317.6565322606</v>
      </c>
      <c r="C17" s="1">
        <f>C$9/($K$9-$J$9-$I$9-$H$9)*-$H$17</f>
        <v>0</v>
      </c>
      <c r="D17" s="1">
        <f>D$9/($K$9-$J$9-$I$9-$H$9)*-$H$17</f>
        <v>430985.46448832791</v>
      </c>
      <c r="E17" s="1">
        <f>E$9/($K$9-$J$9-$I$9-$H$9)*-$H$17</f>
        <v>0</v>
      </c>
      <c r="G17" s="1">
        <f>G$9/($K$9-$J$9-$I$9-$H$9)*-$H$17</f>
        <v>1249290.5293439897</v>
      </c>
      <c r="H17" s="1">
        <f>-H15</f>
        <v>-6116593.6503645768</v>
      </c>
      <c r="K17" s="1">
        <v>0</v>
      </c>
    </row>
    <row r="18" spans="1:11" x14ac:dyDescent="0.25">
      <c r="A18" t="s">
        <v>4</v>
      </c>
      <c r="B18" s="1">
        <f>+B15+B17</f>
        <v>30453654.288170692</v>
      </c>
      <c r="C18" s="1">
        <f>+C15+C17</f>
        <v>0</v>
      </c>
      <c r="D18" s="1">
        <f>+D15+D17</f>
        <v>2958553.321678434</v>
      </c>
      <c r="E18" s="1">
        <f>+E15+E17</f>
        <v>0</v>
      </c>
      <c r="G18" s="1">
        <f>+G15+G17</f>
        <v>8575910.2101508789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41988117.820000008</v>
      </c>
    </row>
    <row r="20" spans="1:11" x14ac:dyDescent="0.25">
      <c r="A20" t="s">
        <v>7</v>
      </c>
      <c r="B20" s="1">
        <f>B$9/($K$9-$J$9-$I$9-$H$9-$G$9)*-$G$20</f>
        <v>7816538.4279888803</v>
      </c>
      <c r="C20" s="1">
        <f>C$9/($K$9-$J$9-$I$9-$H$9-$G$9)*-$G$20</f>
        <v>0</v>
      </c>
      <c r="D20" s="1">
        <f>D$9/($K$9-$J$9-$I$9-$H$9-$G$9)*-$G$20</f>
        <v>759371.78216200043</v>
      </c>
      <c r="E20" s="1">
        <f>E$9/($K$9-$J$9-$I$9-$H$9-$G$9)*-$G$20</f>
        <v>0</v>
      </c>
      <c r="G20" s="1">
        <f>-G18</f>
        <v>-8575910.2101508789</v>
      </c>
      <c r="K20" s="1">
        <f>SUM(B20:J20)</f>
        <v>0</v>
      </c>
    </row>
    <row r="22" spans="1:11" x14ac:dyDescent="0.25">
      <c r="A22" t="s">
        <v>8</v>
      </c>
      <c r="B22" s="1">
        <f>+B20+B18</f>
        <v>38270192.716159575</v>
      </c>
      <c r="C22" s="1">
        <f t="shared" ref="C22:K22" si="3">+C20+C18</f>
        <v>0</v>
      </c>
      <c r="D22" s="1">
        <f t="shared" si="3"/>
        <v>3717925.1038404345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41988117.820000008</v>
      </c>
    </row>
    <row r="27" spans="1:11" x14ac:dyDescent="0.25">
      <c r="A27" t="s">
        <v>9</v>
      </c>
      <c r="B27" s="1">
        <f>+B9</f>
        <v>19677822.350000001</v>
      </c>
    </row>
    <row r="28" spans="1:11" x14ac:dyDescent="0.25">
      <c r="A28" t="s">
        <v>10</v>
      </c>
      <c r="B28" s="1">
        <f>+B22-B27</f>
        <v>18592370.366159573</v>
      </c>
    </row>
    <row r="29" spans="1:11" x14ac:dyDescent="0.25">
      <c r="A29" s="29" t="s">
        <v>164</v>
      </c>
      <c r="B29" s="1">
        <v>3214</v>
      </c>
    </row>
    <row r="30" spans="1:11" x14ac:dyDescent="0.25">
      <c r="A30" t="s">
        <v>11</v>
      </c>
      <c r="B30" s="1">
        <f>+B28/B29</f>
        <v>5784.807207890346</v>
      </c>
    </row>
  </sheetData>
  <phoneticPr fontId="0" type="noConversion"/>
  <pageMargins left="0.51" right="0.55000000000000004" top="1" bottom="0.56000000000000005" header="0.5" footer="0.5"/>
  <pageSetup orientation="landscape" horizontalDpi="4294967294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1.4531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26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Table'!B20</f>
        <v>17942367.710000001</v>
      </c>
      <c r="C9" s="1">
        <f>'Master Expend Table'!C20</f>
        <v>0</v>
      </c>
      <c r="D9" s="1">
        <f>'Master Expend Table'!D20</f>
        <v>2333698.5499999998</v>
      </c>
      <c r="E9" s="1">
        <f>'Master Expend Table'!E20</f>
        <v>0</v>
      </c>
      <c r="G9" s="1">
        <f>'Master Expend Table'!G20</f>
        <v>3397432.49</v>
      </c>
      <c r="H9" s="1">
        <f>'Master Expend Table'!H20</f>
        <v>3519975.34</v>
      </c>
      <c r="I9" s="1">
        <f>'Master Expend Table'!I20</f>
        <v>5371874.79</v>
      </c>
      <c r="J9" s="1">
        <f>'Master Expend Table'!J20</f>
        <v>3994364.19</v>
      </c>
      <c r="K9" s="1">
        <f>SUM(B9:J9)</f>
        <v>36559713.07</v>
      </c>
    </row>
    <row r="11" spans="1:11" x14ac:dyDescent="0.25">
      <c r="A11" t="s">
        <v>3</v>
      </c>
      <c r="B11" s="1">
        <f>(B9/($K9-$J9))*-$J$11</f>
        <v>2200754.8983653421</v>
      </c>
      <c r="C11" s="1">
        <f t="shared" ref="C11:I11" si="0">(C9/($K9-$J9))*-$J$11</f>
        <v>0</v>
      </c>
      <c r="D11" s="1">
        <f t="shared" si="0"/>
        <v>286244.19018890988</v>
      </c>
      <c r="E11" s="1">
        <f t="shared" si="0"/>
        <v>0</v>
      </c>
      <c r="G11" s="1">
        <f t="shared" si="0"/>
        <v>416718.47969462117</v>
      </c>
      <c r="H11" s="1">
        <f t="shared" si="0"/>
        <v>431749.20371923479</v>
      </c>
      <c r="I11" s="1">
        <f t="shared" si="0"/>
        <v>658897.41803189216</v>
      </c>
      <c r="J11" s="1">
        <f>-J9</f>
        <v>-3994364.19</v>
      </c>
      <c r="K11" s="1">
        <v>0</v>
      </c>
    </row>
    <row r="12" spans="1:11" x14ac:dyDescent="0.25">
      <c r="A12" t="s">
        <v>4</v>
      </c>
      <c r="B12" s="1">
        <f>+B9+B11</f>
        <v>20143122.608365342</v>
      </c>
      <c r="C12" s="1">
        <f t="shared" ref="C12:J12" si="1">+C9+C11</f>
        <v>0</v>
      </c>
      <c r="D12" s="1">
        <f t="shared" si="1"/>
        <v>2619942.7401889097</v>
      </c>
      <c r="E12" s="1">
        <f t="shared" si="1"/>
        <v>0</v>
      </c>
      <c r="G12" s="1">
        <f t="shared" si="1"/>
        <v>3814150.9696946214</v>
      </c>
      <c r="H12" s="1">
        <f t="shared" si="1"/>
        <v>3951724.5437192349</v>
      </c>
      <c r="I12" s="1">
        <f t="shared" si="1"/>
        <v>6030772.2080318918</v>
      </c>
      <c r="J12" s="1">
        <f t="shared" si="1"/>
        <v>0</v>
      </c>
      <c r="K12" s="1">
        <f>SUM(B12:J12)</f>
        <v>36559713.07</v>
      </c>
    </row>
    <row r="14" spans="1:11" x14ac:dyDescent="0.25">
      <c r="A14" t="s">
        <v>5</v>
      </c>
      <c r="B14" s="1">
        <f>B$9/($K$9-$J$9-$I$9)*-I14</f>
        <v>3979128.6752709583</v>
      </c>
      <c r="C14" s="1">
        <f t="shared" ref="C14:H14" si="2">C$9/($K$9-$J$9-$I$9)*-$I$14</f>
        <v>0</v>
      </c>
      <c r="D14" s="1">
        <f t="shared" si="2"/>
        <v>517550.80320685584</v>
      </c>
      <c r="E14" s="1">
        <f t="shared" si="2"/>
        <v>0</v>
      </c>
      <c r="G14" s="1">
        <f t="shared" si="2"/>
        <v>753458.03083288914</v>
      </c>
      <c r="H14" s="1">
        <f t="shared" si="2"/>
        <v>780634.69872118894</v>
      </c>
      <c r="I14" s="1">
        <f>-I12</f>
        <v>-6030772.2080318918</v>
      </c>
      <c r="K14" s="1">
        <v>0</v>
      </c>
    </row>
    <row r="15" spans="1:11" x14ac:dyDescent="0.25">
      <c r="A15" t="s">
        <v>4</v>
      </c>
      <c r="B15" s="1">
        <f>+B12+B14</f>
        <v>24122251.283636302</v>
      </c>
      <c r="C15" s="1">
        <f>+C12+C14</f>
        <v>0</v>
      </c>
      <c r="D15" s="1">
        <f>+D12+D14</f>
        <v>3137493.5433957656</v>
      </c>
      <c r="E15" s="1">
        <f>+E12+E14</f>
        <v>0</v>
      </c>
      <c r="G15" s="1">
        <f>+G12+G14</f>
        <v>4567609.0005275104</v>
      </c>
      <c r="H15" s="1">
        <f>+H12+H14</f>
        <v>4732359.2424404239</v>
      </c>
      <c r="I15" s="1">
        <f>+I12+I14</f>
        <v>0</v>
      </c>
      <c r="J15" s="1">
        <f>+J12+J14</f>
        <v>0</v>
      </c>
      <c r="K15" s="1">
        <f>SUM(B15:J15)</f>
        <v>36559713.07</v>
      </c>
    </row>
    <row r="17" spans="1:11" x14ac:dyDescent="0.25">
      <c r="A17" t="s">
        <v>6</v>
      </c>
      <c r="B17" s="1">
        <f>B$9/($K$9-$J$9-$I$9-$H$9)*-$H$17</f>
        <v>3586699.6492727175</v>
      </c>
      <c r="C17" s="1">
        <f>C$9/($K$9-$J$9-$I$9-$H$9)*-$H$17</f>
        <v>0</v>
      </c>
      <c r="D17" s="1">
        <f>D$9/($K$9-$J$9-$I$9-$H$9)*-$H$17</f>
        <v>466508.98622081854</v>
      </c>
      <c r="E17" s="1">
        <f>E$9/($K$9-$J$9-$I$9-$H$9)*-$H$17</f>
        <v>0</v>
      </c>
      <c r="G17" s="1">
        <f>G$9/($K$9-$J$9-$I$9-$H$9)*-$H$17</f>
        <v>679150.60694688756</v>
      </c>
      <c r="H17" s="1">
        <f>-H15</f>
        <v>-4732359.2424404239</v>
      </c>
      <c r="K17" s="1">
        <v>0</v>
      </c>
    </row>
    <row r="18" spans="1:11" x14ac:dyDescent="0.25">
      <c r="A18" t="s">
        <v>4</v>
      </c>
      <c r="B18" s="1">
        <f>+B15+B17</f>
        <v>27708950.932909019</v>
      </c>
      <c r="C18" s="1">
        <f>+C15+C17</f>
        <v>0</v>
      </c>
      <c r="D18" s="1">
        <f>+D15+D17</f>
        <v>3604002.5296165841</v>
      </c>
      <c r="E18" s="1">
        <f>+E15+E17</f>
        <v>0</v>
      </c>
      <c r="G18" s="1">
        <f>+G15+G17</f>
        <v>5246759.6074743979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36559713.07</v>
      </c>
    </row>
    <row r="20" spans="1:11" x14ac:dyDescent="0.25">
      <c r="A20" t="s">
        <v>7</v>
      </c>
      <c r="B20" s="1">
        <f>B$9/($K$9-$J$9-$I$9-$H$9-$G$9)*-$G$20</f>
        <v>4642877.41794354</v>
      </c>
      <c r="C20" s="1">
        <f>C$9/($K$9-$J$9-$I$9-$H$9-$G$9)*-$G$20</f>
        <v>0</v>
      </c>
      <c r="D20" s="1">
        <f>D$9/($K$9-$J$9-$I$9-$H$9-$G$9)*-$G$20</f>
        <v>603882.18953085889</v>
      </c>
      <c r="E20" s="1">
        <f>E$9/($K$9-$J$9-$I$9-$H$9-$G$9)*-$G$20</f>
        <v>0</v>
      </c>
      <c r="G20" s="1">
        <f>-G18</f>
        <v>-5246759.6074743979</v>
      </c>
      <c r="K20" s="1">
        <f>SUM(B20:J20)</f>
        <v>0</v>
      </c>
    </row>
    <row r="22" spans="1:11" x14ac:dyDescent="0.25">
      <c r="A22" t="s">
        <v>8</v>
      </c>
      <c r="B22" s="1">
        <f>+B20+B18</f>
        <v>32351828.35085256</v>
      </c>
      <c r="C22" s="1">
        <f t="shared" ref="C22:K22" si="3">+C20+C18</f>
        <v>0</v>
      </c>
      <c r="D22" s="1">
        <f t="shared" si="3"/>
        <v>4207884.7191474428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36559713.07</v>
      </c>
    </row>
    <row r="27" spans="1:11" x14ac:dyDescent="0.25">
      <c r="A27" t="s">
        <v>9</v>
      </c>
      <c r="B27" s="1">
        <f>+B9</f>
        <v>17942367.710000001</v>
      </c>
    </row>
    <row r="28" spans="1:11" x14ac:dyDescent="0.25">
      <c r="A28" t="s">
        <v>10</v>
      </c>
      <c r="B28" s="1">
        <f>+B22-B27</f>
        <v>14409460.640852559</v>
      </c>
    </row>
    <row r="29" spans="1:11" x14ac:dyDescent="0.25">
      <c r="A29" s="29" t="s">
        <v>164</v>
      </c>
      <c r="B29" s="1">
        <v>3122</v>
      </c>
    </row>
    <row r="30" spans="1:11" x14ac:dyDescent="0.25">
      <c r="A30" t="s">
        <v>11</v>
      </c>
      <c r="B30" s="1">
        <f>+B28/B29</f>
        <v>4615.4582449880072</v>
      </c>
    </row>
  </sheetData>
  <phoneticPr fontId="0" type="noConversion"/>
  <pageMargins left="0.49" right="0.55000000000000004" top="1" bottom="0.51" header="0.5" footer="0.5"/>
  <pageSetup orientation="landscape" horizontalDpi="4294967294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1.1796875" style="1" customWidth="1"/>
    <col min="8" max="10" width="10.26953125" style="1" customWidth="1"/>
    <col min="11" max="11" width="13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53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Table'!B21</f>
        <v>30197703.949999999</v>
      </c>
      <c r="C9" s="1">
        <f>'Master Expend Table'!C21</f>
        <v>176223.46</v>
      </c>
      <c r="D9" s="1">
        <f>'Master Expend Table'!D21</f>
        <v>7423.81</v>
      </c>
      <c r="E9" s="1">
        <f>'Master Expend Table'!E21</f>
        <v>0</v>
      </c>
      <c r="G9" s="1">
        <f>'Master Expend Table'!G21</f>
        <v>21630710.140000001</v>
      </c>
      <c r="H9" s="1">
        <f>'Master Expend Table'!H21</f>
        <v>5044662.91</v>
      </c>
      <c r="I9" s="1">
        <f>'Master Expend Table'!I21</f>
        <v>15266494.560000001</v>
      </c>
      <c r="J9" s="1">
        <f>'Master Expend Table'!J21</f>
        <v>7010724.8200000003</v>
      </c>
      <c r="K9" s="1">
        <f>SUM(B9:J9)</f>
        <v>79333943.650000006</v>
      </c>
    </row>
    <row r="11" spans="1:11" x14ac:dyDescent="0.25">
      <c r="A11" t="s">
        <v>3</v>
      </c>
      <c r="B11" s="1">
        <f>(B9/($K9-$J9))*-$J$11</f>
        <v>2927245.164335242</v>
      </c>
      <c r="C11" s="1">
        <f t="shared" ref="C11:I11" si="0">(C9/($K9-$J9))*-$J$11</f>
        <v>17082.400436190281</v>
      </c>
      <c r="D11" s="1">
        <f t="shared" si="0"/>
        <v>719.63457749719453</v>
      </c>
      <c r="E11" s="1">
        <f t="shared" si="0"/>
        <v>0</v>
      </c>
      <c r="G11" s="1">
        <f t="shared" si="0"/>
        <v>2096794.9008074263</v>
      </c>
      <c r="H11" s="1">
        <f t="shared" si="0"/>
        <v>489009.53309063916</v>
      </c>
      <c r="I11" s="1">
        <f t="shared" si="0"/>
        <v>1479873.1867530041</v>
      </c>
      <c r="J11" s="1">
        <f>-J9</f>
        <v>-7010724.8200000003</v>
      </c>
      <c r="K11" s="1">
        <v>0</v>
      </c>
    </row>
    <row r="12" spans="1:11" x14ac:dyDescent="0.25">
      <c r="A12" t="s">
        <v>4</v>
      </c>
      <c r="B12" s="1">
        <f>+B9+B11</f>
        <v>33124949.114335243</v>
      </c>
      <c r="C12" s="1">
        <f t="shared" ref="C12:J12" si="1">+C9+C11</f>
        <v>193305.86043619027</v>
      </c>
      <c r="D12" s="1">
        <f t="shared" si="1"/>
        <v>8143.4445774971946</v>
      </c>
      <c r="E12" s="1">
        <f t="shared" si="1"/>
        <v>0</v>
      </c>
      <c r="G12" s="1">
        <f t="shared" si="1"/>
        <v>23727505.040807426</v>
      </c>
      <c r="H12" s="1">
        <f t="shared" si="1"/>
        <v>5533672.4430906391</v>
      </c>
      <c r="I12" s="1">
        <f t="shared" si="1"/>
        <v>16746367.746753005</v>
      </c>
      <c r="J12" s="1">
        <f t="shared" si="1"/>
        <v>0</v>
      </c>
      <c r="K12" s="1">
        <f>SUM(B12:J12)</f>
        <v>79333943.649999991</v>
      </c>
    </row>
    <row r="14" spans="1:11" x14ac:dyDescent="0.25">
      <c r="A14" t="s">
        <v>5</v>
      </c>
      <c r="B14" s="1">
        <f>B$9/($K$9-$J$9-$I$9)*-I14</f>
        <v>8863142.1085659843</v>
      </c>
      <c r="C14" s="1">
        <f t="shared" ref="C14:H14" si="2">C$9/($K$9-$J$9-$I$9)*-$I$14</f>
        <v>51722.262441850093</v>
      </c>
      <c r="D14" s="1">
        <f t="shared" si="2"/>
        <v>2178.9167522782222</v>
      </c>
      <c r="E14" s="1">
        <f t="shared" si="2"/>
        <v>0</v>
      </c>
      <c r="G14" s="1">
        <f t="shared" si="2"/>
        <v>6348696.516710476</v>
      </c>
      <c r="H14" s="1">
        <f t="shared" si="2"/>
        <v>1480627.9422824136</v>
      </c>
      <c r="I14" s="1">
        <f>-I12</f>
        <v>-16746367.746753005</v>
      </c>
      <c r="K14" s="1">
        <v>0</v>
      </c>
    </row>
    <row r="15" spans="1:11" x14ac:dyDescent="0.25">
      <c r="A15" t="s">
        <v>4</v>
      </c>
      <c r="B15" s="1">
        <f>+B12+B14</f>
        <v>41988091.222901225</v>
      </c>
      <c r="C15" s="1">
        <f>+C12+C14</f>
        <v>245028.12287804036</v>
      </c>
      <c r="D15" s="1">
        <f>+D12+D14</f>
        <v>10322.361329775416</v>
      </c>
      <c r="E15" s="1">
        <f>+E12+E14</f>
        <v>0</v>
      </c>
      <c r="G15" s="1">
        <f>+G12+G14</f>
        <v>30076201.557517901</v>
      </c>
      <c r="H15" s="1">
        <f>+H12+H14</f>
        <v>7014300.3853730522</v>
      </c>
      <c r="I15" s="1">
        <f>+I12+I14</f>
        <v>0</v>
      </c>
      <c r="J15" s="1">
        <f>+J12+J14</f>
        <v>0</v>
      </c>
      <c r="K15" s="1">
        <f>SUM(B15:J15)</f>
        <v>79333943.650000006</v>
      </c>
    </row>
    <row r="17" spans="1:11" x14ac:dyDescent="0.25">
      <c r="A17" t="s">
        <v>6</v>
      </c>
      <c r="B17" s="1">
        <f>B$9/($K$9-$J$9-$I$9-$H$9)*-$H$17</f>
        <v>4072435.5258252406</v>
      </c>
      <c r="C17" s="1">
        <f>C$9/($K$9-$J$9-$I$9-$H$9)*-$H$17</f>
        <v>23765.339251491114</v>
      </c>
      <c r="D17" s="1">
        <f>D$9/($K$9-$J$9-$I$9-$H$9)*-$H$17</f>
        <v>1001.1684209844267</v>
      </c>
      <c r="E17" s="1">
        <f>E$9/($K$9-$J$9-$I$9-$H$9)*-$H$17</f>
        <v>0</v>
      </c>
      <c r="G17" s="1">
        <f>G$9/($K$9-$J$9-$I$9-$H$9)*-$H$17</f>
        <v>2917098.351875334</v>
      </c>
      <c r="H17" s="1">
        <f>-H15</f>
        <v>-7014300.3853730522</v>
      </c>
      <c r="K17" s="1">
        <v>0</v>
      </c>
    </row>
    <row r="18" spans="1:11" x14ac:dyDescent="0.25">
      <c r="A18" t="s">
        <v>4</v>
      </c>
      <c r="B18" s="1">
        <f>+B15+B17</f>
        <v>46060526.748726465</v>
      </c>
      <c r="C18" s="1">
        <f>+C15+C17</f>
        <v>268793.46212953149</v>
      </c>
      <c r="D18" s="1">
        <f>+D15+D17</f>
        <v>11323.529750759842</v>
      </c>
      <c r="E18" s="1">
        <f>+E15+E17</f>
        <v>0</v>
      </c>
      <c r="G18" s="1">
        <f>+G15+G17</f>
        <v>32993299.909393236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79333943.649999991</v>
      </c>
    </row>
    <row r="20" spans="1:11" x14ac:dyDescent="0.25">
      <c r="A20" t="s">
        <v>7</v>
      </c>
      <c r="B20" s="1">
        <f>B$9/($K$9-$J$9-$I$9-$H$9-$G$9)*-$G$20</f>
        <v>32793864.097181465</v>
      </c>
      <c r="C20" s="1">
        <f>C$9/($K$9-$J$9-$I$9-$H$9-$G$9)*-$G$20</f>
        <v>191373.7616457126</v>
      </c>
      <c r="D20" s="1">
        <f>D$9/($K$9-$J$9-$I$9-$H$9-$G$9)*-$G$20</f>
        <v>8062.0505660430108</v>
      </c>
      <c r="E20" s="1">
        <f>E$9/($K$9-$J$9-$I$9-$H$9-$G$9)*-$G$20</f>
        <v>0</v>
      </c>
      <c r="G20" s="1">
        <f>-G18</f>
        <v>-32993299.909393236</v>
      </c>
      <c r="K20" s="1">
        <f>SUM(B20:J20)</f>
        <v>0</v>
      </c>
    </row>
    <row r="22" spans="1:11" x14ac:dyDescent="0.25">
      <c r="A22" t="s">
        <v>8</v>
      </c>
      <c r="B22" s="1">
        <f>+B20+B18</f>
        <v>78854390.845907927</v>
      </c>
      <c r="C22" s="1">
        <f t="shared" ref="C22:K22" si="3">+C20+C18</f>
        <v>460167.22377524409</v>
      </c>
      <c r="D22" s="1">
        <f t="shared" si="3"/>
        <v>19385.580316802854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79333943.649999991</v>
      </c>
    </row>
    <row r="27" spans="1:11" x14ac:dyDescent="0.25">
      <c r="A27" t="s">
        <v>9</v>
      </c>
      <c r="B27" s="1">
        <f>+B9</f>
        <v>30197703.949999999</v>
      </c>
    </row>
    <row r="28" spans="1:11" x14ac:dyDescent="0.25">
      <c r="A28" t="s">
        <v>10</v>
      </c>
      <c r="B28" s="1">
        <f>+B22-B27</f>
        <v>48656686.895907924</v>
      </c>
    </row>
    <row r="29" spans="1:11" x14ac:dyDescent="0.25">
      <c r="A29" s="29" t="s">
        <v>164</v>
      </c>
      <c r="B29" s="1">
        <v>5937</v>
      </c>
    </row>
    <row r="30" spans="1:11" x14ac:dyDescent="0.25">
      <c r="A30" t="s">
        <v>11</v>
      </c>
      <c r="B30" s="1">
        <f>+B28/B29</f>
        <v>8195.5005719905548</v>
      </c>
    </row>
  </sheetData>
  <phoneticPr fontId="0" type="noConversion"/>
  <pageMargins left="0.63" right="0.55000000000000004" top="1" bottom="0.55000000000000004" header="0.5" footer="0.5"/>
  <pageSetup scale="10" orientation="landscape" horizontalDpi="4294967294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4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101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Table'!B22</f>
        <v>20951513.710000001</v>
      </c>
      <c r="C9" s="1">
        <f>'Master Expend Table'!C22</f>
        <v>0</v>
      </c>
      <c r="D9" s="1">
        <f>'Master Expend Table'!D22</f>
        <v>1212247.22</v>
      </c>
      <c r="E9" s="1">
        <f>'Master Expend Table'!E22</f>
        <v>0</v>
      </c>
      <c r="G9" s="1">
        <f>'Master Expend Table'!G22</f>
        <v>6716872.75</v>
      </c>
      <c r="H9" s="1">
        <f>'Master Expend Table'!H22</f>
        <v>6128981.4000000004</v>
      </c>
      <c r="I9" s="1">
        <f>'Master Expend Table'!I22</f>
        <v>7292195.0099999998</v>
      </c>
      <c r="J9" s="1">
        <f>'Master Expend Table'!J22</f>
        <v>6427287.0099999998</v>
      </c>
      <c r="K9" s="1">
        <f>SUM(B9:J9)</f>
        <v>48729097.099999994</v>
      </c>
    </row>
    <row r="11" spans="1:11" x14ac:dyDescent="0.25">
      <c r="A11" t="s">
        <v>3</v>
      </c>
      <c r="B11" s="1">
        <f>(B9/($K9-$J9))*-$J$11</f>
        <v>3183348.2213082272</v>
      </c>
      <c r="C11" s="1">
        <f t="shared" ref="C11:I11" si="0">(C9/($K9-$J9))*-$J$11</f>
        <v>0</v>
      </c>
      <c r="D11" s="1">
        <f t="shared" si="0"/>
        <v>184187.40931978432</v>
      </c>
      <c r="E11" s="1">
        <f t="shared" si="0"/>
        <v>0</v>
      </c>
      <c r="G11" s="1">
        <f t="shared" si="0"/>
        <v>1020553.7040152217</v>
      </c>
      <c r="H11" s="1">
        <f t="shared" si="0"/>
        <v>931230.18738301971</v>
      </c>
      <c r="I11" s="1">
        <f t="shared" si="0"/>
        <v>1107967.4879737473</v>
      </c>
      <c r="J11" s="1">
        <f>-J9</f>
        <v>-6427287.0099999998</v>
      </c>
      <c r="K11" s="1">
        <v>0</v>
      </c>
    </row>
    <row r="12" spans="1:11" x14ac:dyDescent="0.25">
      <c r="A12" t="s">
        <v>4</v>
      </c>
      <c r="B12" s="1">
        <f>+B9+B11</f>
        <v>24134861.931308229</v>
      </c>
      <c r="C12" s="1">
        <f t="shared" ref="C12:J12" si="1">+C9+C11</f>
        <v>0</v>
      </c>
      <c r="D12" s="1">
        <f t="shared" si="1"/>
        <v>1396434.6293197842</v>
      </c>
      <c r="E12" s="1">
        <f t="shared" si="1"/>
        <v>0</v>
      </c>
      <c r="G12" s="1">
        <f t="shared" si="1"/>
        <v>7737426.4540152214</v>
      </c>
      <c r="H12" s="1">
        <f t="shared" si="1"/>
        <v>7060211.5873830197</v>
      </c>
      <c r="I12" s="1">
        <f t="shared" si="1"/>
        <v>8400162.4979737476</v>
      </c>
      <c r="J12" s="1">
        <f t="shared" si="1"/>
        <v>0</v>
      </c>
      <c r="K12" s="1">
        <f>SUM(B12:J12)</f>
        <v>48729097.100000001</v>
      </c>
    </row>
    <row r="14" spans="1:11" x14ac:dyDescent="0.25">
      <c r="A14" t="s">
        <v>5</v>
      </c>
      <c r="B14" s="1">
        <f>B$9/($K$9-$J$9-$I$9)*-I14</f>
        <v>5027079.5420160564</v>
      </c>
      <c r="C14" s="1">
        <f t="shared" ref="C14:H14" si="2">C$9/($K$9-$J$9-$I$9)*-$I$14</f>
        <v>0</v>
      </c>
      <c r="D14" s="1">
        <f t="shared" si="2"/>
        <v>290865.05556966929</v>
      </c>
      <c r="E14" s="1">
        <f t="shared" si="2"/>
        <v>0</v>
      </c>
      <c r="G14" s="1">
        <f t="shared" si="2"/>
        <v>1611637.9014530941</v>
      </c>
      <c r="H14" s="1">
        <f t="shared" si="2"/>
        <v>1470579.9989349281</v>
      </c>
      <c r="I14" s="1">
        <f>-I12</f>
        <v>-8400162.4979737476</v>
      </c>
      <c r="K14" s="1">
        <v>0</v>
      </c>
    </row>
    <row r="15" spans="1:11" x14ac:dyDescent="0.25">
      <c r="A15" t="s">
        <v>4</v>
      </c>
      <c r="B15" s="1">
        <f>+B12+B14</f>
        <v>29161941.473324284</v>
      </c>
      <c r="C15" s="1">
        <f>+C12+C14</f>
        <v>0</v>
      </c>
      <c r="D15" s="1">
        <f>+D12+D14</f>
        <v>1687299.6848894535</v>
      </c>
      <c r="E15" s="1">
        <f>+E12+E14</f>
        <v>0</v>
      </c>
      <c r="G15" s="1">
        <f>+G12+G14</f>
        <v>9349064.355468316</v>
      </c>
      <c r="H15" s="1">
        <f>+H12+H14</f>
        <v>8530791.5863179471</v>
      </c>
      <c r="I15" s="1">
        <f>+I12+I14</f>
        <v>0</v>
      </c>
      <c r="J15" s="1">
        <f>+J12+J14</f>
        <v>0</v>
      </c>
      <c r="K15" s="1">
        <f>SUM(B15:J15)</f>
        <v>48729097.100000001</v>
      </c>
    </row>
    <row r="17" spans="1:11" x14ac:dyDescent="0.25">
      <c r="A17" t="s">
        <v>6</v>
      </c>
      <c r="B17" s="1">
        <f>B$9/($K$9-$J$9-$I$9-$H$9)*-$H$17</f>
        <v>6188679.8904162105</v>
      </c>
      <c r="C17" s="1">
        <f>C$9/($K$9-$J$9-$I$9-$H$9)*-$H$17</f>
        <v>0</v>
      </c>
      <c r="D17" s="1">
        <f>D$9/($K$9-$J$9-$I$9-$H$9)*-$H$17</f>
        <v>358074.84349191474</v>
      </c>
      <c r="E17" s="1">
        <f>E$9/($K$9-$J$9-$I$9-$H$9)*-$H$17</f>
        <v>0</v>
      </c>
      <c r="G17" s="1">
        <f>G$9/($K$9-$J$9-$I$9-$H$9)*-$H$17</f>
        <v>1984036.8524098219</v>
      </c>
      <c r="H17" s="1">
        <f>-H15</f>
        <v>-8530791.5863179471</v>
      </c>
      <c r="K17" s="1">
        <v>0</v>
      </c>
    </row>
    <row r="18" spans="1:11" x14ac:dyDescent="0.25">
      <c r="A18" t="s">
        <v>4</v>
      </c>
      <c r="B18" s="1">
        <f>+B15+B17</f>
        <v>35350621.363740496</v>
      </c>
      <c r="C18" s="1">
        <f>+C15+C17</f>
        <v>0</v>
      </c>
      <c r="D18" s="1">
        <f>+D15+D17</f>
        <v>2045374.5283813681</v>
      </c>
      <c r="E18" s="1">
        <f>+E15+E17</f>
        <v>0</v>
      </c>
      <c r="G18" s="1">
        <f>+G15+G17</f>
        <v>11333101.207878139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48729097.100000009</v>
      </c>
    </row>
    <row r="20" spans="1:11" x14ac:dyDescent="0.25">
      <c r="A20" t="s">
        <v>7</v>
      </c>
      <c r="B20" s="1">
        <f>B$9/($K$9-$J$9-$I$9-$H$9-$G$9)*-$G$20</f>
        <v>10713237.07576539</v>
      </c>
      <c r="C20" s="1">
        <f>C$9/($K$9-$J$9-$I$9-$H$9-$G$9)*-$G$20</f>
        <v>0</v>
      </c>
      <c r="D20" s="1">
        <f>D$9/($K$9-$J$9-$I$9-$H$9-$G$9)*-$G$20</f>
        <v>619864.1321127495</v>
      </c>
      <c r="E20" s="1">
        <f>E$9/($K$9-$J$9-$I$9-$H$9-$G$9)*-$G$20</f>
        <v>0</v>
      </c>
      <c r="G20" s="1">
        <f>-G18</f>
        <v>-11333101.207878139</v>
      </c>
      <c r="K20" s="1">
        <f>SUM(B20:J20)</f>
        <v>0</v>
      </c>
    </row>
    <row r="22" spans="1:11" x14ac:dyDescent="0.25">
      <c r="A22" t="s">
        <v>8</v>
      </c>
      <c r="B22" s="1">
        <f>+B20+B18</f>
        <v>46063858.43950589</v>
      </c>
      <c r="C22" s="1">
        <f t="shared" ref="C22:K22" si="3">+C20+C18</f>
        <v>0</v>
      </c>
      <c r="D22" s="1">
        <f t="shared" si="3"/>
        <v>2665238.6604941175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48729097.100000009</v>
      </c>
    </row>
    <row r="27" spans="1:11" x14ac:dyDescent="0.25">
      <c r="A27" t="s">
        <v>9</v>
      </c>
      <c r="B27" s="1">
        <f>+B9</f>
        <v>20951513.710000001</v>
      </c>
    </row>
    <row r="28" spans="1:11" x14ac:dyDescent="0.25">
      <c r="A28" t="s">
        <v>10</v>
      </c>
      <c r="B28" s="1">
        <f>+B22-B27</f>
        <v>25112344.729505889</v>
      </c>
    </row>
    <row r="29" spans="1:11" x14ac:dyDescent="0.25">
      <c r="A29" s="29" t="s">
        <v>164</v>
      </c>
      <c r="B29" s="1">
        <v>4620</v>
      </c>
    </row>
    <row r="30" spans="1:11" x14ac:dyDescent="0.25">
      <c r="A30" t="s">
        <v>11</v>
      </c>
      <c r="B30" s="1">
        <f>+B28/B29</f>
        <v>5435.572452274002</v>
      </c>
    </row>
  </sheetData>
  <phoneticPr fontId="0" type="noConversion"/>
  <pageMargins left="0.59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zoomScale="75" workbookViewId="0">
      <selection activeCell="B30" sqref="B30"/>
    </sheetView>
  </sheetViews>
  <sheetFormatPr defaultRowHeight="12.5" x14ac:dyDescent="0.25"/>
  <cols>
    <col min="1" max="1" width="24.54296875" customWidth="1"/>
    <col min="2" max="2" width="14.26953125" style="1" customWidth="1"/>
    <col min="3" max="3" width="11.26953125" style="1" customWidth="1"/>
    <col min="4" max="4" width="11" style="1" customWidth="1"/>
    <col min="5" max="5" width="11.1796875" style="1" customWidth="1"/>
    <col min="6" max="6" width="2.7265625" style="3" customWidth="1"/>
    <col min="7" max="7" width="13.54296875" style="1" bestFit="1" customWidth="1"/>
    <col min="8" max="9" width="13.26953125" style="1" bestFit="1" customWidth="1"/>
    <col min="10" max="10" width="12.453125" style="1" customWidth="1"/>
    <col min="11" max="11" width="13" style="1" customWidth="1"/>
  </cols>
  <sheetData>
    <row r="1" spans="1:11" ht="15.5" x14ac:dyDescent="0.35">
      <c r="A1" s="5" t="s">
        <v>165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64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+'Master Expend Table'!B50</f>
        <v>702640981.3499999</v>
      </c>
      <c r="C9" s="1">
        <f>+'Master Expend Table'!C50</f>
        <v>2585981.9299999997</v>
      </c>
      <c r="D9" s="1">
        <f>+'Master Expend Table'!D50</f>
        <v>33572865.660000019</v>
      </c>
      <c r="E9" s="1">
        <f>+'Master Expend Table'!E50</f>
        <v>28557821.029999997</v>
      </c>
      <c r="G9" s="1">
        <f>+'Master Expend Table'!G50</f>
        <v>225718735.34999996</v>
      </c>
      <c r="H9" s="1">
        <f>+'Master Expend Table'!H50</f>
        <v>156670287.86000001</v>
      </c>
      <c r="I9" s="1">
        <f>+'Master Expend Table'!I50</f>
        <v>230458428.60000002</v>
      </c>
      <c r="J9" s="1">
        <f>+'Master Expend Table'!J50</f>
        <v>160137520.63000008</v>
      </c>
      <c r="K9" s="1">
        <f>SUM(B9:J9)</f>
        <v>1540342622.4099998</v>
      </c>
    </row>
    <row r="11" spans="1:11" x14ac:dyDescent="0.25">
      <c r="A11" t="s">
        <v>3</v>
      </c>
      <c r="B11" s="1">
        <f>(B9/($K9-$J9))*-$J$11</f>
        <v>81523524.656811699</v>
      </c>
      <c r="C11" s="1">
        <f t="shared" ref="C11:I11" si="0">(C9/($K9-$J9))*-$J$11</f>
        <v>300037.09892835235</v>
      </c>
      <c r="D11" s="1">
        <f t="shared" si="0"/>
        <v>3895272.8549567666</v>
      </c>
      <c r="E11" s="1">
        <f t="shared" si="0"/>
        <v>3313405.1225007172</v>
      </c>
      <c r="G11" s="1">
        <f t="shared" si="0"/>
        <v>26188889.312227532</v>
      </c>
      <c r="H11" s="1">
        <f t="shared" si="0"/>
        <v>18177582.028883036</v>
      </c>
      <c r="I11" s="1">
        <f t="shared" si="0"/>
        <v>26738809.555691998</v>
      </c>
      <c r="J11" s="1">
        <f>-J9</f>
        <v>-160137520.63000008</v>
      </c>
      <c r="K11" s="1">
        <v>0</v>
      </c>
    </row>
    <row r="12" spans="1:11" x14ac:dyDescent="0.25">
      <c r="A12" t="s">
        <v>4</v>
      </c>
      <c r="B12" s="1">
        <f>+B9+B11</f>
        <v>784164506.00681162</v>
      </c>
      <c r="C12" s="1">
        <f t="shared" ref="C12:J12" si="1">+C9+C11</f>
        <v>2886019.0289283521</v>
      </c>
      <c r="D12" s="1">
        <f t="shared" si="1"/>
        <v>37468138.514956787</v>
      </c>
      <c r="E12" s="1">
        <f t="shared" si="1"/>
        <v>31871226.152500715</v>
      </c>
      <c r="G12" s="1">
        <f t="shared" si="1"/>
        <v>251907624.66222751</v>
      </c>
      <c r="H12" s="1">
        <f t="shared" si="1"/>
        <v>174847869.88888305</v>
      </c>
      <c r="I12" s="1">
        <f t="shared" si="1"/>
        <v>257197238.15569201</v>
      </c>
      <c r="J12" s="1">
        <f t="shared" si="1"/>
        <v>0</v>
      </c>
      <c r="K12" s="1">
        <f>SUM(B12:J12)</f>
        <v>1540342622.4100003</v>
      </c>
    </row>
    <row r="14" spans="1:11" x14ac:dyDescent="0.25">
      <c r="A14" t="s">
        <v>5</v>
      </c>
      <c r="B14" s="1">
        <f>B$9/($K$9-$J$9-$I$9)*-I14</f>
        <v>157180119.78968579</v>
      </c>
      <c r="C14" s="1">
        <f t="shared" ref="C14:H14" si="2">C$9/($K$9-$J$9-$I$9)*-$I$14</f>
        <v>578481.70021397341</v>
      </c>
      <c r="D14" s="1">
        <f t="shared" si="2"/>
        <v>7510218.1429597763</v>
      </c>
      <c r="E14" s="1">
        <f t="shared" si="2"/>
        <v>6388357.4251583293</v>
      </c>
      <c r="G14" s="1">
        <f t="shared" si="2"/>
        <v>50493066.591310598</v>
      </c>
      <c r="H14" s="1">
        <f t="shared" si="2"/>
        <v>35046994.506363571</v>
      </c>
      <c r="I14" s="1">
        <f>-I12</f>
        <v>-257197238.15569201</v>
      </c>
      <c r="K14" s="1">
        <v>0</v>
      </c>
    </row>
    <row r="15" spans="1:11" x14ac:dyDescent="0.25">
      <c r="A15" t="s">
        <v>4</v>
      </c>
      <c r="B15" s="1">
        <f>+B12+B14</f>
        <v>941344625.79649734</v>
      </c>
      <c r="C15" s="1">
        <f>+C12+C14</f>
        <v>3464500.7291423255</v>
      </c>
      <c r="D15" s="1">
        <f>+D12+D14</f>
        <v>44978356.657916561</v>
      </c>
      <c r="E15" s="1">
        <f>+E12+E14</f>
        <v>38259583.577659041</v>
      </c>
      <c r="G15" s="1">
        <f>+G12+G14</f>
        <v>302400691.25353813</v>
      </c>
      <c r="H15" s="1">
        <f>+H12+H14</f>
        <v>209894864.39524662</v>
      </c>
      <c r="I15" s="1">
        <f>+I12+I14</f>
        <v>0</v>
      </c>
      <c r="J15" s="1">
        <f>+J12+J14</f>
        <v>0</v>
      </c>
      <c r="K15" s="1">
        <f>SUM(B15:J15)</f>
        <v>1540342622.4099998</v>
      </c>
    </row>
    <row r="17" spans="1:11" x14ac:dyDescent="0.25">
      <c r="A17" t="s">
        <v>6</v>
      </c>
      <c r="B17" s="1">
        <f>B$9/($K$9-$J$9-$I$9-$H$9)*-$H$17</f>
        <v>148508952.26098686</v>
      </c>
      <c r="C17" s="1">
        <f>C$9/($K$9-$J$9-$I$9-$H$9)*-$H$17</f>
        <v>546568.5566080662</v>
      </c>
      <c r="D17" s="1">
        <f>D$9/($K$9-$J$9-$I$9-$H$9)*-$H$17</f>
        <v>7095901.3719723579</v>
      </c>
      <c r="E17" s="1">
        <f>E$9/($K$9-$J$9-$I$9-$H$9)*-$H$17</f>
        <v>6035930.429041544</v>
      </c>
      <c r="G17" s="1">
        <f>G$9/($K$9-$J$9-$I$9-$H$9)*-$H$17</f>
        <v>47707511.776637815</v>
      </c>
      <c r="H17" s="1">
        <f>-H15</f>
        <v>-209894864.39524662</v>
      </c>
      <c r="K17" s="1">
        <v>0</v>
      </c>
    </row>
    <row r="18" spans="1:11" x14ac:dyDescent="0.25">
      <c r="A18" t="s">
        <v>4</v>
      </c>
      <c r="B18" s="1">
        <f>+B15+B17</f>
        <v>1089853578.0574841</v>
      </c>
      <c r="C18" s="1">
        <f>+C15+C17</f>
        <v>4011069.2857503919</v>
      </c>
      <c r="D18" s="1">
        <f>+D15+D17</f>
        <v>52074258.02988892</v>
      </c>
      <c r="E18" s="1">
        <f>+E15+E17</f>
        <v>44295514.006700583</v>
      </c>
      <c r="G18" s="1">
        <f>+G15+G17</f>
        <v>350108203.03017592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1540342622.4099998</v>
      </c>
    </row>
    <row r="20" spans="1:11" x14ac:dyDescent="0.25">
      <c r="A20" t="s">
        <v>7</v>
      </c>
      <c r="B20" s="1">
        <f>B$9/($K$9-$J$9-$I$9-$H$9-$G$9)*-$G$20</f>
        <v>320581115.42306948</v>
      </c>
      <c r="C20" s="1">
        <f>C$9/($K$9-$J$9-$I$9-$H$9-$G$9)*-$G$20</f>
        <v>1179858.5530700085</v>
      </c>
      <c r="D20" s="1">
        <f>D$9/($K$9-$J$9-$I$9-$H$9-$G$9)*-$G$20</f>
        <v>15317675.750356618</v>
      </c>
      <c r="E20" s="1">
        <f>E$9/($K$9-$J$9-$I$9-$H$9-$G$9)*-$G$20</f>
        <v>13029553.303679915</v>
      </c>
      <c r="G20" s="1">
        <f>-G18</f>
        <v>-350108203.03017592</v>
      </c>
      <c r="K20" s="1">
        <f>SUM(B20:J20)</f>
        <v>0</v>
      </c>
    </row>
    <row r="22" spans="1:11" x14ac:dyDescent="0.25">
      <c r="A22" t="s">
        <v>8</v>
      </c>
      <c r="B22" s="1">
        <f>+B20+B18</f>
        <v>1410434693.4805536</v>
      </c>
      <c r="C22" s="1">
        <f t="shared" ref="C22:K22" si="3">+C20+C18</f>
        <v>5190927.8388204006</v>
      </c>
      <c r="D22" s="1">
        <f t="shared" si="3"/>
        <v>67391933.780245543</v>
      </c>
      <c r="E22" s="1">
        <f t="shared" si="3"/>
        <v>57325067.310380496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1540342622.4099998</v>
      </c>
    </row>
    <row r="27" spans="1:11" x14ac:dyDescent="0.25">
      <c r="A27" t="s">
        <v>9</v>
      </c>
      <c r="B27" s="1">
        <f>+B9</f>
        <v>702640981.3499999</v>
      </c>
    </row>
    <row r="28" spans="1:11" x14ac:dyDescent="0.25">
      <c r="A28" t="s">
        <v>10</v>
      </c>
      <c r="B28" s="1">
        <f>+B22-B27</f>
        <v>707793712.13055372</v>
      </c>
    </row>
    <row r="29" spans="1:11" x14ac:dyDescent="0.25">
      <c r="A29" s="29" t="s">
        <v>164</v>
      </c>
      <c r="B29" s="1">
        <v>126094</v>
      </c>
    </row>
    <row r="30" spans="1:11" x14ac:dyDescent="0.25">
      <c r="A30" t="s">
        <v>11</v>
      </c>
      <c r="B30" s="1">
        <f>+B28/B29</f>
        <v>5613.2227713495786</v>
      </c>
    </row>
  </sheetData>
  <phoneticPr fontId="0" type="noConversion"/>
  <pageMargins left="0.32" right="0.18" top="1" bottom="1" header="0.5" footer="0.5"/>
  <pageSetup scale="1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4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102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Table'!B23</f>
        <v>7671080.4900000002</v>
      </c>
      <c r="C9" s="1">
        <f>'Master Expend Table'!C23</f>
        <v>71312.62</v>
      </c>
      <c r="D9" s="1">
        <f>'Master Expend Table'!D23</f>
        <v>468129.22</v>
      </c>
      <c r="E9" s="1">
        <f>'Master Expend Table'!E23</f>
        <v>0</v>
      </c>
      <c r="G9" s="1">
        <f>'Master Expend Table'!G23</f>
        <v>2131674.79</v>
      </c>
      <c r="H9" s="1">
        <f>'Master Expend Table'!H23</f>
        <v>1534802.43</v>
      </c>
      <c r="I9" s="1">
        <f>'Master Expend Table'!I23</f>
        <v>2675881.5299999998</v>
      </c>
      <c r="J9" s="1">
        <f>'Master Expend Table'!J23</f>
        <v>1570810.81</v>
      </c>
      <c r="K9" s="1">
        <f>SUM(B9:J9)</f>
        <v>16123691.890000001</v>
      </c>
    </row>
    <row r="11" spans="1:11" x14ac:dyDescent="0.25">
      <c r="A11" t="s">
        <v>3</v>
      </c>
      <c r="B11" s="1">
        <f>(B9/($K9-$J9))*-$J$11</f>
        <v>828002.10431404819</v>
      </c>
      <c r="C11" s="1">
        <f t="shared" ref="C11:I11" si="0">(C9/($K9-$J9))*-$J$11</f>
        <v>7697.3510447611097</v>
      </c>
      <c r="D11" s="1">
        <f t="shared" si="0"/>
        <v>50528.993895473257</v>
      </c>
      <c r="E11" s="1">
        <f t="shared" si="0"/>
        <v>0</v>
      </c>
      <c r="G11" s="1">
        <f t="shared" si="0"/>
        <v>230088.99647632387</v>
      </c>
      <c r="H11" s="1">
        <f t="shared" si="0"/>
        <v>165663.70844406489</v>
      </c>
      <c r="I11" s="1">
        <f t="shared" si="0"/>
        <v>288829.65582532878</v>
      </c>
      <c r="J11" s="1">
        <f>-J9</f>
        <v>-1570810.81</v>
      </c>
      <c r="K11" s="1">
        <v>0</v>
      </c>
    </row>
    <row r="12" spans="1:11" x14ac:dyDescent="0.25">
      <c r="A12" t="s">
        <v>4</v>
      </c>
      <c r="B12" s="1">
        <f>+B9+B11</f>
        <v>8499082.5943140481</v>
      </c>
      <c r="C12" s="1">
        <f t="shared" ref="C12:J12" si="1">+C9+C11</f>
        <v>79009.9710447611</v>
      </c>
      <c r="D12" s="1">
        <f t="shared" si="1"/>
        <v>518658.21389547322</v>
      </c>
      <c r="E12" s="1">
        <f t="shared" si="1"/>
        <v>0</v>
      </c>
      <c r="G12" s="1">
        <f t="shared" si="1"/>
        <v>2361763.7864763238</v>
      </c>
      <c r="H12" s="1">
        <f t="shared" si="1"/>
        <v>1700466.1384440649</v>
      </c>
      <c r="I12" s="1">
        <f t="shared" si="1"/>
        <v>2964711.1858253283</v>
      </c>
      <c r="J12" s="1">
        <f t="shared" si="1"/>
        <v>0</v>
      </c>
      <c r="K12" s="1">
        <f>SUM(B12:J12)</f>
        <v>16123691.889999997</v>
      </c>
    </row>
    <row r="14" spans="1:11" x14ac:dyDescent="0.25">
      <c r="A14" t="s">
        <v>5</v>
      </c>
      <c r="B14" s="1">
        <f>B$9/($K$9-$J$9-$I$9)*-I14</f>
        <v>1914838.6796115893</v>
      </c>
      <c r="C14" s="1">
        <f t="shared" ref="C14:H14" si="2">C$9/($K$9-$J$9-$I$9)*-$I$14</f>
        <v>17800.90344488655</v>
      </c>
      <c r="D14" s="1">
        <f t="shared" si="2"/>
        <v>116853.41311187351</v>
      </c>
      <c r="E14" s="1">
        <f t="shared" si="2"/>
        <v>0</v>
      </c>
      <c r="G14" s="1">
        <f t="shared" si="2"/>
        <v>532104.0947968089</v>
      </c>
      <c r="H14" s="1">
        <f t="shared" si="2"/>
        <v>383114.09486016992</v>
      </c>
      <c r="I14" s="1">
        <f>-I12</f>
        <v>-2964711.1858253283</v>
      </c>
      <c r="K14" s="1">
        <v>0</v>
      </c>
    </row>
    <row r="15" spans="1:11" x14ac:dyDescent="0.25">
      <c r="A15" t="s">
        <v>4</v>
      </c>
      <c r="B15" s="1">
        <f>+B12+B14</f>
        <v>10413921.273925638</v>
      </c>
      <c r="C15" s="1">
        <f>+C12+C14</f>
        <v>96810.874489647656</v>
      </c>
      <c r="D15" s="1">
        <f>+D12+D14</f>
        <v>635511.62700734672</v>
      </c>
      <c r="E15" s="1">
        <f>+E12+E14</f>
        <v>0</v>
      </c>
      <c r="G15" s="1">
        <f>+G12+G14</f>
        <v>2893867.8812731327</v>
      </c>
      <c r="H15" s="1">
        <f>+H12+H14</f>
        <v>2083580.2333042347</v>
      </c>
      <c r="I15" s="1">
        <f>+I12+I14</f>
        <v>0</v>
      </c>
      <c r="J15" s="1">
        <f>+J12+J14</f>
        <v>0</v>
      </c>
      <c r="K15" s="1">
        <f>SUM(B15:J15)</f>
        <v>16123691.889999999</v>
      </c>
    </row>
    <row r="17" spans="1:11" x14ac:dyDescent="0.25">
      <c r="A17" t="s">
        <v>6</v>
      </c>
      <c r="B17" s="1">
        <f>B$9/($K$9-$J$9-$I$9-$H$9)*-$H$17</f>
        <v>1545446.4357617814</v>
      </c>
      <c r="C17" s="1">
        <f>C$9/($K$9-$J$9-$I$9-$H$9)*-$H$17</f>
        <v>14366.924522236935</v>
      </c>
      <c r="D17" s="1">
        <f>D$9/($K$9-$J$9-$I$9-$H$9)*-$H$17</f>
        <v>94311.177606343015</v>
      </c>
      <c r="E17" s="1">
        <f>E$9/($K$9-$J$9-$I$9-$H$9)*-$H$17</f>
        <v>0</v>
      </c>
      <c r="G17" s="1">
        <f>G$9/($K$9-$J$9-$I$9-$H$9)*-$H$17</f>
        <v>429455.69541387301</v>
      </c>
      <c r="H17" s="1">
        <f>-H15</f>
        <v>-2083580.2333042347</v>
      </c>
      <c r="K17" s="1">
        <v>0</v>
      </c>
    </row>
    <row r="18" spans="1:11" x14ac:dyDescent="0.25">
      <c r="A18" t="s">
        <v>4</v>
      </c>
      <c r="B18" s="1">
        <f>+B15+B17</f>
        <v>11959367.709687419</v>
      </c>
      <c r="C18" s="1">
        <f>+C15+C17</f>
        <v>111177.79901188459</v>
      </c>
      <c r="D18" s="1">
        <f>+D15+D17</f>
        <v>729822.80461368978</v>
      </c>
      <c r="E18" s="1">
        <f>+E15+E17</f>
        <v>0</v>
      </c>
      <c r="G18" s="1">
        <f>+G15+G17</f>
        <v>3323323.5766870058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16123691.889999999</v>
      </c>
    </row>
    <row r="20" spans="1:11" x14ac:dyDescent="0.25">
      <c r="A20" t="s">
        <v>7</v>
      </c>
      <c r="B20" s="1">
        <f>B$9/($K$9-$J$9-$I$9-$H$9-$G$9)*-$G$20</f>
        <v>3104976.9584002467</v>
      </c>
      <c r="C20" s="1">
        <f>C$9/($K$9-$J$9-$I$9-$H$9-$G$9)*-$G$20</f>
        <v>28864.778857659014</v>
      </c>
      <c r="D20" s="1">
        <f>D$9/($K$9-$J$9-$I$9-$H$9-$G$9)*-$G$20</f>
        <v>189481.83942909975</v>
      </c>
      <c r="E20" s="1">
        <f>E$9/($K$9-$J$9-$I$9-$H$9-$G$9)*-$G$20</f>
        <v>0</v>
      </c>
      <c r="G20" s="1">
        <f>-G18</f>
        <v>-3323323.5766870058</v>
      </c>
      <c r="K20" s="1">
        <f>SUM(B20:J20)</f>
        <v>0</v>
      </c>
    </row>
    <row r="22" spans="1:11" x14ac:dyDescent="0.25">
      <c r="A22" t="s">
        <v>8</v>
      </c>
      <c r="B22" s="1">
        <f>+B20+B18</f>
        <v>15064344.668087665</v>
      </c>
      <c r="C22" s="1">
        <f t="shared" ref="C22:K22" si="3">+C20+C18</f>
        <v>140042.5778695436</v>
      </c>
      <c r="D22" s="1">
        <f t="shared" si="3"/>
        <v>919304.64404278947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16123691.889999999</v>
      </c>
    </row>
    <row r="27" spans="1:11" x14ac:dyDescent="0.25">
      <c r="A27" t="s">
        <v>9</v>
      </c>
      <c r="B27" s="1">
        <f>+B9</f>
        <v>7671080.4900000002</v>
      </c>
    </row>
    <row r="28" spans="1:11" x14ac:dyDescent="0.25">
      <c r="A28" t="s">
        <v>10</v>
      </c>
      <c r="B28" s="1">
        <f>+B22-B27</f>
        <v>7393264.1780876648</v>
      </c>
    </row>
    <row r="29" spans="1:11" x14ac:dyDescent="0.25">
      <c r="A29" s="29" t="s">
        <v>164</v>
      </c>
      <c r="B29" s="1">
        <v>1145</v>
      </c>
    </row>
    <row r="30" spans="1:11" x14ac:dyDescent="0.25">
      <c r="A30" t="s">
        <v>11</v>
      </c>
      <c r="B30" s="1">
        <f>+B28/B29</f>
        <v>6456.9992821726328</v>
      </c>
    </row>
  </sheetData>
  <phoneticPr fontId="0" type="noConversion"/>
  <pageMargins left="0.56000000000000005" right="0.55000000000000004" top="1" bottom="0.53" header="0.5" footer="0.5"/>
  <pageSetup scale="10" orientation="landscape" horizontalDpi="4294967294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0"/>
  <sheetViews>
    <sheetView zoomScale="80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4.5429687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103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Table'!B24</f>
        <v>20423866.719999999</v>
      </c>
      <c r="C9" s="1">
        <f>'Master Expend Table'!C24</f>
        <v>0</v>
      </c>
      <c r="D9" s="1">
        <f>'Master Expend Table'!D24</f>
        <v>1541618.58</v>
      </c>
      <c r="E9" s="1">
        <f>'Master Expend Table'!E24</f>
        <v>0</v>
      </c>
      <c r="G9" s="1">
        <f>'Master Expend Table'!G24</f>
        <v>4751963</v>
      </c>
      <c r="H9" s="1">
        <f>'Master Expend Table'!H24</f>
        <v>6027654.2999999998</v>
      </c>
      <c r="I9" s="1">
        <f>'Master Expend Table'!I24</f>
        <v>6692781.6100000003</v>
      </c>
      <c r="J9" s="1">
        <f>'Master Expend Table'!J24</f>
        <v>4043574.43</v>
      </c>
      <c r="K9" s="1">
        <f>SUM(B9:J9)</f>
        <v>43481458.640000001</v>
      </c>
    </row>
    <row r="11" spans="1:11" x14ac:dyDescent="0.25">
      <c r="A11" t="s">
        <v>3</v>
      </c>
      <c r="B11" s="1">
        <f>(B9/($K9-$J9))*-$J$11</f>
        <v>2094063.2816650781</v>
      </c>
      <c r="C11" s="1">
        <f t="shared" ref="C11:I11" si="0">(C9/($K9-$J9))*-$J$11</f>
        <v>0</v>
      </c>
      <c r="D11" s="1">
        <f t="shared" si="0"/>
        <v>158062.4720562541</v>
      </c>
      <c r="E11" s="1">
        <f t="shared" si="0"/>
        <v>0</v>
      </c>
      <c r="G11" s="1">
        <f t="shared" si="0"/>
        <v>487219.74984230753</v>
      </c>
      <c r="H11" s="1">
        <f t="shared" si="0"/>
        <v>618016.64284463273</v>
      </c>
      <c r="I11" s="1">
        <f t="shared" si="0"/>
        <v>686212.28359172761</v>
      </c>
      <c r="J11" s="1">
        <f>-J9</f>
        <v>-4043574.43</v>
      </c>
      <c r="K11" s="1">
        <v>0</v>
      </c>
    </row>
    <row r="12" spans="1:11" x14ac:dyDescent="0.25">
      <c r="A12" t="s">
        <v>4</v>
      </c>
      <c r="B12" s="1">
        <f>+B9+B11</f>
        <v>22517930.001665078</v>
      </c>
      <c r="C12" s="1">
        <f t="shared" ref="C12:J12" si="1">+C9+C11</f>
        <v>0</v>
      </c>
      <c r="D12" s="1">
        <f t="shared" si="1"/>
        <v>1699681.0520562541</v>
      </c>
      <c r="E12" s="1">
        <f t="shared" si="1"/>
        <v>0</v>
      </c>
      <c r="G12" s="1">
        <f t="shared" si="1"/>
        <v>5239182.7498423075</v>
      </c>
      <c r="H12" s="1">
        <f t="shared" si="1"/>
        <v>6645670.942844633</v>
      </c>
      <c r="I12" s="1">
        <f t="shared" si="1"/>
        <v>7378993.8935917281</v>
      </c>
      <c r="J12" s="1">
        <f t="shared" si="1"/>
        <v>0</v>
      </c>
      <c r="K12" s="1">
        <f>SUM(B12:J12)</f>
        <v>43481458.640000001</v>
      </c>
    </row>
    <row r="14" spans="1:11" x14ac:dyDescent="0.25">
      <c r="A14" t="s">
        <v>5</v>
      </c>
      <c r="B14" s="1">
        <f>B$9/($K$9-$J$9-$I$9)*-I14</f>
        <v>4602446.6513783736</v>
      </c>
      <c r="C14" s="1">
        <f t="shared" ref="C14:H14" si="2">C$9/($K$9-$J$9-$I$9)*-$I$14</f>
        <v>0</v>
      </c>
      <c r="D14" s="1">
        <f t="shared" si="2"/>
        <v>347398.33394406742</v>
      </c>
      <c r="E14" s="1">
        <f t="shared" si="2"/>
        <v>0</v>
      </c>
      <c r="G14" s="1">
        <f t="shared" si="2"/>
        <v>1070838.176563656</v>
      </c>
      <c r="H14" s="1">
        <f t="shared" si="2"/>
        <v>1358310.7317056297</v>
      </c>
      <c r="I14" s="1">
        <f>-I12</f>
        <v>-7378993.8935917281</v>
      </c>
      <c r="K14" s="1">
        <v>0</v>
      </c>
    </row>
    <row r="15" spans="1:11" x14ac:dyDescent="0.25">
      <c r="A15" t="s">
        <v>4</v>
      </c>
      <c r="B15" s="1">
        <f>+B12+B14</f>
        <v>27120376.653043453</v>
      </c>
      <c r="C15" s="1">
        <f>+C12+C14</f>
        <v>0</v>
      </c>
      <c r="D15" s="1">
        <f>+D12+D14</f>
        <v>2047079.3860003215</v>
      </c>
      <c r="E15" s="1">
        <f>+E12+E14</f>
        <v>0</v>
      </c>
      <c r="G15" s="1">
        <f>+G12+G14</f>
        <v>6310020.9264059635</v>
      </c>
      <c r="H15" s="1">
        <f>+H12+H14</f>
        <v>8003981.6745502632</v>
      </c>
      <c r="I15" s="1">
        <f>+I12+I14</f>
        <v>0</v>
      </c>
      <c r="J15" s="1">
        <f>+J12+J14</f>
        <v>0</v>
      </c>
      <c r="K15" s="1">
        <f>SUM(B15:J15)</f>
        <v>43481458.640000001</v>
      </c>
    </row>
    <row r="17" spans="1:11" x14ac:dyDescent="0.25">
      <c r="A17" t="s">
        <v>6</v>
      </c>
      <c r="B17" s="1">
        <f>B$9/($K$9-$J$9-$I$9-$H$9)*-$H$17</f>
        <v>6118557.9219530849</v>
      </c>
      <c r="C17" s="1">
        <f>C$9/($K$9-$J$9-$I$9-$H$9)*-$H$17</f>
        <v>0</v>
      </c>
      <c r="D17" s="1">
        <f>D$9/($K$9-$J$9-$I$9-$H$9)*-$H$17</f>
        <v>461836.27736134513</v>
      </c>
      <c r="E17" s="1">
        <f>E$9/($K$9-$J$9-$I$9-$H$9)*-$H$17</f>
        <v>0</v>
      </c>
      <c r="G17" s="1">
        <f>G$9/($K$9-$J$9-$I$9-$H$9)*-$H$17</f>
        <v>1423587.4752358329</v>
      </c>
      <c r="H17" s="1">
        <f>-H15</f>
        <v>-8003981.6745502632</v>
      </c>
      <c r="K17" s="1">
        <v>0</v>
      </c>
    </row>
    <row r="18" spans="1:11" x14ac:dyDescent="0.25">
      <c r="A18" t="s">
        <v>4</v>
      </c>
      <c r="B18" s="1">
        <f>+B15+B17</f>
        <v>33238934.574996538</v>
      </c>
      <c r="C18" s="1">
        <f>+C15+C17</f>
        <v>0</v>
      </c>
      <c r="D18" s="1">
        <f>+D15+D17</f>
        <v>2508915.6633616667</v>
      </c>
      <c r="E18" s="1">
        <f>+E15+E17</f>
        <v>0</v>
      </c>
      <c r="G18" s="1">
        <f>+G15+G17</f>
        <v>7733608.4016417963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43481458.640000001</v>
      </c>
    </row>
    <row r="20" spans="1:11" x14ac:dyDescent="0.25">
      <c r="A20" t="s">
        <v>7</v>
      </c>
      <c r="B20" s="1">
        <f>B$9/($K$9-$J$9-$I$9-$H$9-$G$9)*-$G$20</f>
        <v>7190835.3083282104</v>
      </c>
      <c r="C20" s="1">
        <f>C$9/($K$9-$J$9-$I$9-$H$9-$G$9)*-$G$20</f>
        <v>0</v>
      </c>
      <c r="D20" s="1">
        <f>D$9/($K$9-$J$9-$I$9-$H$9-$G$9)*-$G$20</f>
        <v>542773.09331358573</v>
      </c>
      <c r="E20" s="1">
        <f>E$9/($K$9-$J$9-$I$9-$H$9-$G$9)*-$G$20</f>
        <v>0</v>
      </c>
      <c r="G20" s="1">
        <f>-G18</f>
        <v>-7733608.4016417963</v>
      </c>
      <c r="K20" s="1">
        <f>SUM(B20:J20)</f>
        <v>0</v>
      </c>
    </row>
    <row r="22" spans="1:11" x14ac:dyDescent="0.25">
      <c r="A22" t="s">
        <v>8</v>
      </c>
      <c r="B22" s="1">
        <f>+B20+B18</f>
        <v>40429769.88332475</v>
      </c>
      <c r="C22" s="1">
        <f t="shared" ref="C22:K22" si="3">+C20+C18</f>
        <v>0</v>
      </c>
      <c r="D22" s="1">
        <f t="shared" si="3"/>
        <v>3051688.7566752527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43481458.640000001</v>
      </c>
    </row>
    <row r="27" spans="1:11" x14ac:dyDescent="0.25">
      <c r="A27" t="s">
        <v>9</v>
      </c>
      <c r="B27" s="1">
        <f>+B9</f>
        <v>20423866.719999999</v>
      </c>
    </row>
    <row r="28" spans="1:11" x14ac:dyDescent="0.25">
      <c r="A28" t="s">
        <v>10</v>
      </c>
      <c r="B28" s="1">
        <f>+B22-B27</f>
        <v>20005903.163324751</v>
      </c>
    </row>
    <row r="29" spans="1:11" x14ac:dyDescent="0.25">
      <c r="A29" s="29" t="s">
        <v>164</v>
      </c>
      <c r="B29" s="1">
        <v>3915</v>
      </c>
    </row>
    <row r="30" spans="1:11" x14ac:dyDescent="0.25">
      <c r="A30" t="s">
        <v>11</v>
      </c>
      <c r="B30" s="1">
        <f>+B28/B29</f>
        <v>5110.0646649616219</v>
      </c>
    </row>
  </sheetData>
  <phoneticPr fontId="11" type="noConversion"/>
  <pageMargins left="0.64" right="0.51" top="1" bottom="1" header="0.5" footer="0.5"/>
  <pageSetup scale="1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6"/>
  <sheetViews>
    <sheetView topLeftCell="A5"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1.1796875" style="1" customWidth="1"/>
    <col min="8" max="8" width="10.54296875" style="1" customWidth="1"/>
    <col min="9" max="9" width="11" style="1" customWidth="1"/>
    <col min="10" max="10" width="10.26953125" style="1" customWidth="1"/>
    <col min="11" max="11" width="14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59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Table'!B25</f>
        <v>33978159.369999997</v>
      </c>
      <c r="C9" s="1">
        <f>'Master Expend Table'!C25</f>
        <v>6146.16</v>
      </c>
      <c r="D9" s="1">
        <f>'Master Expend Table'!D25</f>
        <v>856507.44</v>
      </c>
      <c r="E9" s="1">
        <f>'Master Expend Table'!E25</f>
        <v>3400249.01</v>
      </c>
      <c r="G9" s="1">
        <f>'Master Expend Table'!G25</f>
        <v>12466151.029999999</v>
      </c>
      <c r="H9" s="1">
        <f>'Master Expend Table'!H25</f>
        <v>9410914.1600000001</v>
      </c>
      <c r="I9" s="1">
        <f>'Master Expend Table'!I25</f>
        <v>7941901.7300000004</v>
      </c>
      <c r="J9" s="1">
        <f>'Master Expend Table'!J25</f>
        <v>8393897.7599999998</v>
      </c>
      <c r="K9" s="1">
        <f>SUM(B9:J9)</f>
        <v>76453926.659999996</v>
      </c>
    </row>
    <row r="11" spans="1:11" x14ac:dyDescent="0.25">
      <c r="A11" t="s">
        <v>3</v>
      </c>
      <c r="B11" s="1">
        <f>(B9/($K9-$J9))*-$J$11</f>
        <v>4190553.5515393531</v>
      </c>
      <c r="C11" s="1">
        <f t="shared" ref="C11:I11" si="0">(C9/($K9-$J9))*-$J$11</f>
        <v>758.01082500865061</v>
      </c>
      <c r="D11" s="1">
        <f t="shared" si="0"/>
        <v>105633.7471234799</v>
      </c>
      <c r="E11" s="1">
        <f t="shared" si="0"/>
        <v>419355.42799161549</v>
      </c>
      <c r="G11" s="1">
        <f t="shared" si="0"/>
        <v>1537460.3698785484</v>
      </c>
      <c r="H11" s="1">
        <f t="shared" si="0"/>
        <v>1160655.5648579262</v>
      </c>
      <c r="I11" s="1">
        <f t="shared" si="0"/>
        <v>979481.08778406854</v>
      </c>
      <c r="J11" s="1">
        <f>-J9</f>
        <v>-8393897.7599999998</v>
      </c>
      <c r="K11" s="1">
        <v>0</v>
      </c>
    </row>
    <row r="12" spans="1:11" x14ac:dyDescent="0.25">
      <c r="A12" t="s">
        <v>4</v>
      </c>
      <c r="B12" s="1">
        <f>+B9+B11</f>
        <v>38168712.921539351</v>
      </c>
      <c r="C12" s="1">
        <f t="shared" ref="C12:J12" si="1">+C9+C11</f>
        <v>6904.1708250086504</v>
      </c>
      <c r="D12" s="1">
        <f t="shared" si="1"/>
        <v>962141.18712347979</v>
      </c>
      <c r="E12" s="1">
        <f t="shared" si="1"/>
        <v>3819604.4379916154</v>
      </c>
      <c r="G12" s="1">
        <f t="shared" si="1"/>
        <v>14003611.399878548</v>
      </c>
      <c r="H12" s="1">
        <f t="shared" si="1"/>
        <v>10571569.724857926</v>
      </c>
      <c r="I12" s="1">
        <f t="shared" si="1"/>
        <v>8921382.8177840691</v>
      </c>
      <c r="J12" s="1">
        <f t="shared" si="1"/>
        <v>0</v>
      </c>
      <c r="K12" s="1">
        <f>SUM(B12:J12)</f>
        <v>76453926.659999996</v>
      </c>
    </row>
    <row r="14" spans="1:11" x14ac:dyDescent="0.25">
      <c r="A14" t="s">
        <v>5</v>
      </c>
      <c r="B14" s="1">
        <f>B$9/($K$9-$J$9-$I$9)*-I14</f>
        <v>5042275.6238939371</v>
      </c>
      <c r="C14" s="1">
        <f t="shared" ref="C14:H14" si="2">C$9/($K$9-$J$9-$I$9)*-$I$14</f>
        <v>912.07508950335364</v>
      </c>
      <c r="D14" s="1">
        <f t="shared" si="2"/>
        <v>127103.60615380795</v>
      </c>
      <c r="E14" s="1">
        <f t="shared" si="2"/>
        <v>504588.62446298823</v>
      </c>
      <c r="G14" s="1">
        <f t="shared" si="2"/>
        <v>1849946.2780743705</v>
      </c>
      <c r="H14" s="1">
        <f t="shared" si="2"/>
        <v>1396556.6101094633</v>
      </c>
      <c r="I14" s="1">
        <f>-I12</f>
        <v>-8921382.8177840691</v>
      </c>
      <c r="K14" s="1">
        <v>0</v>
      </c>
    </row>
    <row r="15" spans="1:11" x14ac:dyDescent="0.25">
      <c r="A15" t="s">
        <v>4</v>
      </c>
      <c r="B15" s="1">
        <f>+B12+B14</f>
        <v>43210988.54543329</v>
      </c>
      <c r="C15" s="1">
        <f>+C12+C14</f>
        <v>7816.2459145120038</v>
      </c>
      <c r="D15" s="1">
        <f>+D12+D14</f>
        <v>1089244.7932772879</v>
      </c>
      <c r="E15" s="1">
        <f>+E12+E14</f>
        <v>4324193.0624546036</v>
      </c>
      <c r="G15" s="1">
        <f>+G12+G14</f>
        <v>15853557.677952919</v>
      </c>
      <c r="H15" s="1">
        <f>+H12+H14</f>
        <v>11968126.33496739</v>
      </c>
      <c r="I15" s="1">
        <f>+I12+I14</f>
        <v>0</v>
      </c>
      <c r="J15" s="1">
        <f>+J12+J14</f>
        <v>0</v>
      </c>
      <c r="K15" s="1">
        <f>SUM(B15:J15)</f>
        <v>76453926.659999996</v>
      </c>
    </row>
    <row r="17" spans="1:11" x14ac:dyDescent="0.25">
      <c r="A17" t="s">
        <v>6</v>
      </c>
      <c r="B17" s="1">
        <f>B$9/($K$9-$J$9-$I$9-$H$9)*-$H$17</f>
        <v>8019665.8390517207</v>
      </c>
      <c r="C17" s="1">
        <f>C$9/($K$9-$J$9-$I$9-$H$9)*-$H$17</f>
        <v>1450.642127391556</v>
      </c>
      <c r="D17" s="1">
        <f>D$9/($K$9-$J$9-$I$9-$H$9)*-$H$17</f>
        <v>202156.43180266954</v>
      </c>
      <c r="E17" s="1">
        <f>E$9/($K$9-$J$9-$I$9-$H$9)*-$H$17</f>
        <v>802540.84786719386</v>
      </c>
      <c r="G17" s="1">
        <f>G$9/($K$9-$J$9-$I$9-$H$9)*-$H$17</f>
        <v>2942312.5741184149</v>
      </c>
      <c r="H17" s="1">
        <f>-H15</f>
        <v>-11968126.33496739</v>
      </c>
      <c r="K17" s="1">
        <v>0</v>
      </c>
    </row>
    <row r="18" spans="1:11" x14ac:dyDescent="0.25">
      <c r="A18" t="s">
        <v>4</v>
      </c>
      <c r="B18" s="1">
        <f>+B15+B17</f>
        <v>51230654.384485014</v>
      </c>
      <c r="C18" s="1">
        <f>+C15+C17</f>
        <v>9266.8880419035595</v>
      </c>
      <c r="D18" s="1">
        <f>+D15+D17</f>
        <v>1291401.2250799574</v>
      </c>
      <c r="E18" s="1">
        <f>+E15+E17</f>
        <v>5126733.9103217972</v>
      </c>
      <c r="G18" s="1">
        <f>+G15+G17</f>
        <v>18795870.252071336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76453926.659999996</v>
      </c>
    </row>
    <row r="20" spans="1:11" x14ac:dyDescent="0.25">
      <c r="A20" t="s">
        <v>7</v>
      </c>
      <c r="B20" s="1">
        <f>B$9/($K$9-$J$9-$I$9-$H$9-$G$9)*-$G$20</f>
        <v>16700610.334951844</v>
      </c>
      <c r="C20" s="1">
        <f>C$9/($K$9-$J$9-$I$9-$H$9-$G$9)*-$G$20</f>
        <v>3020.9000463660968</v>
      </c>
      <c r="D20" s="1">
        <f>D$9/($K$9-$J$9-$I$9-$H$9-$G$9)*-$G$20</f>
        <v>420982.10349371104</v>
      </c>
      <c r="E20" s="1">
        <f>E$9/($K$9-$J$9-$I$9-$H$9-$G$9)*-$G$20</f>
        <v>1671256.9135794181</v>
      </c>
      <c r="G20" s="1">
        <f>-G18</f>
        <v>-18795870.252071336</v>
      </c>
      <c r="K20" s="1">
        <f>SUM(B20:J20)</f>
        <v>0</v>
      </c>
    </row>
    <row r="22" spans="1:11" x14ac:dyDescent="0.25">
      <c r="A22" t="s">
        <v>8</v>
      </c>
      <c r="B22" s="1">
        <f>+B20+B18</f>
        <v>67931264.719436854</v>
      </c>
      <c r="C22" s="1">
        <f t="shared" ref="C22:K22" si="3">+C20+C18</f>
        <v>12287.788088269655</v>
      </c>
      <c r="D22" s="1">
        <f t="shared" si="3"/>
        <v>1712383.3285736684</v>
      </c>
      <c r="E22" s="1">
        <f t="shared" si="3"/>
        <v>6797990.8239012156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76453926.659999996</v>
      </c>
    </row>
    <row r="27" spans="1:11" x14ac:dyDescent="0.25">
      <c r="A27" t="s">
        <v>9</v>
      </c>
      <c r="B27" s="1">
        <f>+B9</f>
        <v>33978159.369999997</v>
      </c>
    </row>
    <row r="28" spans="1:11" x14ac:dyDescent="0.25">
      <c r="A28" t="s">
        <v>10</v>
      </c>
      <c r="B28" s="1">
        <f>+B22-B27</f>
        <v>33953105.349436857</v>
      </c>
    </row>
    <row r="29" spans="1:11" x14ac:dyDescent="0.25">
      <c r="A29" s="29" t="s">
        <v>164</v>
      </c>
      <c r="B29" s="1">
        <v>5258</v>
      </c>
    </row>
    <row r="30" spans="1:11" x14ac:dyDescent="0.25">
      <c r="A30" t="s">
        <v>11</v>
      </c>
      <c r="B30" s="1">
        <f>+B28/B29</f>
        <v>6457.4182863135902</v>
      </c>
    </row>
    <row r="46" spans="13:13" x14ac:dyDescent="0.25">
      <c r="M46" s="29"/>
    </row>
  </sheetData>
  <phoneticPr fontId="0" type="noConversion"/>
  <pageMargins left="0.49" right="0.55000000000000004" top="1" bottom="0.48" header="0.5" footer="0.5"/>
  <pageSetup scale="10" orientation="landscape" horizontalDpi="4294967294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30"/>
  <sheetViews>
    <sheetView zoomScale="80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1.453125" style="1" customWidth="1"/>
    <col min="8" max="8" width="11.1796875" style="1" customWidth="1"/>
    <col min="9" max="9" width="11" style="1" customWidth="1"/>
    <col min="10" max="10" width="11.81640625" style="1" customWidth="1"/>
    <col min="11" max="11" width="14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60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Table'!B26</f>
        <v>85605451.230000004</v>
      </c>
      <c r="C9" s="1">
        <f>'Master Expend Table'!C26</f>
        <v>1189237.78</v>
      </c>
      <c r="D9" s="1">
        <f>'Master Expend Table'!D26</f>
        <v>2252512.54</v>
      </c>
      <c r="E9" s="1">
        <f>'Master Expend Table'!E26</f>
        <v>7330629.6399999997</v>
      </c>
      <c r="G9" s="1">
        <f>'Master Expend Table'!G26</f>
        <v>30359568.170000002</v>
      </c>
      <c r="H9" s="1">
        <f>'Master Expend Table'!H26</f>
        <v>18689851.18</v>
      </c>
      <c r="I9" s="1">
        <f>'Master Expend Table'!I26</f>
        <v>21640650.309999999</v>
      </c>
      <c r="J9" s="1">
        <f>'Master Expend Table'!J26</f>
        <v>17546367.920000002</v>
      </c>
      <c r="K9" s="1">
        <f>SUM(B9:J9)</f>
        <v>184614268.77000004</v>
      </c>
    </row>
    <row r="11" spans="1:11" x14ac:dyDescent="0.25">
      <c r="A11" t="s">
        <v>3</v>
      </c>
      <c r="B11" s="1">
        <f>(B9/($K9-$J9))*-$J$11</f>
        <v>8990744.096245084</v>
      </c>
      <c r="C11" s="1">
        <f t="shared" ref="C11:I11" si="0">(C9/($K9-$J9))*-$J$11</f>
        <v>124900.13656770032</v>
      </c>
      <c r="D11" s="1">
        <f t="shared" si="0"/>
        <v>236570.96049072503</v>
      </c>
      <c r="E11" s="1">
        <f t="shared" si="0"/>
        <v>769902.08229277062</v>
      </c>
      <c r="G11" s="1">
        <f t="shared" si="0"/>
        <v>3188524.8470406043</v>
      </c>
      <c r="H11" s="1">
        <f t="shared" si="0"/>
        <v>1962908.5150759295</v>
      </c>
      <c r="I11" s="1">
        <f t="shared" si="0"/>
        <v>2272817.282287186</v>
      </c>
      <c r="J11" s="1">
        <f>-J9</f>
        <v>-17546367.920000002</v>
      </c>
      <c r="K11" s="1">
        <v>0</v>
      </c>
    </row>
    <row r="12" spans="1:11" x14ac:dyDescent="0.25">
      <c r="A12" t="s">
        <v>4</v>
      </c>
      <c r="B12" s="1">
        <f>+B9+B11</f>
        <v>94596195.326245084</v>
      </c>
      <c r="C12" s="1">
        <f t="shared" ref="C12:J12" si="1">+C9+C11</f>
        <v>1314137.9165677004</v>
      </c>
      <c r="D12" s="1">
        <f t="shared" si="1"/>
        <v>2489083.500490725</v>
      </c>
      <c r="E12" s="1">
        <f t="shared" si="1"/>
        <v>8100531.7222927706</v>
      </c>
      <c r="G12" s="1">
        <f t="shared" si="1"/>
        <v>33548093.017040607</v>
      </c>
      <c r="H12" s="1">
        <f t="shared" si="1"/>
        <v>20652759.695075929</v>
      </c>
      <c r="I12" s="1">
        <f t="shared" si="1"/>
        <v>23913467.592287183</v>
      </c>
      <c r="J12" s="1">
        <f t="shared" si="1"/>
        <v>0</v>
      </c>
      <c r="K12" s="1">
        <f>SUM(B12:J12)</f>
        <v>184614268.76999998</v>
      </c>
    </row>
    <row r="14" spans="1:11" x14ac:dyDescent="0.25">
      <c r="A14" t="s">
        <v>5</v>
      </c>
      <c r="B14" s="1">
        <f>B$9/($K$9-$J$9-$I$9)*-I14</f>
        <v>14076613.400242077</v>
      </c>
      <c r="C14" s="1">
        <f t="shared" ref="C14:H14" si="2">C$9/($K$9-$J$9-$I$9)*-$I$14</f>
        <v>195553.43999116187</v>
      </c>
      <c r="D14" s="1">
        <f t="shared" si="2"/>
        <v>370394.03156215703</v>
      </c>
      <c r="E14" s="1">
        <f t="shared" si="2"/>
        <v>1205419.0234379976</v>
      </c>
      <c r="G14" s="1">
        <f t="shared" si="2"/>
        <v>4992204.3279601177</v>
      </c>
      <c r="H14" s="1">
        <f t="shared" si="2"/>
        <v>3073283.3690936691</v>
      </c>
      <c r="I14" s="1">
        <f>-I12</f>
        <v>-23913467.592287183</v>
      </c>
      <c r="K14" s="1">
        <v>0</v>
      </c>
    </row>
    <row r="15" spans="1:11" x14ac:dyDescent="0.25">
      <c r="A15" t="s">
        <v>4</v>
      </c>
      <c r="B15" s="1">
        <f>+B12+B14</f>
        <v>108672808.72648716</v>
      </c>
      <c r="C15" s="1">
        <f>+C12+C14</f>
        <v>1509691.3565588624</v>
      </c>
      <c r="D15" s="1">
        <f>+D12+D14</f>
        <v>2859477.532052882</v>
      </c>
      <c r="E15" s="1">
        <f>+E12+E14</f>
        <v>9305950.7457307689</v>
      </c>
      <c r="G15" s="1">
        <f>+G12+G14</f>
        <v>38540297.345000722</v>
      </c>
      <c r="H15" s="1">
        <f>+H12+H14</f>
        <v>23726043.064169597</v>
      </c>
      <c r="I15" s="1">
        <f>+I12+I14</f>
        <v>0</v>
      </c>
      <c r="J15" s="1">
        <f>+J12+J14</f>
        <v>0</v>
      </c>
      <c r="K15" s="1">
        <f>SUM(B15:J15)</f>
        <v>184614268.76999998</v>
      </c>
    </row>
    <row r="17" spans="1:11" x14ac:dyDescent="0.25">
      <c r="A17" t="s">
        <v>6</v>
      </c>
      <c r="B17" s="1">
        <f>B$9/($K$9-$J$9-$I$9-$H$9)*-$H$17</f>
        <v>16025882.120567523</v>
      </c>
      <c r="C17" s="1">
        <f>C$9/($K$9-$J$9-$I$9-$H$9)*-$H$17</f>
        <v>222632.83706547919</v>
      </c>
      <c r="D17" s="1">
        <f>D$9/($K$9-$J$9-$I$9-$H$9)*-$H$17</f>
        <v>421684.59978270176</v>
      </c>
      <c r="E17" s="1">
        <f>E$9/($K$9-$J$9-$I$9-$H$9)*-$H$17</f>
        <v>1372340.2516101468</v>
      </c>
      <c r="G17" s="1">
        <f>G$9/($K$9-$J$9-$I$9-$H$9)*-$H$17</f>
        <v>5683503.255143743</v>
      </c>
      <c r="H17" s="1">
        <f>-H15</f>
        <v>-23726043.064169597</v>
      </c>
      <c r="K17" s="1">
        <v>0</v>
      </c>
    </row>
    <row r="18" spans="1:11" x14ac:dyDescent="0.25">
      <c r="A18" t="s">
        <v>4</v>
      </c>
      <c r="B18" s="1">
        <f>+B15+B17</f>
        <v>124698690.84705469</v>
      </c>
      <c r="C18" s="1">
        <f>+C15+C17</f>
        <v>1732324.1936243416</v>
      </c>
      <c r="D18" s="1">
        <f>+D15+D17</f>
        <v>3281162.1318355836</v>
      </c>
      <c r="E18" s="1">
        <f>+E15+E17</f>
        <v>10678290.997340916</v>
      </c>
      <c r="G18" s="1">
        <f>+G15+G17</f>
        <v>44223800.600144461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184614268.76999998</v>
      </c>
    </row>
    <row r="20" spans="1:11" x14ac:dyDescent="0.25">
      <c r="A20" t="s">
        <v>7</v>
      </c>
      <c r="B20" s="1">
        <f>B$9/($K$9-$J$9-$I$9-$H$9-$G$9)*-$G$20</f>
        <v>39280800.976082966</v>
      </c>
      <c r="C20" s="1">
        <f>C$9/($K$9-$J$9-$I$9-$H$9-$G$9)*-$G$20</f>
        <v>545692.03103561199</v>
      </c>
      <c r="D20" s="1">
        <f>D$9/($K$9-$J$9-$I$9-$H$9-$G$9)*-$G$20</f>
        <v>1033584.841952957</v>
      </c>
      <c r="E20" s="1">
        <f>E$9/($K$9-$J$9-$I$9-$H$9-$G$9)*-$G$20</f>
        <v>3363722.7510729246</v>
      </c>
      <c r="G20" s="1">
        <f>-G18</f>
        <v>-44223800.600144461</v>
      </c>
      <c r="K20" s="1">
        <f>SUM(B20:J20)</f>
        <v>0</v>
      </c>
    </row>
    <row r="22" spans="1:11" x14ac:dyDescent="0.25">
      <c r="A22" t="s">
        <v>8</v>
      </c>
      <c r="B22" s="1">
        <f>+B20+B18</f>
        <v>163979491.82313764</v>
      </c>
      <c r="C22" s="1">
        <f t="shared" ref="C22:K22" si="3">+C20+C18</f>
        <v>2278016.2246599537</v>
      </c>
      <c r="D22" s="1">
        <f t="shared" si="3"/>
        <v>4314746.9737885408</v>
      </c>
      <c r="E22" s="1">
        <f t="shared" si="3"/>
        <v>14042013.74841384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184614268.76999998</v>
      </c>
    </row>
    <row r="27" spans="1:11" x14ac:dyDescent="0.25">
      <c r="A27" t="s">
        <v>9</v>
      </c>
      <c r="B27" s="1">
        <f>+B9</f>
        <v>85605451.230000004</v>
      </c>
    </row>
    <row r="28" spans="1:11" x14ac:dyDescent="0.25">
      <c r="A28" t="s">
        <v>10</v>
      </c>
      <c r="B28" s="1">
        <f>+B22-B27</f>
        <v>78374040.593137637</v>
      </c>
    </row>
    <row r="29" spans="1:11" x14ac:dyDescent="0.25">
      <c r="A29" s="29" t="s">
        <v>164</v>
      </c>
      <c r="B29" s="1">
        <v>13256</v>
      </c>
    </row>
    <row r="30" spans="1:11" x14ac:dyDescent="0.25">
      <c r="A30" t="s">
        <v>11</v>
      </c>
      <c r="B30" s="1">
        <f>+B28/B29</f>
        <v>5912.3446434171419</v>
      </c>
    </row>
  </sheetData>
  <phoneticPr fontId="0" type="noConversion"/>
  <pageMargins left="0.52" right="0.55000000000000004" top="1" bottom="1" header="0.5" footer="0.5"/>
  <pageSetup scale="10" orientation="landscape" horizontalDpi="4294967294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4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27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Table'!B27</f>
        <v>11340310.6</v>
      </c>
      <c r="C9" s="1">
        <f>'Master Expend Table'!C27</f>
        <v>3000</v>
      </c>
      <c r="D9" s="1">
        <f>'Master Expend Table'!D27</f>
        <v>1342701.42</v>
      </c>
      <c r="E9" s="1">
        <f>'Master Expend Table'!E27</f>
        <v>268357.37</v>
      </c>
      <c r="G9" s="1">
        <f>'Master Expend Table'!G27</f>
        <v>2934072.14</v>
      </c>
      <c r="H9" s="1">
        <f>'Master Expend Table'!H27</f>
        <v>3435620.07</v>
      </c>
      <c r="I9" s="1">
        <f>'Master Expend Table'!I27</f>
        <v>2807219.33</v>
      </c>
      <c r="J9" s="1">
        <f>'Master Expend Table'!J27</f>
        <v>2503803.98</v>
      </c>
      <c r="K9" s="1">
        <f>SUM(B9:J9)</f>
        <v>24635084.91</v>
      </c>
    </row>
    <row r="11" spans="1:11" x14ac:dyDescent="0.25">
      <c r="A11" t="s">
        <v>3</v>
      </c>
      <c r="B11" s="1">
        <f>(B9/($K9-$J9))*-$J$11</f>
        <v>1282976.5662694601</v>
      </c>
      <c r="C11" s="1">
        <f t="shared" ref="C11:I11" si="0">(C9/($K9-$J9))*-$J$11</f>
        <v>339.40249386188606</v>
      </c>
      <c r="D11" s="1">
        <f t="shared" si="0"/>
        <v>151905.40348663187</v>
      </c>
      <c r="E11" s="1">
        <f t="shared" si="0"/>
        <v>30360.386874738961</v>
      </c>
      <c r="G11" s="1">
        <f t="shared" si="0"/>
        <v>331943.80049556028</v>
      </c>
      <c r="H11" s="1">
        <f t="shared" si="0"/>
        <v>388686.00657331577</v>
      </c>
      <c r="I11" s="1">
        <f t="shared" si="0"/>
        <v>317592.41380643094</v>
      </c>
      <c r="J11" s="1">
        <f>-J9</f>
        <v>-2503803.98</v>
      </c>
      <c r="K11" s="1">
        <v>0</v>
      </c>
    </row>
    <row r="12" spans="1:11" x14ac:dyDescent="0.25">
      <c r="A12" t="s">
        <v>4</v>
      </c>
      <c r="B12" s="1">
        <f>+B9+B11</f>
        <v>12623287.166269459</v>
      </c>
      <c r="C12" s="1">
        <f t="shared" ref="C12:J12" si="1">+C9+C11</f>
        <v>3339.4024938618859</v>
      </c>
      <c r="D12" s="1">
        <f t="shared" si="1"/>
        <v>1494606.8234866317</v>
      </c>
      <c r="E12" s="1">
        <f t="shared" si="1"/>
        <v>298717.75687473896</v>
      </c>
      <c r="G12" s="1">
        <f t="shared" si="1"/>
        <v>3266015.9404955604</v>
      </c>
      <c r="H12" s="1">
        <f t="shared" si="1"/>
        <v>3824306.0765733155</v>
      </c>
      <c r="I12" s="1">
        <f t="shared" si="1"/>
        <v>3124811.7438064311</v>
      </c>
      <c r="J12" s="1">
        <f t="shared" si="1"/>
        <v>0</v>
      </c>
      <c r="K12" s="1">
        <f>SUM(B12:J12)</f>
        <v>24635084.909999996</v>
      </c>
    </row>
    <row r="14" spans="1:11" x14ac:dyDescent="0.25">
      <c r="A14" t="s">
        <v>5</v>
      </c>
      <c r="B14" s="1">
        <f>B$9/($K$9-$J$9-$I$9)*-I14</f>
        <v>1833793.3543584102</v>
      </c>
      <c r="C14" s="1">
        <f t="shared" ref="C14:H14" si="2">C$9/($K$9-$J$9-$I$9)*-$I$14</f>
        <v>485.11722977633713</v>
      </c>
      <c r="D14" s="1">
        <f t="shared" si="2"/>
        <v>217122.53109571803</v>
      </c>
      <c r="E14" s="1">
        <f t="shared" si="2"/>
        <v>43394.92797482117</v>
      </c>
      <c r="G14" s="1">
        <f t="shared" si="2"/>
        <v>474456.3161735764</v>
      </c>
      <c r="H14" s="1">
        <f t="shared" si="2"/>
        <v>555559.49697412841</v>
      </c>
      <c r="I14" s="1">
        <f>-I12</f>
        <v>-3124811.7438064311</v>
      </c>
      <c r="K14" s="1">
        <v>0</v>
      </c>
    </row>
    <row r="15" spans="1:11" x14ac:dyDescent="0.25">
      <c r="A15" t="s">
        <v>4</v>
      </c>
      <c r="B15" s="1">
        <f>+B12+B14</f>
        <v>14457080.520627869</v>
      </c>
      <c r="C15" s="1">
        <f>+C12+C14</f>
        <v>3824.5197236382228</v>
      </c>
      <c r="D15" s="1">
        <f>+D12+D14</f>
        <v>1711729.3545823498</v>
      </c>
      <c r="E15" s="1">
        <f>+E12+E14</f>
        <v>342112.68484956014</v>
      </c>
      <c r="G15" s="1">
        <f>+G12+G14</f>
        <v>3740472.2566691367</v>
      </c>
      <c r="H15" s="1">
        <f>+H12+H14</f>
        <v>4379865.5735474443</v>
      </c>
      <c r="I15" s="1">
        <f>+I12+I14</f>
        <v>0</v>
      </c>
      <c r="J15" s="1">
        <f>+J12+J14</f>
        <v>0</v>
      </c>
      <c r="K15" s="1">
        <f>SUM(B15:J15)</f>
        <v>24635084.91</v>
      </c>
    </row>
    <row r="17" spans="1:11" x14ac:dyDescent="0.25">
      <c r="A17" t="s">
        <v>6</v>
      </c>
      <c r="B17" s="1">
        <f>B$9/($K$9-$J$9-$I$9-$H$9)*-$H$17</f>
        <v>3126111.2612267113</v>
      </c>
      <c r="C17" s="1">
        <f>C$9/($K$9-$J$9-$I$9-$H$9)*-$H$17</f>
        <v>826.99091007967047</v>
      </c>
      <c r="D17" s="1">
        <f>D$9/($K$9-$J$9-$I$9-$H$9)*-$H$17</f>
        <v>370133.95643035532</v>
      </c>
      <c r="E17" s="1">
        <f>E$9/($K$9-$J$9-$I$9-$H$9)*-$H$17</f>
        <v>73976.368547628954</v>
      </c>
      <c r="G17" s="1">
        <f>G$9/($K$9-$J$9-$I$9-$H$9)*-$H$17</f>
        <v>808816.99643266888</v>
      </c>
      <c r="H17" s="1">
        <f>-H15</f>
        <v>-4379865.5735474443</v>
      </c>
      <c r="K17" s="1">
        <v>0</v>
      </c>
    </row>
    <row r="18" spans="1:11" x14ac:dyDescent="0.25">
      <c r="A18" t="s">
        <v>4</v>
      </c>
      <c r="B18" s="1">
        <f>+B15+B17</f>
        <v>17583191.781854581</v>
      </c>
      <c r="C18" s="1">
        <f>+C15+C17</f>
        <v>4651.5106337178931</v>
      </c>
      <c r="D18" s="1">
        <f>+D15+D17</f>
        <v>2081863.3110127051</v>
      </c>
      <c r="E18" s="1">
        <f>+E15+E17</f>
        <v>416089.05339718913</v>
      </c>
      <c r="G18" s="1">
        <f>+G15+G17</f>
        <v>4549289.2531018052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24635084.909999996</v>
      </c>
    </row>
    <row r="20" spans="1:11" x14ac:dyDescent="0.25">
      <c r="A20" t="s">
        <v>7</v>
      </c>
      <c r="B20" s="1">
        <f>B$9/($K$9-$J$9-$I$9-$H$9-$G$9)*-$G$20</f>
        <v>3982467.3503012164</v>
      </c>
      <c r="C20" s="1">
        <f>C$9/($K$9-$J$9-$I$9-$H$9-$G$9)*-$G$20</f>
        <v>1053.5339350320482</v>
      </c>
      <c r="D20" s="1">
        <f>D$9/($K$9-$J$9-$I$9-$H$9-$G$9)*-$G$20</f>
        <v>471527.17019523965</v>
      </c>
      <c r="E20" s="1">
        <f>E$9/($K$9-$J$9-$I$9-$H$9-$G$9)*-$G$20</f>
        <v>94241.198670317113</v>
      </c>
      <c r="G20" s="1">
        <f>-G18</f>
        <v>-4549289.2531018052</v>
      </c>
      <c r="K20" s="1">
        <f>SUM(B20:J20)</f>
        <v>0</v>
      </c>
    </row>
    <row r="22" spans="1:11" x14ac:dyDescent="0.25">
      <c r="A22" t="s">
        <v>8</v>
      </c>
      <c r="B22" s="1">
        <f>+B20+B18</f>
        <v>21565659.132155798</v>
      </c>
      <c r="C22" s="1">
        <f t="shared" ref="C22:K22" si="3">+C20+C18</f>
        <v>5705.0445687499414</v>
      </c>
      <c r="D22" s="1">
        <f t="shared" si="3"/>
        <v>2553390.4812079449</v>
      </c>
      <c r="E22" s="1">
        <f t="shared" si="3"/>
        <v>510330.25206750626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24635084.909999996</v>
      </c>
    </row>
    <row r="27" spans="1:11" x14ac:dyDescent="0.25">
      <c r="A27" t="s">
        <v>9</v>
      </c>
      <c r="B27" s="1">
        <f>+B9</f>
        <v>11340310.6</v>
      </c>
    </row>
    <row r="28" spans="1:11" x14ac:dyDescent="0.25">
      <c r="A28" t="s">
        <v>10</v>
      </c>
      <c r="B28" s="1">
        <f>+B22-B27</f>
        <v>10225348.532155799</v>
      </c>
    </row>
    <row r="29" spans="1:11" x14ac:dyDescent="0.25">
      <c r="A29" s="29" t="s">
        <v>164</v>
      </c>
      <c r="B29" s="1">
        <v>1965</v>
      </c>
    </row>
    <row r="30" spans="1:11" x14ac:dyDescent="0.25">
      <c r="A30" t="s">
        <v>11</v>
      </c>
      <c r="B30" s="1">
        <f>+B28/B29</f>
        <v>5203.739711020763</v>
      </c>
    </row>
  </sheetData>
  <phoneticPr fontId="0" type="noConversion"/>
  <pageMargins left="0.44" right="0.55000000000000004" top="1" bottom="0.53" header="0.5" footer="0.5"/>
  <pageSetup scale="10" orientation="landscape" horizontalDpi="4294967294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1" style="1" customWidth="1"/>
    <col min="8" max="8" width="10.54296875" style="1" customWidth="1"/>
    <col min="9" max="9" width="11" style="1" customWidth="1"/>
    <col min="10" max="10" width="10.26953125" style="1" customWidth="1"/>
    <col min="11" max="11" width="14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28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Table'!B29</f>
        <v>28933722.73</v>
      </c>
      <c r="C9" s="1">
        <f>'Master Expend Table'!C29</f>
        <v>673.71</v>
      </c>
      <c r="D9" s="1">
        <f>'Master Expend Table'!D29</f>
        <v>1124191.51</v>
      </c>
      <c r="E9" s="1">
        <f>'Master Expend Table'!E29</f>
        <v>0</v>
      </c>
      <c r="G9" s="1">
        <f>'Master Expend Table'!G29</f>
        <v>11004895.99</v>
      </c>
      <c r="H9" s="1">
        <f>'Master Expend Table'!H29</f>
        <v>5361779.67</v>
      </c>
      <c r="I9" s="1">
        <f>'Master Expend Table'!I29</f>
        <v>8419809.6999999993</v>
      </c>
      <c r="J9" s="1">
        <f>'Master Expend Table'!J29</f>
        <v>5687952.1500000004</v>
      </c>
      <c r="K9" s="1">
        <f>SUM(B9:J9)</f>
        <v>60533025.460000001</v>
      </c>
    </row>
    <row r="11" spans="1:11" x14ac:dyDescent="0.25">
      <c r="A11" t="s">
        <v>3</v>
      </c>
      <c r="B11" s="1">
        <f>(B9/($K9-$J9))*-$J$11</f>
        <v>3000700.3451228933</v>
      </c>
      <c r="C11" s="1">
        <f t="shared" ref="C11:I11" si="0">(C9/($K9-$J9))*-$J$11</f>
        <v>69.870090633606637</v>
      </c>
      <c r="D11" s="1">
        <f t="shared" si="0"/>
        <v>116589.27831445442</v>
      </c>
      <c r="E11" s="1">
        <f t="shared" si="0"/>
        <v>0</v>
      </c>
      <c r="G11" s="1">
        <f t="shared" si="0"/>
        <v>1141311.6626363187</v>
      </c>
      <c r="H11" s="1">
        <f t="shared" si="0"/>
        <v>556067.19731090439</v>
      </c>
      <c r="I11" s="1">
        <f t="shared" si="0"/>
        <v>873213.79652479582</v>
      </c>
      <c r="J11" s="1">
        <f>-J9</f>
        <v>-5687952.1500000004</v>
      </c>
      <c r="K11" s="1">
        <v>0</v>
      </c>
    </row>
    <row r="12" spans="1:11" x14ac:dyDescent="0.25">
      <c r="A12" t="s">
        <v>4</v>
      </c>
      <c r="B12" s="1">
        <f>+B9+B11</f>
        <v>31934423.075122893</v>
      </c>
      <c r="C12" s="1">
        <f t="shared" ref="C12:J12" si="1">+C9+C11</f>
        <v>743.58009063360669</v>
      </c>
      <c r="D12" s="1">
        <f t="shared" si="1"/>
        <v>1240780.7883144545</v>
      </c>
      <c r="E12" s="1">
        <f t="shared" si="1"/>
        <v>0</v>
      </c>
      <c r="G12" s="1">
        <f t="shared" si="1"/>
        <v>12146207.652636319</v>
      </c>
      <c r="H12" s="1">
        <f t="shared" si="1"/>
        <v>5917846.867310904</v>
      </c>
      <c r="I12" s="1">
        <f t="shared" si="1"/>
        <v>9293023.4965247959</v>
      </c>
      <c r="J12" s="1">
        <f t="shared" si="1"/>
        <v>0</v>
      </c>
      <c r="K12" s="1">
        <f>SUM(B12:J12)</f>
        <v>60533025.460000001</v>
      </c>
    </row>
    <row r="14" spans="1:11" x14ac:dyDescent="0.25">
      <c r="A14" t="s">
        <v>5</v>
      </c>
      <c r="B14" s="1">
        <f>B$9/($K$9-$J$9-$I$9)*-I14</f>
        <v>5791712.1899531102</v>
      </c>
      <c r="C14" s="1">
        <f t="shared" ref="C14:H14" si="2">C$9/($K$9-$J$9-$I$9)*-$I$14</f>
        <v>134.85766957487226</v>
      </c>
      <c r="D14" s="1">
        <f t="shared" si="2"/>
        <v>225031.31494924624</v>
      </c>
      <c r="E14" s="1">
        <f t="shared" si="2"/>
        <v>0</v>
      </c>
      <c r="G14" s="1">
        <f t="shared" si="2"/>
        <v>2202868.6335741738</v>
      </c>
      <c r="H14" s="1">
        <f t="shared" si="2"/>
        <v>1073276.5003786904</v>
      </c>
      <c r="I14" s="1">
        <f>-I12</f>
        <v>-9293023.4965247959</v>
      </c>
      <c r="K14" s="1">
        <v>0</v>
      </c>
    </row>
    <row r="15" spans="1:11" x14ac:dyDescent="0.25">
      <c r="A15" t="s">
        <v>4</v>
      </c>
      <c r="B15" s="1">
        <f>+B12+B14</f>
        <v>37726135.265076004</v>
      </c>
      <c r="C15" s="1">
        <f>+C12+C14</f>
        <v>878.43776020847895</v>
      </c>
      <c r="D15" s="1">
        <f>+D12+D14</f>
        <v>1465812.1032637008</v>
      </c>
      <c r="E15" s="1">
        <f>+E12+E14</f>
        <v>0</v>
      </c>
      <c r="G15" s="1">
        <f>+G12+G14</f>
        <v>14349076.286210492</v>
      </c>
      <c r="H15" s="1">
        <f>+H12+H14</f>
        <v>6991123.3676895946</v>
      </c>
      <c r="I15" s="1">
        <f>+I12+I14</f>
        <v>0</v>
      </c>
      <c r="J15" s="1">
        <f>+J12+J14</f>
        <v>0</v>
      </c>
      <c r="K15" s="1">
        <f>SUM(B15:J15)</f>
        <v>60533025.460000001</v>
      </c>
    </row>
    <row r="17" spans="1:11" x14ac:dyDescent="0.25">
      <c r="A17" t="s">
        <v>6</v>
      </c>
      <c r="B17" s="1">
        <f>B$9/($K$9-$J$9-$I$9-$H$9)*-$H$17</f>
        <v>4926012.254282061</v>
      </c>
      <c r="C17" s="1">
        <f>C$9/($K$9-$J$9-$I$9-$H$9)*-$H$17</f>
        <v>114.70019764830887</v>
      </c>
      <c r="D17" s="1">
        <f>D$9/($K$9-$J$9-$I$9-$H$9)*-$H$17</f>
        <v>191395.39028892372</v>
      </c>
      <c r="E17" s="1">
        <f>E$9/($K$9-$J$9-$I$9-$H$9)*-$H$17</f>
        <v>0</v>
      </c>
      <c r="G17" s="1">
        <f>G$9/($K$9-$J$9-$I$9-$H$9)*-$H$17</f>
        <v>1873601.0229209629</v>
      </c>
      <c r="H17" s="1">
        <f>-H15</f>
        <v>-6991123.3676895946</v>
      </c>
      <c r="K17" s="1">
        <v>0</v>
      </c>
    </row>
    <row r="18" spans="1:11" x14ac:dyDescent="0.25">
      <c r="A18" t="s">
        <v>4</v>
      </c>
      <c r="B18" s="1">
        <f>+B15+B17</f>
        <v>42652147.519358069</v>
      </c>
      <c r="C18" s="1">
        <f>+C15+C17</f>
        <v>993.13795785678781</v>
      </c>
      <c r="D18" s="1">
        <f>+D15+D17</f>
        <v>1657207.4935526245</v>
      </c>
      <c r="E18" s="1">
        <f>+E15+E17</f>
        <v>0</v>
      </c>
      <c r="G18" s="1">
        <f>+G15+G17</f>
        <v>16222677.309131455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60533025.460000008</v>
      </c>
    </row>
    <row r="20" spans="1:11" x14ac:dyDescent="0.25">
      <c r="A20" t="s">
        <v>7</v>
      </c>
      <c r="B20" s="1">
        <f>B$9/($K$9-$J$9-$I$9-$H$9-$G$9)*-$G$20</f>
        <v>15615585.402130378</v>
      </c>
      <c r="C20" s="1">
        <f>C$9/($K$9-$J$9-$I$9-$H$9-$G$9)*-$G$20</f>
        <v>363.60257335158531</v>
      </c>
      <c r="D20" s="1">
        <f>D$9/($K$9-$J$9-$I$9-$H$9-$G$9)*-$G$20</f>
        <v>606728.30442772771</v>
      </c>
      <c r="E20" s="1">
        <f>E$9/($K$9-$J$9-$I$9-$H$9-$G$9)*-$G$20</f>
        <v>0</v>
      </c>
      <c r="G20" s="1">
        <f>-G18</f>
        <v>-16222677.309131455</v>
      </c>
      <c r="K20" s="1">
        <f>SUM(B20:J20)</f>
        <v>0</v>
      </c>
    </row>
    <row r="22" spans="1:11" x14ac:dyDescent="0.25">
      <c r="A22" t="s">
        <v>8</v>
      </c>
      <c r="B22" s="1">
        <f>+B20+B18</f>
        <v>58267732.921488449</v>
      </c>
      <c r="C22" s="1">
        <f t="shared" ref="C22:K22" si="3">+C20+C18</f>
        <v>1356.7405312083731</v>
      </c>
      <c r="D22" s="1">
        <f t="shared" si="3"/>
        <v>2263935.7979803523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60533025.460000008</v>
      </c>
    </row>
    <row r="27" spans="1:11" x14ac:dyDescent="0.25">
      <c r="A27" t="s">
        <v>9</v>
      </c>
      <c r="B27" s="1">
        <f>+B9</f>
        <v>28933722.73</v>
      </c>
    </row>
    <row r="28" spans="1:11" x14ac:dyDescent="0.25">
      <c r="A28" t="s">
        <v>10</v>
      </c>
      <c r="B28" s="1">
        <f>+B22-B27</f>
        <v>29334010.191488449</v>
      </c>
    </row>
    <row r="29" spans="1:11" x14ac:dyDescent="0.25">
      <c r="A29" s="29" t="s">
        <v>164</v>
      </c>
      <c r="B29" s="1">
        <v>6809</v>
      </c>
    </row>
    <row r="30" spans="1:11" x14ac:dyDescent="0.25">
      <c r="A30" t="s">
        <v>11</v>
      </c>
      <c r="B30" s="1">
        <f>+B28/B29</f>
        <v>4308.1231005270156</v>
      </c>
    </row>
  </sheetData>
  <phoneticPr fontId="0" type="noConversion"/>
  <pageMargins left="0.54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0"/>
  <sheetViews>
    <sheetView zoomScale="75" workbookViewId="0">
      <selection activeCell="A28" sqref="A28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6.81640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29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Table'!B30</f>
        <v>18767149.09</v>
      </c>
      <c r="C9" s="1">
        <f>'Master Expend Table'!C30</f>
        <v>3104.45</v>
      </c>
      <c r="D9" s="1">
        <f>'Master Expend Table'!D30</f>
        <v>0</v>
      </c>
      <c r="E9" s="1">
        <f>'Master Expend Table'!E30</f>
        <v>0</v>
      </c>
      <c r="G9" s="1">
        <f>'Master Expend Table'!G30</f>
        <v>6388289</v>
      </c>
      <c r="H9" s="1">
        <f>'Master Expend Table'!H30</f>
        <v>4394521.8099999996</v>
      </c>
      <c r="I9" s="1">
        <f>'Master Expend Table'!I30</f>
        <v>5590704.3700000001</v>
      </c>
      <c r="J9" s="1">
        <f>'Master Expend Table'!J30</f>
        <v>4605027.87</v>
      </c>
      <c r="K9" s="1">
        <f>SUM(B9:J9)</f>
        <v>39748796.589999996</v>
      </c>
    </row>
    <row r="11" spans="1:11" x14ac:dyDescent="0.25">
      <c r="A11" t="s">
        <v>3</v>
      </c>
      <c r="B11" s="1">
        <f>(B9/($K9-$J9))*-$J$11</f>
        <v>2459134.2291275798</v>
      </c>
      <c r="C11" s="1">
        <f t="shared" ref="C11:I11" si="0">(C9/($K9-$J9))*-$J$11</f>
        <v>406.7884376579604</v>
      </c>
      <c r="D11" s="1">
        <f t="shared" si="0"/>
        <v>0</v>
      </c>
      <c r="E11" s="1">
        <f t="shared" si="0"/>
        <v>0</v>
      </c>
      <c r="G11" s="1">
        <f t="shared" si="0"/>
        <v>837082.92986439937</v>
      </c>
      <c r="H11" s="1">
        <f t="shared" si="0"/>
        <v>575831.68076268979</v>
      </c>
      <c r="I11" s="1">
        <f t="shared" si="0"/>
        <v>732572.24180767348</v>
      </c>
      <c r="J11" s="1">
        <f>-J9</f>
        <v>-4605027.87</v>
      </c>
      <c r="K11" s="1">
        <v>0</v>
      </c>
    </row>
    <row r="12" spans="1:11" x14ac:dyDescent="0.25">
      <c r="A12" t="s">
        <v>4</v>
      </c>
      <c r="B12" s="1">
        <f>+B9+B11</f>
        <v>21226283.319127578</v>
      </c>
      <c r="C12" s="1">
        <f t="shared" ref="C12:J12" si="1">+C9+C11</f>
        <v>3511.2384376579603</v>
      </c>
      <c r="D12" s="1">
        <f t="shared" si="1"/>
        <v>0</v>
      </c>
      <c r="E12" s="1">
        <f t="shared" si="1"/>
        <v>0</v>
      </c>
      <c r="G12" s="1">
        <f t="shared" si="1"/>
        <v>7225371.9298643991</v>
      </c>
      <c r="H12" s="1">
        <f t="shared" si="1"/>
        <v>4970353.4907626892</v>
      </c>
      <c r="I12" s="1">
        <f t="shared" si="1"/>
        <v>6323276.6118076732</v>
      </c>
      <c r="J12" s="1">
        <f t="shared" si="1"/>
        <v>0</v>
      </c>
      <c r="K12" s="1">
        <f>SUM(B12:J12)</f>
        <v>39748796.589999996</v>
      </c>
    </row>
    <row r="14" spans="1:11" x14ac:dyDescent="0.25">
      <c r="A14" t="s">
        <v>5</v>
      </c>
      <c r="B14" s="1">
        <f>B$9/($K$9-$J$9-$I$9)*-I14</f>
        <v>4015484.6044283281</v>
      </c>
      <c r="C14" s="1">
        <f t="shared" ref="C14:H14" si="2">C$9/($K$9-$J$9-$I$9)*-$I$14</f>
        <v>664.23893796740344</v>
      </c>
      <c r="D14" s="1">
        <f t="shared" si="2"/>
        <v>0</v>
      </c>
      <c r="E14" s="1">
        <f t="shared" si="2"/>
        <v>0</v>
      </c>
      <c r="G14" s="1">
        <f t="shared" si="2"/>
        <v>1366860.5713697583</v>
      </c>
      <c r="H14" s="1">
        <f t="shared" si="2"/>
        <v>940267.19707162026</v>
      </c>
      <c r="I14" s="1">
        <f>-I12</f>
        <v>-6323276.6118076732</v>
      </c>
      <c r="K14" s="1">
        <v>0</v>
      </c>
    </row>
    <row r="15" spans="1:11" x14ac:dyDescent="0.25">
      <c r="A15" t="s">
        <v>4</v>
      </c>
      <c r="B15" s="1">
        <f>+B12+B14</f>
        <v>25241767.923555907</v>
      </c>
      <c r="C15" s="1">
        <f>+C12+C14</f>
        <v>4175.4773756253635</v>
      </c>
      <c r="D15" s="1">
        <f>+D12+D14</f>
        <v>0</v>
      </c>
      <c r="E15" s="1">
        <f>+E12+E14</f>
        <v>0</v>
      </c>
      <c r="G15" s="1">
        <f>+G12+G14</f>
        <v>8592232.501234157</v>
      </c>
      <c r="H15" s="1">
        <f>+H12+H14</f>
        <v>5910620.6878343094</v>
      </c>
      <c r="I15" s="1">
        <f>+I12+I14</f>
        <v>0</v>
      </c>
      <c r="J15" s="1">
        <f>+J12+J14</f>
        <v>0</v>
      </c>
      <c r="K15" s="1">
        <f>SUM(B15:J15)</f>
        <v>39748796.589999996</v>
      </c>
    </row>
    <row r="17" spans="1:11" x14ac:dyDescent="0.25">
      <c r="A17" t="s">
        <v>6</v>
      </c>
      <c r="B17" s="1">
        <f>B$9/($K$9-$J$9-$I$9-$H$9)*-$H$17</f>
        <v>4409059.0496910727</v>
      </c>
      <c r="C17" s="1">
        <f>C$9/($K$9-$J$9-$I$9-$H$9)*-$H$17</f>
        <v>729.34377518783015</v>
      </c>
      <c r="D17" s="1">
        <f>D$9/($K$9-$J$9-$I$9-$H$9)*-$H$17</f>
        <v>0</v>
      </c>
      <c r="E17" s="1">
        <f>E$9/($K$9-$J$9-$I$9-$H$9)*-$H$17</f>
        <v>0</v>
      </c>
      <c r="G17" s="1">
        <f>G$9/($K$9-$J$9-$I$9-$H$9)*-$H$17</f>
        <v>1500832.2943680487</v>
      </c>
      <c r="H17" s="1">
        <f>-H15</f>
        <v>-5910620.6878343094</v>
      </c>
      <c r="K17" s="1">
        <v>0</v>
      </c>
    </row>
    <row r="18" spans="1:11" x14ac:dyDescent="0.25">
      <c r="A18" t="s">
        <v>4</v>
      </c>
      <c r="B18" s="1">
        <f>+B15+B17</f>
        <v>29650826.97324698</v>
      </c>
      <c r="C18" s="1">
        <f>+C15+C17</f>
        <v>4904.8211508131935</v>
      </c>
      <c r="D18" s="1">
        <f>+D15+D17</f>
        <v>0</v>
      </c>
      <c r="E18" s="1">
        <f>+E15+E17</f>
        <v>0</v>
      </c>
      <c r="G18" s="1">
        <f>+G15+G17</f>
        <v>10093064.795602206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39748796.590000004</v>
      </c>
    </row>
    <row r="20" spans="1:11" x14ac:dyDescent="0.25">
      <c r="A20" t="s">
        <v>7</v>
      </c>
      <c r="B20" s="1">
        <f>B$9/($K$9-$J$9-$I$9-$H$9-$G$9)*-$G$20</f>
        <v>10091395.483307734</v>
      </c>
      <c r="C20" s="1">
        <f>C$9/($K$9-$J$9-$I$9-$H$9-$G$9)*-$G$20</f>
        <v>1669.3122944735285</v>
      </c>
      <c r="D20" s="1">
        <f>D$9/($K$9-$J$9-$I$9-$H$9-$G$9)*-$G$20</f>
        <v>0</v>
      </c>
      <c r="E20" s="1">
        <f>E$9/($K$9-$J$9-$I$9-$H$9-$G$9)*-$G$20</f>
        <v>0</v>
      </c>
      <c r="G20" s="1">
        <f>-G18</f>
        <v>-10093064.795602206</v>
      </c>
      <c r="K20" s="1">
        <f>SUM(B20:J20)</f>
        <v>0</v>
      </c>
    </row>
    <row r="22" spans="1:11" x14ac:dyDescent="0.25">
      <c r="A22" t="s">
        <v>8</v>
      </c>
      <c r="B22" s="1">
        <f>+B20+B18</f>
        <v>39742222.456554711</v>
      </c>
      <c r="C22" s="1">
        <f t="shared" ref="C22:K22" si="3">+C20+C18</f>
        <v>6574.1334452867222</v>
      </c>
      <c r="D22" s="1">
        <f t="shared" si="3"/>
        <v>0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39748796.590000004</v>
      </c>
    </row>
    <row r="27" spans="1:11" x14ac:dyDescent="0.25">
      <c r="A27" t="s">
        <v>9</v>
      </c>
      <c r="B27" s="1">
        <f>+B9</f>
        <v>18767149.09</v>
      </c>
    </row>
    <row r="28" spans="1:11" x14ac:dyDescent="0.25">
      <c r="A28" t="s">
        <v>10</v>
      </c>
      <c r="B28" s="1">
        <f>+B22-B27</f>
        <v>20975073.366554711</v>
      </c>
    </row>
    <row r="29" spans="1:11" x14ac:dyDescent="0.25">
      <c r="A29" s="29" t="s">
        <v>164</v>
      </c>
      <c r="B29" s="1">
        <v>4041</v>
      </c>
    </row>
    <row r="30" spans="1:11" x14ac:dyDescent="0.25">
      <c r="A30" t="s">
        <v>11</v>
      </c>
      <c r="B30" s="1">
        <f>+B28/B29</f>
        <v>5190.5650498774339</v>
      </c>
    </row>
  </sheetData>
  <phoneticPr fontId="0" type="noConversion"/>
  <pageMargins left="0.56000000000000005" right="0.55000000000000004" top="1" bottom="0.46" header="0.5" footer="0.5"/>
  <pageSetup scale="10" orientation="landscape" horizontalDpi="4294967294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4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34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Table'!B31</f>
        <v>17972537.289999999</v>
      </c>
      <c r="C9" s="1">
        <f>'Master Expend Table'!C31</f>
        <v>0</v>
      </c>
      <c r="D9" s="1">
        <f>'Master Expend Table'!D31</f>
        <v>1104826.32</v>
      </c>
      <c r="E9" s="1">
        <f>'Master Expend Table'!E31</f>
        <v>621772.15999999992</v>
      </c>
      <c r="G9" s="1">
        <f>'Master Expend Table'!G31</f>
        <v>3196076.35</v>
      </c>
      <c r="H9" s="1">
        <f>'Master Expend Table'!H31</f>
        <v>5028340.74</v>
      </c>
      <c r="I9" s="1">
        <f>'Master Expend Table'!I31</f>
        <v>6788364.6899999995</v>
      </c>
      <c r="J9" s="1">
        <f>'Master Expend Table'!J31</f>
        <v>4941842.25</v>
      </c>
      <c r="K9" s="1">
        <f>SUM(B9:J9)</f>
        <v>39653759.799999997</v>
      </c>
    </row>
    <row r="11" spans="1:11" x14ac:dyDescent="0.25">
      <c r="A11" t="s">
        <v>3</v>
      </c>
      <c r="B11" s="1">
        <f>(B9/($K9-$J9))*-$J$11</f>
        <v>2558701.7482248689</v>
      </c>
      <c r="C11" s="1">
        <f t="shared" ref="C11:I11" si="0">(C9/($K9-$J9))*-$J$11</f>
        <v>0</v>
      </c>
      <c r="D11" s="1">
        <f t="shared" si="0"/>
        <v>157291.14875960004</v>
      </c>
      <c r="E11" s="1">
        <f t="shared" si="0"/>
        <v>88520.028481162371</v>
      </c>
      <c r="G11" s="1">
        <f t="shared" si="0"/>
        <v>455016.78545718343</v>
      </c>
      <c r="H11" s="1">
        <f t="shared" si="0"/>
        <v>715871.33383036824</v>
      </c>
      <c r="I11" s="1">
        <f t="shared" si="0"/>
        <v>966441.20524681744</v>
      </c>
      <c r="J11" s="1">
        <f>-J9</f>
        <v>-4941842.25</v>
      </c>
      <c r="K11" s="1">
        <v>0</v>
      </c>
    </row>
    <row r="12" spans="1:11" x14ac:dyDescent="0.25">
      <c r="A12" t="s">
        <v>4</v>
      </c>
      <c r="B12" s="1">
        <f>+B9+B11</f>
        <v>20531239.038224868</v>
      </c>
      <c r="C12" s="1">
        <f t="shared" ref="C12:J12" si="1">+C9+C11</f>
        <v>0</v>
      </c>
      <c r="D12" s="1">
        <f t="shared" si="1"/>
        <v>1262117.4687596001</v>
      </c>
      <c r="E12" s="1">
        <f t="shared" si="1"/>
        <v>710292.1884811623</v>
      </c>
      <c r="G12" s="1">
        <f t="shared" si="1"/>
        <v>3651093.1354571837</v>
      </c>
      <c r="H12" s="1">
        <f t="shared" si="1"/>
        <v>5744212.073830368</v>
      </c>
      <c r="I12" s="1">
        <f t="shared" si="1"/>
        <v>7754805.8952468168</v>
      </c>
      <c r="J12" s="1">
        <f t="shared" si="1"/>
        <v>0</v>
      </c>
      <c r="K12" s="1">
        <f>SUM(B12:J12)</f>
        <v>39653759.800000004</v>
      </c>
    </row>
    <row r="14" spans="1:11" x14ac:dyDescent="0.25">
      <c r="A14" t="s">
        <v>5</v>
      </c>
      <c r="B14" s="1">
        <f>B$9/($K$9-$J$9-$I$9)*-I14</f>
        <v>4991253.7572783371</v>
      </c>
      <c r="C14" s="1">
        <f t="shared" ref="C14:H14" si="2">C$9/($K$9-$J$9-$I$9)*-$I$14</f>
        <v>0</v>
      </c>
      <c r="D14" s="1">
        <f t="shared" si="2"/>
        <v>306827.49084673054</v>
      </c>
      <c r="E14" s="1">
        <f t="shared" si="2"/>
        <v>172675.82087576611</v>
      </c>
      <c r="G14" s="1">
        <f t="shared" si="2"/>
        <v>887600.22211009322</v>
      </c>
      <c r="H14" s="1">
        <f t="shared" si="2"/>
        <v>1396448.6041358903</v>
      </c>
      <c r="I14" s="1">
        <f>-I12</f>
        <v>-7754805.8952468168</v>
      </c>
      <c r="K14" s="1">
        <v>0</v>
      </c>
    </row>
    <row r="15" spans="1:11" x14ac:dyDescent="0.25">
      <c r="A15" t="s">
        <v>4</v>
      </c>
      <c r="B15" s="1">
        <f>+B12+B14</f>
        <v>25522492.795503207</v>
      </c>
      <c r="C15" s="1">
        <f>+C12+C14</f>
        <v>0</v>
      </c>
      <c r="D15" s="1">
        <f>+D12+D14</f>
        <v>1568944.9596063306</v>
      </c>
      <c r="E15" s="1">
        <f>+E12+E14</f>
        <v>882968.00935692841</v>
      </c>
      <c r="G15" s="1">
        <f>+G12+G14</f>
        <v>4538693.3575672768</v>
      </c>
      <c r="H15" s="1">
        <f>+H12+H14</f>
        <v>7140660.6779662585</v>
      </c>
      <c r="I15" s="1">
        <f>+I12+I14</f>
        <v>0</v>
      </c>
      <c r="J15" s="1">
        <f>+J12+J14</f>
        <v>0</v>
      </c>
      <c r="K15" s="1">
        <f>SUM(B15:J15)</f>
        <v>39653759.799999997</v>
      </c>
    </row>
    <row r="17" spans="1:11" x14ac:dyDescent="0.25">
      <c r="A17" t="s">
        <v>6</v>
      </c>
      <c r="B17" s="1">
        <f>B$9/($K$9-$J$9-$I$9-$H$9)*-$H$17</f>
        <v>5605354.9378508786</v>
      </c>
      <c r="C17" s="1">
        <f>C$9/($K$9-$J$9-$I$9-$H$9)*-$H$17</f>
        <v>0</v>
      </c>
      <c r="D17" s="1">
        <f>D$9/($K$9-$J$9-$I$9-$H$9)*-$H$17</f>
        <v>344578.1510062798</v>
      </c>
      <c r="E17" s="1">
        <f>E$9/($K$9-$J$9-$I$9-$H$9)*-$H$17</f>
        <v>193921.06918667609</v>
      </c>
      <c r="G17" s="1">
        <f>G$9/($K$9-$J$9-$I$9-$H$9)*-$H$17</f>
        <v>996806.51992242516</v>
      </c>
      <c r="H17" s="1">
        <f>-H15</f>
        <v>-7140660.6779662585</v>
      </c>
      <c r="K17" s="1">
        <v>0</v>
      </c>
    </row>
    <row r="18" spans="1:11" x14ac:dyDescent="0.25">
      <c r="A18" t="s">
        <v>4</v>
      </c>
      <c r="B18" s="1">
        <f>+B15+B17</f>
        <v>31127847.733354084</v>
      </c>
      <c r="C18" s="1">
        <f>+C15+C17</f>
        <v>0</v>
      </c>
      <c r="D18" s="1">
        <f>+D15+D17</f>
        <v>1913523.1106126104</v>
      </c>
      <c r="E18" s="1">
        <f>+E15+E17</f>
        <v>1076889.0785436046</v>
      </c>
      <c r="G18" s="1">
        <f>+G15+G17</f>
        <v>5535499.8774897018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39653759.799999997</v>
      </c>
    </row>
    <row r="20" spans="1:11" x14ac:dyDescent="0.25">
      <c r="A20" t="s">
        <v>7</v>
      </c>
      <c r="B20" s="1">
        <f>B$9/($K$9-$J$9-$I$9-$H$9-$G$9)*-$G$20</f>
        <v>5050321.9597320491</v>
      </c>
      <c r="C20" s="1">
        <f>C$9/($K$9-$J$9-$I$9-$H$9-$G$9)*-$G$20</f>
        <v>0</v>
      </c>
      <c r="D20" s="1">
        <f>D$9/($K$9-$J$9-$I$9-$H$9-$G$9)*-$G$20</f>
        <v>310458.59221505327</v>
      </c>
      <c r="E20" s="1">
        <f>E$9/($K$9-$J$9-$I$9-$H$9-$G$9)*-$G$20</f>
        <v>174719.32554260007</v>
      </c>
      <c r="G20" s="1">
        <f>-G18</f>
        <v>-5535499.8774897018</v>
      </c>
      <c r="K20" s="1">
        <f>SUM(B20:J20)</f>
        <v>0</v>
      </c>
    </row>
    <row r="22" spans="1:11" x14ac:dyDescent="0.25">
      <c r="A22" t="s">
        <v>8</v>
      </c>
      <c r="B22" s="1">
        <f>+B20+B18</f>
        <v>36178169.693086132</v>
      </c>
      <c r="C22" s="1">
        <f t="shared" ref="C22:K22" si="3">+C20+C18</f>
        <v>0</v>
      </c>
      <c r="D22" s="1">
        <f t="shared" si="3"/>
        <v>2223981.7028276636</v>
      </c>
      <c r="E22" s="1">
        <f t="shared" si="3"/>
        <v>1251608.4040862047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39653759.799999997</v>
      </c>
    </row>
    <row r="27" spans="1:11" x14ac:dyDescent="0.25">
      <c r="A27" t="s">
        <v>9</v>
      </c>
      <c r="B27" s="1">
        <f>+B9</f>
        <v>17972537.289999999</v>
      </c>
    </row>
    <row r="28" spans="1:11" x14ac:dyDescent="0.25">
      <c r="A28" t="s">
        <v>10</v>
      </c>
      <c r="B28" s="1">
        <f>+B22-B27</f>
        <v>18205632.403086133</v>
      </c>
    </row>
    <row r="29" spans="1:11" x14ac:dyDescent="0.25">
      <c r="A29" s="29" t="s">
        <v>164</v>
      </c>
      <c r="B29" s="1">
        <f>HIBBING!B29+'ITASCA CC'!B29+'MESABI RANGE'!B29+'RAINY RIVER'!B29+VERMILION!B29</f>
        <v>3300</v>
      </c>
    </row>
    <row r="30" spans="1:11" x14ac:dyDescent="0.25">
      <c r="A30" t="s">
        <v>11</v>
      </c>
      <c r="B30" s="1">
        <f>+B28/B29</f>
        <v>5516.858303965495</v>
      </c>
    </row>
  </sheetData>
  <phoneticPr fontId="0" type="noConversion"/>
  <pageMargins left="0.56000000000000005" right="0.59" top="0.82" bottom="1" header="0.5" footer="0.5"/>
  <pageSetup scale="1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1.4531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104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Table'!B32</f>
        <v>6185911.3799999999</v>
      </c>
      <c r="C9" s="1">
        <f>'Master Expend Table'!C32</f>
        <v>0</v>
      </c>
      <c r="D9" s="1">
        <f>'Master Expend Table'!D32</f>
        <v>657875.68000000005</v>
      </c>
      <c r="E9" s="1">
        <f>'Master Expend Table'!E32</f>
        <v>9648.98</v>
      </c>
      <c r="G9" s="1">
        <f>'Master Expend Table'!G32</f>
        <v>989918.5</v>
      </c>
      <c r="H9" s="1">
        <f>'Master Expend Table'!H32</f>
        <v>1113145.32</v>
      </c>
      <c r="I9" s="1">
        <f>'Master Expend Table'!I32</f>
        <v>1954448.97</v>
      </c>
      <c r="J9" s="1">
        <f>'Master Expend Table'!J32</f>
        <v>1745158.94</v>
      </c>
      <c r="K9" s="1">
        <f>SUM(B9:J9)</f>
        <v>12656107.77</v>
      </c>
    </row>
    <row r="11" spans="1:11" x14ac:dyDescent="0.25">
      <c r="A11" t="s">
        <v>3</v>
      </c>
      <c r="B11" s="1">
        <f>(B9/($K9-$J9))*-$J$11</f>
        <v>989409.69434046338</v>
      </c>
      <c r="C11" s="1">
        <f t="shared" ref="C11:I11" si="0">(C9/($K9-$J9))*-$J$11</f>
        <v>0</v>
      </c>
      <c r="D11" s="1">
        <f t="shared" si="0"/>
        <v>105224.36153342122</v>
      </c>
      <c r="E11" s="1">
        <f t="shared" si="0"/>
        <v>1543.3124993292813</v>
      </c>
      <c r="G11" s="1">
        <f t="shared" si="0"/>
        <v>158333.17038353207</v>
      </c>
      <c r="H11" s="1">
        <f t="shared" si="0"/>
        <v>178042.76575616209</v>
      </c>
      <c r="I11" s="1">
        <f t="shared" si="0"/>
        <v>312605.63548709184</v>
      </c>
      <c r="J11" s="1">
        <f>-J9</f>
        <v>-1745158.94</v>
      </c>
      <c r="K11" s="1">
        <v>0</v>
      </c>
    </row>
    <row r="12" spans="1:11" x14ac:dyDescent="0.25">
      <c r="A12" t="s">
        <v>4</v>
      </c>
      <c r="B12" s="1">
        <f>+B9+B11</f>
        <v>7175321.0743404636</v>
      </c>
      <c r="C12" s="1">
        <f t="shared" ref="C12:J12" si="1">+C9+C11</f>
        <v>0</v>
      </c>
      <c r="D12" s="1">
        <f t="shared" si="1"/>
        <v>763100.04153342126</v>
      </c>
      <c r="E12" s="1">
        <f t="shared" si="1"/>
        <v>11192.29249932928</v>
      </c>
      <c r="G12" s="1">
        <f t="shared" si="1"/>
        <v>1148251.6703835321</v>
      </c>
      <c r="H12" s="1">
        <f t="shared" si="1"/>
        <v>1291188.0857561622</v>
      </c>
      <c r="I12" s="1">
        <f t="shared" si="1"/>
        <v>2267054.6054870919</v>
      </c>
      <c r="J12" s="1">
        <f t="shared" si="1"/>
        <v>0</v>
      </c>
      <c r="K12" s="1">
        <f>SUM(B12:J12)</f>
        <v>12656107.77</v>
      </c>
    </row>
    <row r="14" spans="1:11" x14ac:dyDescent="0.25">
      <c r="A14" t="s">
        <v>5</v>
      </c>
      <c r="B14" s="1">
        <f>B$9/($K$9-$J$9-$I$9)*-I14</f>
        <v>1565767.7778564733</v>
      </c>
      <c r="C14" s="1">
        <f t="shared" ref="C14:H14" si="2">C$9/($K$9-$J$9-$I$9)*-$I$14</f>
        <v>0</v>
      </c>
      <c r="D14" s="1">
        <f t="shared" si="2"/>
        <v>166520.41684751981</v>
      </c>
      <c r="E14" s="1">
        <f t="shared" si="2"/>
        <v>2442.334046690069</v>
      </c>
      <c r="G14" s="1">
        <f t="shared" si="2"/>
        <v>250566.5527339018</v>
      </c>
      <c r="H14" s="1">
        <f t="shared" si="2"/>
        <v>281757.52400250727</v>
      </c>
      <c r="I14" s="1">
        <f>-I12</f>
        <v>-2267054.6054870919</v>
      </c>
      <c r="K14" s="1">
        <v>0</v>
      </c>
    </row>
    <row r="15" spans="1:11" x14ac:dyDescent="0.25">
      <c r="A15" t="s">
        <v>4</v>
      </c>
      <c r="B15" s="1">
        <f>+B12+B14</f>
        <v>8741088.8521969374</v>
      </c>
      <c r="C15" s="1">
        <f>+C12+C14</f>
        <v>0</v>
      </c>
      <c r="D15" s="1">
        <f>+D12+D14</f>
        <v>929620.45838094107</v>
      </c>
      <c r="E15" s="1">
        <f>+E12+E14</f>
        <v>13634.62654601935</v>
      </c>
      <c r="G15" s="1">
        <f>+G12+G14</f>
        <v>1398818.223117434</v>
      </c>
      <c r="H15" s="1">
        <f>+H12+H14</f>
        <v>1572945.6097586695</v>
      </c>
      <c r="I15" s="1">
        <f>+I12+I14</f>
        <v>0</v>
      </c>
      <c r="J15" s="1">
        <f>+J12+J14</f>
        <v>0</v>
      </c>
      <c r="K15" s="1">
        <f>SUM(B15:J15)</f>
        <v>12656107.770000001</v>
      </c>
    </row>
    <row r="17" spans="1:11" x14ac:dyDescent="0.25">
      <c r="A17" t="s">
        <v>6</v>
      </c>
      <c r="B17" s="1">
        <f>B$9/($K$9-$J$9-$I$9-$H$9)*-$H$17</f>
        <v>1240553.6556973229</v>
      </c>
      <c r="C17" s="1">
        <f>C$9/($K$9-$J$9-$I$9-$H$9)*-$H$17</f>
        <v>0</v>
      </c>
      <c r="D17" s="1">
        <f>D$9/($K$9-$J$9-$I$9-$H$9)*-$H$17</f>
        <v>131933.68441342952</v>
      </c>
      <c r="E17" s="1">
        <f>E$9/($K$9-$J$9-$I$9-$H$9)*-$H$17</f>
        <v>1935.0547845627807</v>
      </c>
      <c r="G17" s="1">
        <f>G$9/($K$9-$J$9-$I$9-$H$9)*-$H$17</f>
        <v>198523.21486335457</v>
      </c>
      <c r="H17" s="1">
        <f>-H15</f>
        <v>-1572945.6097586695</v>
      </c>
      <c r="K17" s="1">
        <v>0</v>
      </c>
    </row>
    <row r="18" spans="1:11" x14ac:dyDescent="0.25">
      <c r="A18" t="s">
        <v>4</v>
      </c>
      <c r="B18" s="1">
        <f>+B15+B17</f>
        <v>9981642.5078942608</v>
      </c>
      <c r="C18" s="1">
        <f>+C15+C17</f>
        <v>0</v>
      </c>
      <c r="D18" s="1">
        <f>+D15+D17</f>
        <v>1061554.1427943707</v>
      </c>
      <c r="E18" s="1">
        <f>+E15+E17</f>
        <v>15569.681330582131</v>
      </c>
      <c r="G18" s="1">
        <f>+G15+G17</f>
        <v>1597341.4379807885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12656107.770000001</v>
      </c>
    </row>
    <row r="20" spans="1:11" x14ac:dyDescent="0.25">
      <c r="A20" t="s">
        <v>7</v>
      </c>
      <c r="B20" s="1">
        <f>B$9/($K$9-$J$9-$I$9-$H$9-$G$9)*-$G$20</f>
        <v>1441760.3843211653</v>
      </c>
      <c r="C20" s="1">
        <f>C$9/($K$9-$J$9-$I$9-$H$9-$G$9)*-$G$20</f>
        <v>0</v>
      </c>
      <c r="D20" s="1">
        <f>D$9/($K$9-$J$9-$I$9-$H$9-$G$9)*-$G$20</f>
        <v>153332.15026309478</v>
      </c>
      <c r="E20" s="1">
        <f>E$9/($K$9-$J$9-$I$9-$H$9-$G$9)*-$G$20</f>
        <v>2248.9033965286512</v>
      </c>
      <c r="G20" s="1">
        <f>-G18</f>
        <v>-1597341.4379807885</v>
      </c>
      <c r="K20" s="1">
        <f>SUM(B20:J20)</f>
        <v>0</v>
      </c>
    </row>
    <row r="22" spans="1:11" x14ac:dyDescent="0.25">
      <c r="A22" t="s">
        <v>8</v>
      </c>
      <c r="B22" s="1">
        <f>+B20+B18</f>
        <v>11423402.892215427</v>
      </c>
      <c r="C22" s="1">
        <f t="shared" ref="C22:K22" si="3">+C20+C18</f>
        <v>0</v>
      </c>
      <c r="D22" s="1">
        <f t="shared" si="3"/>
        <v>1214886.2930574655</v>
      </c>
      <c r="E22" s="1">
        <f t="shared" si="3"/>
        <v>17818.584727110781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12656107.770000001</v>
      </c>
    </row>
    <row r="27" spans="1:11" x14ac:dyDescent="0.25">
      <c r="A27" t="s">
        <v>9</v>
      </c>
      <c r="B27" s="1">
        <f>+B9</f>
        <v>6185911.3799999999</v>
      </c>
    </row>
    <row r="28" spans="1:11" x14ac:dyDescent="0.25">
      <c r="A28" t="s">
        <v>10</v>
      </c>
      <c r="B28" s="1">
        <f>+B22-B27</f>
        <v>5237491.5122154271</v>
      </c>
    </row>
    <row r="29" spans="1:11" x14ac:dyDescent="0.25">
      <c r="A29" s="29" t="s">
        <v>164</v>
      </c>
      <c r="B29" s="1">
        <v>840</v>
      </c>
    </row>
    <row r="30" spans="1:11" x14ac:dyDescent="0.25">
      <c r="A30" t="s">
        <v>11</v>
      </c>
      <c r="B30" s="1">
        <f>+B28/B29</f>
        <v>6235.1089431136033</v>
      </c>
    </row>
  </sheetData>
  <phoneticPr fontId="0" type="noConversion"/>
  <pageMargins left="0.46" right="0.55000000000000004" top="1" bottom="0.51" header="0.5" footer="0.5"/>
  <pageSetup orientation="landscape" horizontalDpi="4294967294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1.4531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105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Table'!B33</f>
        <v>4060032.26</v>
      </c>
      <c r="C9" s="1">
        <f>'Master Expend Table'!C33</f>
        <v>0</v>
      </c>
      <c r="D9" s="1">
        <f>'Master Expend Table'!D33</f>
        <v>253700.78</v>
      </c>
      <c r="E9" s="1">
        <f>'Master Expend Table'!E33</f>
        <v>222292.6</v>
      </c>
      <c r="G9" s="1">
        <f>'Master Expend Table'!G33</f>
        <v>836265.87</v>
      </c>
      <c r="H9" s="1">
        <f>'Master Expend Table'!H33</f>
        <v>1351034.67</v>
      </c>
      <c r="I9" s="1">
        <f>'Master Expend Table'!I33</f>
        <v>1424787.84</v>
      </c>
      <c r="J9" s="1">
        <f>'Master Expend Table'!J33</f>
        <v>1070903.25</v>
      </c>
      <c r="K9" s="1">
        <f>SUM(B9:J9)</f>
        <v>9219017.2699999996</v>
      </c>
    </row>
    <row r="11" spans="1:11" x14ac:dyDescent="0.25">
      <c r="A11" t="s">
        <v>3</v>
      </c>
      <c r="B11" s="1">
        <f>(B9/($K9-$J9))*-$J$11</f>
        <v>533608.35791775596</v>
      </c>
      <c r="C11" s="1">
        <f t="shared" ref="C11:I11" si="0">(C9/($K9-$J9))*-$J$11</f>
        <v>0</v>
      </c>
      <c r="D11" s="1">
        <f t="shared" si="0"/>
        <v>33343.788410748704</v>
      </c>
      <c r="E11" s="1">
        <f t="shared" si="0"/>
        <v>29215.824325314243</v>
      </c>
      <c r="G11" s="1">
        <f t="shared" si="0"/>
        <v>109910.07684095683</v>
      </c>
      <c r="H11" s="1">
        <f t="shared" si="0"/>
        <v>177565.92696351069</v>
      </c>
      <c r="I11" s="1">
        <f t="shared" si="0"/>
        <v>187259.27554171367</v>
      </c>
      <c r="J11" s="1">
        <f>-J9</f>
        <v>-1070903.25</v>
      </c>
      <c r="K11" s="1">
        <v>0</v>
      </c>
    </row>
    <row r="12" spans="1:11" x14ac:dyDescent="0.25">
      <c r="A12" t="s">
        <v>4</v>
      </c>
      <c r="B12" s="1">
        <f>+B9+B11</f>
        <v>4593640.6179177556</v>
      </c>
      <c r="C12" s="1">
        <f t="shared" ref="C12:J12" si="1">+C9+C11</f>
        <v>0</v>
      </c>
      <c r="D12" s="1">
        <f t="shared" si="1"/>
        <v>287044.56841074873</v>
      </c>
      <c r="E12" s="1">
        <f t="shared" si="1"/>
        <v>251508.42432531423</v>
      </c>
      <c r="G12" s="1">
        <f t="shared" si="1"/>
        <v>946175.94684095681</v>
      </c>
      <c r="H12" s="1">
        <f t="shared" si="1"/>
        <v>1528600.5969635106</v>
      </c>
      <c r="I12" s="1">
        <f t="shared" si="1"/>
        <v>1612047.1155417138</v>
      </c>
      <c r="J12" s="1">
        <f t="shared" si="1"/>
        <v>0</v>
      </c>
      <c r="K12" s="1">
        <f>SUM(B12:J12)</f>
        <v>9219017.2699999996</v>
      </c>
    </row>
    <row r="14" spans="1:11" x14ac:dyDescent="0.25">
      <c r="A14" t="s">
        <v>5</v>
      </c>
      <c r="B14" s="1">
        <f>B$9/($K$9-$J$9-$I$9)*-I14</f>
        <v>973471.03479952028</v>
      </c>
      <c r="C14" s="1">
        <f t="shared" ref="C14:H14" si="2">C$9/($K$9-$J$9-$I$9)*-$I$14</f>
        <v>0</v>
      </c>
      <c r="D14" s="1">
        <f t="shared" si="2"/>
        <v>60829.654795906827</v>
      </c>
      <c r="E14" s="1">
        <f t="shared" si="2"/>
        <v>53298.937912940579</v>
      </c>
      <c r="G14" s="1">
        <f t="shared" si="2"/>
        <v>200510.87028466642</v>
      </c>
      <c r="H14" s="1">
        <f t="shared" si="2"/>
        <v>323936.61774867977</v>
      </c>
      <c r="I14" s="1">
        <f>-I12</f>
        <v>-1612047.1155417138</v>
      </c>
      <c r="K14" s="1">
        <v>0</v>
      </c>
    </row>
    <row r="15" spans="1:11" x14ac:dyDescent="0.25">
      <c r="A15" t="s">
        <v>4</v>
      </c>
      <c r="B15" s="1">
        <f>+B12+B14</f>
        <v>5567111.6527172755</v>
      </c>
      <c r="C15" s="1">
        <f>+C12+C14</f>
        <v>0</v>
      </c>
      <c r="D15" s="1">
        <f>+D12+D14</f>
        <v>347874.22320665559</v>
      </c>
      <c r="E15" s="1">
        <f>+E12+E14</f>
        <v>304807.36223825481</v>
      </c>
      <c r="G15" s="1">
        <f>+G12+G14</f>
        <v>1146686.8171256231</v>
      </c>
      <c r="H15" s="1">
        <f>+H12+H14</f>
        <v>1852537.2147121904</v>
      </c>
      <c r="I15" s="1">
        <f>+I12+I14</f>
        <v>0</v>
      </c>
      <c r="J15" s="1">
        <f>+J12+J14</f>
        <v>0</v>
      </c>
      <c r="K15" s="1">
        <f>SUM(B15:J15)</f>
        <v>9219017.2699999996</v>
      </c>
    </row>
    <row r="17" spans="1:11" x14ac:dyDescent="0.25">
      <c r="A17" t="s">
        <v>6</v>
      </c>
      <c r="B17" s="1">
        <f>B$9/($K$9-$J$9-$I$9-$H$9)*-$H$17</f>
        <v>1400028.431179089</v>
      </c>
      <c r="C17" s="1">
        <f>C$9/($K$9-$J$9-$I$9-$H$9)*-$H$17</f>
        <v>0</v>
      </c>
      <c r="D17" s="1">
        <f>D$9/($K$9-$J$9-$I$9-$H$9)*-$H$17</f>
        <v>87484.109057870199</v>
      </c>
      <c r="E17" s="1">
        <f>E$9/($K$9-$J$9-$I$9-$H$9)*-$H$17</f>
        <v>76653.568275026657</v>
      </c>
      <c r="G17" s="1">
        <f>G$9/($K$9-$J$9-$I$9-$H$9)*-$H$17</f>
        <v>288371.10620020446</v>
      </c>
      <c r="H17" s="1">
        <f>-H15</f>
        <v>-1852537.2147121904</v>
      </c>
      <c r="K17" s="1">
        <v>0</v>
      </c>
    </row>
    <row r="18" spans="1:11" x14ac:dyDescent="0.25">
      <c r="A18" t="s">
        <v>4</v>
      </c>
      <c r="B18" s="1">
        <f>+B15+B17</f>
        <v>6967140.083896365</v>
      </c>
      <c r="C18" s="1">
        <f>+C15+C17</f>
        <v>0</v>
      </c>
      <c r="D18" s="1">
        <f>+D15+D17</f>
        <v>435358.33226452582</v>
      </c>
      <c r="E18" s="1">
        <f>+E15+E17</f>
        <v>381460.93051328149</v>
      </c>
      <c r="G18" s="1">
        <f>+G15+G17</f>
        <v>1435057.9233258276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9219017.2699999996</v>
      </c>
    </row>
    <row r="20" spans="1:11" x14ac:dyDescent="0.25">
      <c r="A20" t="s">
        <v>7</v>
      </c>
      <c r="B20" s="1">
        <f>B$9/($K$9-$J$9-$I$9-$H$9-$G$9)*-$G$20</f>
        <v>1284468.3707897794</v>
      </c>
      <c r="C20" s="1">
        <f>C$9/($K$9-$J$9-$I$9-$H$9-$G$9)*-$G$20</f>
        <v>0</v>
      </c>
      <c r="D20" s="1">
        <f>D$9/($K$9-$J$9-$I$9-$H$9-$G$9)*-$G$20</f>
        <v>80263.063612872938</v>
      </c>
      <c r="E20" s="1">
        <f>E$9/($K$9-$J$9-$I$9-$H$9-$G$9)*-$G$20</f>
        <v>70326.488923175246</v>
      </c>
      <c r="G20" s="1">
        <f>-G18</f>
        <v>-1435057.9233258276</v>
      </c>
      <c r="K20" s="1">
        <f>SUM(B20:J20)</f>
        <v>0</v>
      </c>
    </row>
    <row r="22" spans="1:11" x14ac:dyDescent="0.25">
      <c r="A22" t="s">
        <v>8</v>
      </c>
      <c r="B22" s="1">
        <f>+B20+B18</f>
        <v>8251608.4546861444</v>
      </c>
      <c r="C22" s="1">
        <f t="shared" ref="C22:K22" si="3">+C20+C18</f>
        <v>0</v>
      </c>
      <c r="D22" s="1">
        <f t="shared" si="3"/>
        <v>515621.39587739878</v>
      </c>
      <c r="E22" s="1">
        <f t="shared" si="3"/>
        <v>451787.41943645675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9219017.2699999996</v>
      </c>
    </row>
    <row r="27" spans="1:11" x14ac:dyDescent="0.25">
      <c r="A27" t="s">
        <v>9</v>
      </c>
      <c r="B27" s="1">
        <f>+B9</f>
        <v>4060032.26</v>
      </c>
    </row>
    <row r="28" spans="1:11" x14ac:dyDescent="0.25">
      <c r="A28" t="s">
        <v>10</v>
      </c>
      <c r="B28" s="1">
        <f>+B22-B27</f>
        <v>4191576.1946861446</v>
      </c>
    </row>
    <row r="29" spans="1:11" x14ac:dyDescent="0.25">
      <c r="A29" s="29" t="s">
        <v>164</v>
      </c>
      <c r="B29" s="1">
        <v>871</v>
      </c>
    </row>
    <row r="30" spans="1:11" x14ac:dyDescent="0.25">
      <c r="A30" t="s">
        <v>11</v>
      </c>
      <c r="B30" s="1">
        <f>+B28/B29</f>
        <v>4812.37220974299</v>
      </c>
    </row>
  </sheetData>
  <phoneticPr fontId="0" type="noConversion"/>
  <pageMargins left="0.59" right="0.55000000000000004" top="1" bottom="0.53" header="0.5" footer="0.5"/>
  <pageSetup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54296875" style="1" bestFit="1" customWidth="1"/>
    <col min="5" max="5" width="9.26953125" style="1" bestFit="1" customWidth="1"/>
    <col min="6" max="6" width="2.7265625" style="3" customWidth="1"/>
    <col min="7" max="9" width="11.54296875" style="1" bestFit="1" customWidth="1"/>
    <col min="10" max="10" width="13.7265625" style="1" bestFit="1" customWidth="1"/>
    <col min="11" max="11" width="11.453125" style="1" bestFit="1" customWidth="1"/>
  </cols>
  <sheetData>
    <row r="1" spans="1:11" ht="15.5" x14ac:dyDescent="0.35">
      <c r="A1" s="5" t="str">
        <f>System!A1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100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Table'!B6</f>
        <v>10373261.26</v>
      </c>
      <c r="C9" s="1">
        <f>'Master Expend Table'!C6</f>
        <v>32424.9</v>
      </c>
      <c r="D9" s="1">
        <f>'Master Expend Table'!D6</f>
        <v>794860.09</v>
      </c>
      <c r="E9" s="1">
        <f>'Master Expend Table'!E6</f>
        <v>0</v>
      </c>
      <c r="G9" s="1">
        <f>'Master Expend Table'!G6</f>
        <v>2413575.87</v>
      </c>
      <c r="H9" s="1">
        <f>'Master Expend Table'!H6</f>
        <v>2098850.5</v>
      </c>
      <c r="I9" s="1">
        <f>'Master Expend Table'!I6</f>
        <v>3442967.34</v>
      </c>
      <c r="J9" s="1">
        <f>'Master Expend Table'!J6</f>
        <v>2551007.88</v>
      </c>
      <c r="K9" s="1">
        <f>SUM(B9:J9)</f>
        <v>21706947.84</v>
      </c>
    </row>
    <row r="11" spans="1:11" x14ac:dyDescent="0.25">
      <c r="A11" t="s">
        <v>3</v>
      </c>
      <c r="B11" s="1">
        <f>(B9/($K9-$J9))*-$J$11</f>
        <v>1381413.3512015208</v>
      </c>
      <c r="C11" s="1">
        <f t="shared" ref="C11:I11" si="0">(C9/($K9-$J9))*-$J$11</f>
        <v>4318.0431542870629</v>
      </c>
      <c r="D11" s="1">
        <f t="shared" si="0"/>
        <v>105851.98937361407</v>
      </c>
      <c r="E11" s="1">
        <f t="shared" si="0"/>
        <v>0</v>
      </c>
      <c r="G11" s="1">
        <f t="shared" si="0"/>
        <v>321417.32936126069</v>
      </c>
      <c r="H11" s="1">
        <f t="shared" si="0"/>
        <v>279505.16527104104</v>
      </c>
      <c r="I11" s="1">
        <f t="shared" si="0"/>
        <v>458502.00163827604</v>
      </c>
      <c r="J11" s="1">
        <f>-J9</f>
        <v>-2551007.88</v>
      </c>
      <c r="K11" s="1">
        <v>0</v>
      </c>
    </row>
    <row r="12" spans="1:11" x14ac:dyDescent="0.25">
      <c r="A12" t="s">
        <v>4</v>
      </c>
      <c r="B12" s="1">
        <f>+B9+B11</f>
        <v>11754674.611201521</v>
      </c>
      <c r="C12" s="1">
        <f t="shared" ref="C12:J12" si="1">+C9+C11</f>
        <v>36742.943154287066</v>
      </c>
      <c r="D12" s="1">
        <f t="shared" si="1"/>
        <v>900712.07937361405</v>
      </c>
      <c r="E12" s="1">
        <f t="shared" si="1"/>
        <v>0</v>
      </c>
      <c r="G12" s="1">
        <f t="shared" si="1"/>
        <v>2734993.199361261</v>
      </c>
      <c r="H12" s="1">
        <f t="shared" si="1"/>
        <v>2378355.665271041</v>
      </c>
      <c r="I12" s="1">
        <f t="shared" si="1"/>
        <v>3901469.3416382759</v>
      </c>
      <c r="J12" s="1">
        <f t="shared" si="1"/>
        <v>0</v>
      </c>
      <c r="K12" s="1">
        <f>SUM(B12:J12)</f>
        <v>21706947.84</v>
      </c>
    </row>
    <row r="14" spans="1:11" x14ac:dyDescent="0.25">
      <c r="A14" t="s">
        <v>5</v>
      </c>
      <c r="B14" s="1">
        <f>B$9/($K$9-$J$9-$I$9)*-I14</f>
        <v>2575639.9987091701</v>
      </c>
      <c r="C14" s="1">
        <f t="shared" ref="C14:H14" si="2">C$9/($K$9-$J$9-$I$9)*-$I$14</f>
        <v>8050.9752237884904</v>
      </c>
      <c r="D14" s="1">
        <f t="shared" si="2"/>
        <v>197360.63614593382</v>
      </c>
      <c r="E14" s="1">
        <f t="shared" si="2"/>
        <v>0</v>
      </c>
      <c r="G14" s="1">
        <f t="shared" si="2"/>
        <v>599281.40195046866</v>
      </c>
      <c r="H14" s="1">
        <f t="shared" si="2"/>
        <v>521136.32960891427</v>
      </c>
      <c r="I14" s="1">
        <f>-I12</f>
        <v>-3901469.3416382759</v>
      </c>
      <c r="K14" s="1">
        <v>0</v>
      </c>
    </row>
    <row r="15" spans="1:11" x14ac:dyDescent="0.25">
      <c r="A15" t="s">
        <v>4</v>
      </c>
      <c r="B15" s="1">
        <f>+B12+B14</f>
        <v>14330314.609910691</v>
      </c>
      <c r="C15" s="1">
        <f>+C12+C14</f>
        <v>44793.918378075556</v>
      </c>
      <c r="D15" s="1">
        <f>+D12+D14</f>
        <v>1098072.7155195479</v>
      </c>
      <c r="E15" s="1">
        <f>+E12+E14</f>
        <v>0</v>
      </c>
      <c r="G15" s="1">
        <f>+G12+G14</f>
        <v>3334274.6013117298</v>
      </c>
      <c r="H15" s="1">
        <f>+H12+H14</f>
        <v>2899491.9948799554</v>
      </c>
      <c r="I15" s="1">
        <f>+I12+I14</f>
        <v>0</v>
      </c>
      <c r="J15" s="1">
        <f>+J12+J14</f>
        <v>0</v>
      </c>
      <c r="K15" s="1">
        <f>SUM(B15:J15)</f>
        <v>21706947.839999996</v>
      </c>
    </row>
    <row r="17" spans="1:11" x14ac:dyDescent="0.25">
      <c r="A17" t="s">
        <v>6</v>
      </c>
      <c r="B17" s="1">
        <f>B$9/($K$9-$J$9-$I$9-$H$9)*-$H$17</f>
        <v>2209263.8599137496</v>
      </c>
      <c r="C17" s="1">
        <f>C$9/($K$9-$J$9-$I$9-$H$9)*-$H$17</f>
        <v>6905.7510396992875</v>
      </c>
      <c r="D17" s="1">
        <f>D$9/($K$9-$J$9-$I$9-$H$9)*-$H$17</f>
        <v>169286.74854611635</v>
      </c>
      <c r="E17" s="1">
        <f>E$9/($K$9-$J$9-$I$9-$H$9)*-$H$17</f>
        <v>0</v>
      </c>
      <c r="G17" s="1">
        <f>G$9/($K$9-$J$9-$I$9-$H$9)*-$H$17</f>
        <v>514035.6353803901</v>
      </c>
      <c r="H17" s="1">
        <f>-H15</f>
        <v>-2899491.9948799554</v>
      </c>
      <c r="K17" s="1">
        <v>0</v>
      </c>
    </row>
    <row r="18" spans="1:11" x14ac:dyDescent="0.25">
      <c r="A18" t="s">
        <v>4</v>
      </c>
      <c r="B18" s="1">
        <f>+B15+B17</f>
        <v>16539578.469824441</v>
      </c>
      <c r="C18" s="1">
        <f>+C15+C17</f>
        <v>51699.669417774843</v>
      </c>
      <c r="D18" s="1">
        <f>+D15+D17</f>
        <v>1267359.4640656642</v>
      </c>
      <c r="E18" s="1">
        <f>+E15+E17</f>
        <v>0</v>
      </c>
      <c r="G18" s="1">
        <f>+G15+G17</f>
        <v>3848310.2366921199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21706947.84</v>
      </c>
    </row>
    <row r="20" spans="1:11" x14ac:dyDescent="0.25">
      <c r="A20" t="s">
        <v>7</v>
      </c>
      <c r="B20" s="1">
        <f>B$9/($K$9-$J$9-$I$9-$H$9-$G$9)*-$G$20</f>
        <v>3564069.6983631309</v>
      </c>
      <c r="C20" s="1">
        <f>C$9/($K$9-$J$9-$I$9-$H$9-$G$9)*-$G$20</f>
        <v>11140.624020343501</v>
      </c>
      <c r="D20" s="1">
        <f>D$9/($K$9-$J$9-$I$9-$H$9-$G$9)*-$G$20</f>
        <v>273099.91430864541</v>
      </c>
      <c r="E20" s="1">
        <f>E$9/($K$9-$J$9-$I$9-$H$9-$G$9)*-$G$20</f>
        <v>0</v>
      </c>
      <c r="G20" s="1">
        <f>-G18</f>
        <v>-3848310.2366921199</v>
      </c>
      <c r="K20" s="1">
        <f>SUM(B20:J20)</f>
        <v>0</v>
      </c>
    </row>
    <row r="22" spans="1:11" x14ac:dyDescent="0.25">
      <c r="A22" t="s">
        <v>8</v>
      </c>
      <c r="B22" s="1">
        <f>+B20+B18</f>
        <v>20103648.168187574</v>
      </c>
      <c r="C22" s="1">
        <f t="shared" ref="C22:K22" si="3">+C20+C18</f>
        <v>62840.293438118344</v>
      </c>
      <c r="D22" s="1">
        <f t="shared" si="3"/>
        <v>1540459.3783743097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21706947.84</v>
      </c>
    </row>
    <row r="27" spans="1:11" x14ac:dyDescent="0.25">
      <c r="A27" t="s">
        <v>9</v>
      </c>
      <c r="B27" s="1">
        <f>+B9</f>
        <v>10373261.26</v>
      </c>
    </row>
    <row r="28" spans="1:11" x14ac:dyDescent="0.25">
      <c r="A28" t="s">
        <v>10</v>
      </c>
      <c r="B28" s="1">
        <f>+B22-B27</f>
        <v>9730386.9081875738</v>
      </c>
    </row>
    <row r="29" spans="1:11" x14ac:dyDescent="0.25">
      <c r="A29" s="29" t="s">
        <v>164</v>
      </c>
      <c r="B29" s="1">
        <v>1783</v>
      </c>
    </row>
    <row r="30" spans="1:11" x14ac:dyDescent="0.25">
      <c r="A30" t="s">
        <v>11</v>
      </c>
      <c r="B30" s="1">
        <f>+B28/B29</f>
        <v>5457.3117824944329</v>
      </c>
    </row>
  </sheetData>
  <phoneticPr fontId="0" type="noConversion"/>
  <pageMargins left="0.43" right="0.17" top="0.73" bottom="0.33" header="0.27" footer="0.25"/>
  <pageSetup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1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61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Table'!B34</f>
        <v>4234809.04</v>
      </c>
      <c r="C9" s="1">
        <f>'Master Expend Table'!C34</f>
        <v>0</v>
      </c>
      <c r="D9" s="1">
        <f>'Master Expend Table'!D34</f>
        <v>94812.26</v>
      </c>
      <c r="E9" s="1">
        <f>'Master Expend Table'!E34</f>
        <v>202578.27</v>
      </c>
      <c r="G9" s="1">
        <f>'Master Expend Table'!G34</f>
        <v>777705.61</v>
      </c>
      <c r="H9" s="1">
        <f>'Master Expend Table'!H34</f>
        <v>1070276.79</v>
      </c>
      <c r="I9" s="1">
        <f>'Master Expend Table'!I34</f>
        <v>1406238.54</v>
      </c>
      <c r="J9" s="1">
        <f>'Master Expend Table'!J34</f>
        <v>1359745.06</v>
      </c>
      <c r="K9" s="1">
        <f>SUM(B9:J9)</f>
        <v>9146165.5700000003</v>
      </c>
    </row>
    <row r="11" spans="1:11" x14ac:dyDescent="0.25">
      <c r="A11" t="s">
        <v>3</v>
      </c>
      <c r="B11" s="1">
        <f>(B9/($K9-$J9))*-$J$11</f>
        <v>739526.03314810479</v>
      </c>
      <c r="C11" s="1">
        <f t="shared" ref="C11:I11" si="0">(C9/($K9-$J9))*-$J$11</f>
        <v>0</v>
      </c>
      <c r="D11" s="1">
        <f t="shared" si="0"/>
        <v>16557.094751929293</v>
      </c>
      <c r="E11" s="1">
        <f t="shared" si="0"/>
        <v>35376.306936169596</v>
      </c>
      <c r="G11" s="1">
        <f t="shared" si="0"/>
        <v>135810.97501395884</v>
      </c>
      <c r="H11" s="1">
        <f t="shared" si="0"/>
        <v>186902.77209741366</v>
      </c>
      <c r="I11" s="1">
        <f t="shared" si="0"/>
        <v>245571.87805242394</v>
      </c>
      <c r="J11" s="1">
        <f>-J9</f>
        <v>-1359745.06</v>
      </c>
      <c r="K11" s="1">
        <v>0</v>
      </c>
    </row>
    <row r="12" spans="1:11" x14ac:dyDescent="0.25">
      <c r="A12" t="s">
        <v>4</v>
      </c>
      <c r="B12" s="1">
        <f>+B9+B11</f>
        <v>4974335.0731481053</v>
      </c>
      <c r="C12" s="1">
        <f t="shared" ref="C12:J12" si="1">+C9+C11</f>
        <v>0</v>
      </c>
      <c r="D12" s="1">
        <f t="shared" si="1"/>
        <v>111369.35475192929</v>
      </c>
      <c r="E12" s="1">
        <f t="shared" si="1"/>
        <v>237954.57693616959</v>
      </c>
      <c r="G12" s="1">
        <f t="shared" si="1"/>
        <v>913516.58501395886</v>
      </c>
      <c r="H12" s="1">
        <f t="shared" si="1"/>
        <v>1257179.5620974137</v>
      </c>
      <c r="I12" s="1">
        <f t="shared" si="1"/>
        <v>1651810.418052424</v>
      </c>
      <c r="J12" s="1">
        <f t="shared" si="1"/>
        <v>0</v>
      </c>
      <c r="K12" s="1">
        <f>SUM(B12:J12)</f>
        <v>9146165.5700000003</v>
      </c>
    </row>
    <row r="14" spans="1:11" x14ac:dyDescent="0.25">
      <c r="A14" t="s">
        <v>5</v>
      </c>
      <c r="B14" s="1">
        <f>B$9/($K$9-$J$9-$I$9)*-I14</f>
        <v>1096379.6524340487</v>
      </c>
      <c r="C14" s="1">
        <f t="shared" ref="C14:H14" si="2">C$9/($K$9-$J$9-$I$9)*-$I$14</f>
        <v>0</v>
      </c>
      <c r="D14" s="1">
        <f t="shared" si="2"/>
        <v>24546.616313373757</v>
      </c>
      <c r="E14" s="1">
        <f t="shared" si="2"/>
        <v>52446.920547163762</v>
      </c>
      <c r="G14" s="1">
        <f t="shared" si="2"/>
        <v>201345.70374578444</v>
      </c>
      <c r="H14" s="1">
        <f t="shared" si="2"/>
        <v>277091.52501205332</v>
      </c>
      <c r="I14" s="1">
        <f>-I12</f>
        <v>-1651810.418052424</v>
      </c>
      <c r="K14" s="1">
        <v>0</v>
      </c>
    </row>
    <row r="15" spans="1:11" x14ac:dyDescent="0.25">
      <c r="A15" t="s">
        <v>4</v>
      </c>
      <c r="B15" s="1">
        <f>+B12+B14</f>
        <v>6070714.7255821545</v>
      </c>
      <c r="C15" s="1">
        <f>+C12+C14</f>
        <v>0</v>
      </c>
      <c r="D15" s="1">
        <f>+D12+D14</f>
        <v>135915.97106530305</v>
      </c>
      <c r="E15" s="1">
        <f>+E12+E14</f>
        <v>290401.49748333334</v>
      </c>
      <c r="G15" s="1">
        <f>+G12+G14</f>
        <v>1114862.2887597433</v>
      </c>
      <c r="H15" s="1">
        <f>+H12+H14</f>
        <v>1534271.087109467</v>
      </c>
      <c r="I15" s="1">
        <f>+I12+I14</f>
        <v>0</v>
      </c>
      <c r="J15" s="1">
        <f>+J12+J14</f>
        <v>0</v>
      </c>
      <c r="K15" s="1">
        <f>SUM(B15:J15)</f>
        <v>9146165.5700000022</v>
      </c>
    </row>
    <row r="17" spans="1:11" x14ac:dyDescent="0.25">
      <c r="A17" t="s">
        <v>6</v>
      </c>
      <c r="B17" s="1">
        <f>B$9/($K$9-$J$9-$I$9-$H$9)*-$H$17</f>
        <v>1223627.3246411905</v>
      </c>
      <c r="C17" s="1">
        <f>C$9/($K$9-$J$9-$I$9-$H$9)*-$H$17</f>
        <v>0</v>
      </c>
      <c r="D17" s="1">
        <f>D$9/($K$9-$J$9-$I$9-$H$9)*-$H$17</f>
        <v>27395.538016274983</v>
      </c>
      <c r="E17" s="1">
        <f>E$9/($K$9-$J$9-$I$9-$H$9)*-$H$17</f>
        <v>58533.998631149785</v>
      </c>
      <c r="G17" s="1">
        <f>G$9/($K$9-$J$9-$I$9-$H$9)*-$H$17</f>
        <v>224714.22582085189</v>
      </c>
      <c r="H17" s="1">
        <f>-H15</f>
        <v>-1534271.087109467</v>
      </c>
      <c r="K17" s="1">
        <v>0</v>
      </c>
    </row>
    <row r="18" spans="1:11" x14ac:dyDescent="0.25">
      <c r="A18" t="s">
        <v>4</v>
      </c>
      <c r="B18" s="1">
        <f>+B15+B17</f>
        <v>7294342.0502233449</v>
      </c>
      <c r="C18" s="1">
        <f>+C15+C17</f>
        <v>0</v>
      </c>
      <c r="D18" s="1">
        <f>+D15+D17</f>
        <v>163311.50908157803</v>
      </c>
      <c r="E18" s="1">
        <f>+E15+E17</f>
        <v>348935.4961144831</v>
      </c>
      <c r="G18" s="1">
        <f>+G15+G17</f>
        <v>1339576.5145805953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9146165.5700000003</v>
      </c>
    </row>
    <row r="20" spans="1:11" x14ac:dyDescent="0.25">
      <c r="A20" t="s">
        <v>7</v>
      </c>
      <c r="B20" s="1">
        <f>B$9/($K$9-$J$9-$I$9-$H$9-$G$9)*-$G$20</f>
        <v>1251677.1704555801</v>
      </c>
      <c r="C20" s="1">
        <f>C$9/($K$9-$J$9-$I$9-$H$9-$G$9)*-$G$20</f>
        <v>0</v>
      </c>
      <c r="D20" s="1">
        <f>D$9/($K$9-$J$9-$I$9-$H$9-$G$9)*-$G$20</f>
        <v>28023.540188083378</v>
      </c>
      <c r="E20" s="1">
        <f>E$9/($K$9-$J$9-$I$9-$H$9-$G$9)*-$G$20</f>
        <v>59875.803936931843</v>
      </c>
      <c r="G20" s="1">
        <f>-G18</f>
        <v>-1339576.5145805953</v>
      </c>
      <c r="K20" s="1">
        <f>SUM(B20:J20)</f>
        <v>0</v>
      </c>
    </row>
    <row r="22" spans="1:11" x14ac:dyDescent="0.25">
      <c r="A22" t="s">
        <v>8</v>
      </c>
      <c r="B22" s="1">
        <f>+B20+B18</f>
        <v>8546019.2206789255</v>
      </c>
      <c r="C22" s="1">
        <f t="shared" ref="C22:K22" si="3">+C20+C18</f>
        <v>0</v>
      </c>
      <c r="D22" s="1">
        <f t="shared" si="3"/>
        <v>191335.04926966139</v>
      </c>
      <c r="E22" s="1">
        <f t="shared" si="3"/>
        <v>408811.30005141493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9146165.5700000003</v>
      </c>
    </row>
    <row r="27" spans="1:11" x14ac:dyDescent="0.25">
      <c r="A27" t="s">
        <v>9</v>
      </c>
      <c r="B27" s="1">
        <f>+B9</f>
        <v>4234809.04</v>
      </c>
    </row>
    <row r="28" spans="1:11" x14ac:dyDescent="0.25">
      <c r="A28" t="s">
        <v>10</v>
      </c>
      <c r="B28" s="1">
        <f>+B22-B27</f>
        <v>4311210.1806789255</v>
      </c>
    </row>
    <row r="29" spans="1:11" x14ac:dyDescent="0.25">
      <c r="A29" s="29" t="s">
        <v>164</v>
      </c>
      <c r="B29" s="1">
        <v>810</v>
      </c>
    </row>
    <row r="30" spans="1:11" x14ac:dyDescent="0.25">
      <c r="A30" t="s">
        <v>11</v>
      </c>
      <c r="B30" s="1">
        <f>+B28/B29</f>
        <v>5322.4817045418831</v>
      </c>
    </row>
  </sheetData>
  <phoneticPr fontId="0" type="noConversion"/>
  <pageMargins left="0.59" right="0.45" top="1" bottom="1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6.81640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30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Table'!B35</f>
        <v>864781.56</v>
      </c>
      <c r="C9" s="1">
        <f>'Master Expend Table'!C35</f>
        <v>0</v>
      </c>
      <c r="D9" s="1">
        <f>'Master Expend Table'!D35</f>
        <v>2691.25</v>
      </c>
      <c r="E9" s="1">
        <f>'Master Expend Table'!E35</f>
        <v>187252.31</v>
      </c>
      <c r="G9" s="1">
        <f>'Master Expend Table'!G35</f>
        <v>218276.1</v>
      </c>
      <c r="H9" s="1">
        <f>'Master Expend Table'!H35</f>
        <v>442829.52</v>
      </c>
      <c r="I9" s="1">
        <f>'Master Expend Table'!I35</f>
        <v>839762.14</v>
      </c>
      <c r="J9" s="1">
        <f>'Master Expend Table'!J35</f>
        <v>308287.43</v>
      </c>
      <c r="K9" s="1">
        <f>SUM(B9:J9)</f>
        <v>2863880.3100000005</v>
      </c>
    </row>
    <row r="11" spans="1:11" x14ac:dyDescent="0.25">
      <c r="A11" t="s">
        <v>3</v>
      </c>
      <c r="B11" s="1">
        <f>(B9/($K9-$J9))*-$J$11</f>
        <v>104320.71819036793</v>
      </c>
      <c r="C11" s="1">
        <f t="shared" ref="C11:I11" si="0">(C9/($K9-$J9))*-$J$11</f>
        <v>0</v>
      </c>
      <c r="D11" s="1">
        <f t="shared" si="0"/>
        <v>324.65208072871917</v>
      </c>
      <c r="E11" s="1">
        <f t="shared" si="0"/>
        <v>22588.704900235633</v>
      </c>
      <c r="G11" s="1">
        <f t="shared" si="0"/>
        <v>26331.180692373422</v>
      </c>
      <c r="H11" s="1">
        <f t="shared" si="0"/>
        <v>53419.609875002308</v>
      </c>
      <c r="I11" s="1">
        <f t="shared" si="0"/>
        <v>101302.56426129195</v>
      </c>
      <c r="J11" s="1">
        <f>-J9</f>
        <v>-308287.43</v>
      </c>
      <c r="K11" s="1">
        <v>0</v>
      </c>
    </row>
    <row r="12" spans="1:11" x14ac:dyDescent="0.25">
      <c r="A12" t="s">
        <v>4</v>
      </c>
      <c r="B12" s="1">
        <f>+B9+B11</f>
        <v>969102.27819036797</v>
      </c>
      <c r="C12" s="1">
        <f t="shared" ref="C12:J12" si="1">+C9+C11</f>
        <v>0</v>
      </c>
      <c r="D12" s="1">
        <f t="shared" si="1"/>
        <v>3015.9020807287193</v>
      </c>
      <c r="E12" s="1">
        <f t="shared" si="1"/>
        <v>209841.01490023563</v>
      </c>
      <c r="G12" s="1">
        <f t="shared" si="1"/>
        <v>244607.28069237343</v>
      </c>
      <c r="H12" s="1">
        <f t="shared" si="1"/>
        <v>496249.12987500231</v>
      </c>
      <c r="I12" s="1">
        <f t="shared" si="1"/>
        <v>941064.704261292</v>
      </c>
      <c r="J12" s="1">
        <f t="shared" si="1"/>
        <v>0</v>
      </c>
      <c r="K12" s="1">
        <f>SUM(B12:J12)</f>
        <v>2863880.3099999996</v>
      </c>
    </row>
    <row r="14" spans="1:11" x14ac:dyDescent="0.25">
      <c r="A14" t="s">
        <v>5</v>
      </c>
      <c r="B14" s="1">
        <f>B$9/($K$9-$J$9-$I$9)*-I14</f>
        <v>474298.1834047446</v>
      </c>
      <c r="C14" s="1">
        <f t="shared" ref="C14:H14" si="2">C$9/($K$9-$J$9-$I$9)*-$I$14</f>
        <v>0</v>
      </c>
      <c r="D14" s="1">
        <f t="shared" si="2"/>
        <v>1476.0432519953581</v>
      </c>
      <c r="E14" s="1">
        <f t="shared" si="2"/>
        <v>102700.42121543629</v>
      </c>
      <c r="G14" s="1">
        <f t="shared" si="2"/>
        <v>119715.73227194203</v>
      </c>
      <c r="H14" s="1">
        <f t="shared" si="2"/>
        <v>242874.32411717362</v>
      </c>
      <c r="I14" s="1">
        <f>-I12</f>
        <v>-941064.704261292</v>
      </c>
      <c r="K14" s="1">
        <v>0</v>
      </c>
    </row>
    <row r="15" spans="1:11" x14ac:dyDescent="0.25">
      <c r="A15" t="s">
        <v>4</v>
      </c>
      <c r="B15" s="1">
        <f>+B12+B14</f>
        <v>1443400.4615951125</v>
      </c>
      <c r="C15" s="1">
        <f>+C12+C14</f>
        <v>0</v>
      </c>
      <c r="D15" s="1">
        <f>+D12+D14</f>
        <v>4491.9453327240772</v>
      </c>
      <c r="E15" s="1">
        <f>+E12+E14</f>
        <v>312541.43611567194</v>
      </c>
      <c r="G15" s="1">
        <f>+G12+G14</f>
        <v>364323.01296431548</v>
      </c>
      <c r="H15" s="1">
        <f>+H12+H14</f>
        <v>739123.45399217587</v>
      </c>
      <c r="I15" s="1">
        <f>+I12+I14</f>
        <v>0</v>
      </c>
      <c r="J15" s="1">
        <f>+J12+J14</f>
        <v>0</v>
      </c>
      <c r="K15" s="1">
        <f>SUM(B15:J15)</f>
        <v>2863880.3099999996</v>
      </c>
    </row>
    <row r="17" spans="1:11" x14ac:dyDescent="0.25">
      <c r="A17" t="s">
        <v>6</v>
      </c>
      <c r="B17" s="1">
        <f>B$9/($K$9-$J$9-$I$9-$H$9)*-$H$17</f>
        <v>502105.04399669153</v>
      </c>
      <c r="C17" s="1">
        <f>C$9/($K$9-$J$9-$I$9-$H$9)*-$H$17</f>
        <v>0</v>
      </c>
      <c r="D17" s="1">
        <f>D$9/($K$9-$J$9-$I$9-$H$9)*-$H$17</f>
        <v>1562.5798029922098</v>
      </c>
      <c r="E17" s="1">
        <f>E$9/($K$9-$J$9-$I$9-$H$9)*-$H$17</f>
        <v>108721.47800079377</v>
      </c>
      <c r="G17" s="1">
        <f>G$9/($K$9-$J$9-$I$9-$H$9)*-$H$17</f>
        <v>126734.35219169826</v>
      </c>
      <c r="H17" s="1">
        <f>-H15</f>
        <v>-739123.45399217587</v>
      </c>
      <c r="K17" s="1">
        <v>0</v>
      </c>
    </row>
    <row r="18" spans="1:11" x14ac:dyDescent="0.25">
      <c r="A18" t="s">
        <v>4</v>
      </c>
      <c r="B18" s="1">
        <f>+B15+B17</f>
        <v>1945505.5055918039</v>
      </c>
      <c r="C18" s="1">
        <f>+C15+C17</f>
        <v>0</v>
      </c>
      <c r="D18" s="1">
        <f>+D15+D17</f>
        <v>6054.525135716287</v>
      </c>
      <c r="E18" s="1">
        <f>+E15+E17</f>
        <v>421262.91411646572</v>
      </c>
      <c r="G18" s="1">
        <f>+G15+G17</f>
        <v>491057.36515601375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2863880.3099999996</v>
      </c>
    </row>
    <row r="20" spans="1:11" x14ac:dyDescent="0.25">
      <c r="A20" t="s">
        <v>7</v>
      </c>
      <c r="B20" s="1">
        <f>B$9/($K$9-$J$9-$I$9-$H$9-$G$9)*-$G$20</f>
        <v>402623.72274693445</v>
      </c>
      <c r="C20" s="1">
        <f>C$9/($K$9-$J$9-$I$9-$H$9-$G$9)*-$G$20</f>
        <v>0</v>
      </c>
      <c r="D20" s="1">
        <f>D$9/($K$9-$J$9-$I$9-$H$9-$G$9)*-$G$20</f>
        <v>1252.9882041456658</v>
      </c>
      <c r="E20" s="1">
        <f>E$9/($K$9-$J$9-$I$9-$H$9-$G$9)*-$G$20</f>
        <v>87180.654204933584</v>
      </c>
      <c r="G20" s="1">
        <f>-G18</f>
        <v>-491057.36515601375</v>
      </c>
      <c r="K20" s="1">
        <f>SUM(B20:J20)</f>
        <v>0</v>
      </c>
    </row>
    <row r="22" spans="1:11" x14ac:dyDescent="0.25">
      <c r="A22" t="s">
        <v>8</v>
      </c>
      <c r="B22" s="1">
        <f>+B20+B18</f>
        <v>2348129.2283387384</v>
      </c>
      <c r="C22" s="1">
        <f t="shared" ref="C22:K22" si="3">+C20+C18</f>
        <v>0</v>
      </c>
      <c r="D22" s="1">
        <f t="shared" si="3"/>
        <v>7307.5133398619528</v>
      </c>
      <c r="E22" s="1">
        <f t="shared" si="3"/>
        <v>508443.56832139927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2863880.3099999996</v>
      </c>
    </row>
    <row r="27" spans="1:11" x14ac:dyDescent="0.25">
      <c r="A27" t="s">
        <v>9</v>
      </c>
      <c r="B27" s="1">
        <f>+B9</f>
        <v>864781.56</v>
      </c>
    </row>
    <row r="28" spans="1:11" x14ac:dyDescent="0.25">
      <c r="A28" t="s">
        <v>10</v>
      </c>
      <c r="B28" s="1">
        <f>+B22-B27</f>
        <v>1483347.6683387384</v>
      </c>
    </row>
    <row r="29" spans="1:11" x14ac:dyDescent="0.25">
      <c r="A29" s="29" t="s">
        <v>164</v>
      </c>
      <c r="B29" s="1">
        <v>216</v>
      </c>
    </row>
    <row r="30" spans="1:11" x14ac:dyDescent="0.25">
      <c r="A30" t="s">
        <v>11</v>
      </c>
      <c r="B30" s="1">
        <f>+B28/B29</f>
        <v>6867.3503163830483</v>
      </c>
    </row>
  </sheetData>
  <phoneticPr fontId="0" type="noConversion"/>
  <pageMargins left="0.4" right="0.55000000000000004" top="1" bottom="0.6" header="0.5" footer="0.5"/>
  <pageSetup scale="10" orientation="landscape" horizontalDpi="4294967294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10" width="10.26953125" style="1" customWidth="1"/>
    <col min="11" max="11" width="11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62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Table'!B36</f>
        <v>2627003.0499999998</v>
      </c>
      <c r="C9" s="1">
        <f>'Master Expend Table'!C36</f>
        <v>0</v>
      </c>
      <c r="D9" s="1">
        <f>'Master Expend Table'!D36</f>
        <v>95746.35</v>
      </c>
      <c r="E9" s="1">
        <f>'Master Expend Table'!E36</f>
        <v>0</v>
      </c>
      <c r="G9" s="1">
        <f>'Master Expend Table'!G36</f>
        <v>373910.27</v>
      </c>
      <c r="H9" s="1">
        <f>'Master Expend Table'!H36</f>
        <v>1051054.44</v>
      </c>
      <c r="I9" s="1">
        <f>'Master Expend Table'!I36</f>
        <v>1163127.2</v>
      </c>
      <c r="J9" s="1">
        <f>'Master Expend Table'!J36</f>
        <v>457747.57</v>
      </c>
      <c r="K9" s="1">
        <f>SUM(B9:J9)</f>
        <v>5768588.8799999999</v>
      </c>
    </row>
    <row r="11" spans="1:11" x14ac:dyDescent="0.25">
      <c r="A11" t="s">
        <v>3</v>
      </c>
      <c r="B11" s="1">
        <f>(B9/($K9-$J9))*-$J$11</f>
        <v>226424.43867713466</v>
      </c>
      <c r="C11" s="1">
        <f t="shared" ref="C11:I11" si="0">(C9/($K9-$J9))*-$J$11</f>
        <v>0</v>
      </c>
      <c r="D11" s="1">
        <f t="shared" si="0"/>
        <v>8252.4889166514204</v>
      </c>
      <c r="E11" s="1">
        <f t="shared" si="0"/>
        <v>0</v>
      </c>
      <c r="G11" s="1">
        <f t="shared" si="0"/>
        <v>32227.7596900262</v>
      </c>
      <c r="H11" s="1">
        <f t="shared" si="0"/>
        <v>90591.600796241983</v>
      </c>
      <c r="I11" s="1">
        <f t="shared" si="0"/>
        <v>100251.28191994576</v>
      </c>
      <c r="J11" s="1">
        <f>-J9</f>
        <v>-457747.57</v>
      </c>
      <c r="K11" s="1">
        <v>0</v>
      </c>
    </row>
    <row r="12" spans="1:11" x14ac:dyDescent="0.25">
      <c r="A12" t="s">
        <v>4</v>
      </c>
      <c r="B12" s="1">
        <f>+B9+B11</f>
        <v>2853427.4886771343</v>
      </c>
      <c r="C12" s="1">
        <f t="shared" ref="C12:J12" si="1">+C9+C11</f>
        <v>0</v>
      </c>
      <c r="D12" s="1">
        <f t="shared" si="1"/>
        <v>103998.83891665142</v>
      </c>
      <c r="E12" s="1">
        <f t="shared" si="1"/>
        <v>0</v>
      </c>
      <c r="G12" s="1">
        <f t="shared" si="1"/>
        <v>406138.02969002619</v>
      </c>
      <c r="H12" s="1">
        <f t="shared" si="1"/>
        <v>1141646.040796242</v>
      </c>
      <c r="I12" s="1">
        <f t="shared" si="1"/>
        <v>1263378.4819199457</v>
      </c>
      <c r="J12" s="1">
        <f t="shared" si="1"/>
        <v>0</v>
      </c>
      <c r="K12" s="1">
        <f>SUM(B12:J12)</f>
        <v>5768588.879999999</v>
      </c>
    </row>
    <row r="14" spans="1:11" x14ac:dyDescent="0.25">
      <c r="A14" t="s">
        <v>5</v>
      </c>
      <c r="B14" s="1">
        <f>B$9/($K$9-$J$9-$I$9)*-I14</f>
        <v>800175.47914074222</v>
      </c>
      <c r="C14" s="1">
        <f t="shared" ref="C14:H14" si="2">C$9/($K$9-$J$9-$I$9)*-$I$14</f>
        <v>0</v>
      </c>
      <c r="D14" s="1">
        <f t="shared" si="2"/>
        <v>29163.986500597028</v>
      </c>
      <c r="E14" s="1">
        <f t="shared" si="2"/>
        <v>0</v>
      </c>
      <c r="G14" s="1">
        <f t="shared" si="2"/>
        <v>113891.69474047406</v>
      </c>
      <c r="H14" s="1">
        <f t="shared" si="2"/>
        <v>320147.32153813244</v>
      </c>
      <c r="I14" s="1">
        <f>-I12</f>
        <v>-1263378.4819199457</v>
      </c>
      <c r="K14" s="1">
        <v>0</v>
      </c>
    </row>
    <row r="15" spans="1:11" x14ac:dyDescent="0.25">
      <c r="A15" t="s">
        <v>4</v>
      </c>
      <c r="B15" s="1">
        <f>+B12+B14</f>
        <v>3653602.9678178765</v>
      </c>
      <c r="C15" s="1">
        <f>+C12+C14</f>
        <v>0</v>
      </c>
      <c r="D15" s="1">
        <f>+D12+D14</f>
        <v>133162.82541724844</v>
      </c>
      <c r="E15" s="1">
        <f>+E12+E14</f>
        <v>0</v>
      </c>
      <c r="G15" s="1">
        <f>+G12+G14</f>
        <v>520029.72443050024</v>
      </c>
      <c r="H15" s="1">
        <f>+H12+H14</f>
        <v>1461793.3623343743</v>
      </c>
      <c r="I15" s="1">
        <f>+I12+I14</f>
        <v>0</v>
      </c>
      <c r="J15" s="1">
        <f>+J12+J14</f>
        <v>0</v>
      </c>
      <c r="K15" s="1">
        <f>SUM(B15:J15)</f>
        <v>5768588.8799999999</v>
      </c>
    </row>
    <row r="17" spans="1:11" x14ac:dyDescent="0.25">
      <c r="A17" t="s">
        <v>6</v>
      </c>
      <c r="B17" s="1">
        <f>B$9/($K$9-$J$9-$I$9-$H$9)*-$H$17</f>
        <v>1240089.654838356</v>
      </c>
      <c r="C17" s="1">
        <f>C$9/($K$9-$J$9-$I$9-$H$9)*-$H$17</f>
        <v>0</v>
      </c>
      <c r="D17" s="1">
        <f>D$9/($K$9-$J$9-$I$9-$H$9)*-$H$17</f>
        <v>45197.533411136479</v>
      </c>
      <c r="E17" s="1">
        <f>E$9/($K$9-$J$9-$I$9-$H$9)*-$H$17</f>
        <v>0</v>
      </c>
      <c r="G17" s="1">
        <f>G$9/($K$9-$J$9-$I$9-$H$9)*-$H$17</f>
        <v>176506.17408488219</v>
      </c>
      <c r="H17" s="1">
        <f>-H15</f>
        <v>-1461793.3623343743</v>
      </c>
      <c r="K17" s="1">
        <v>0</v>
      </c>
    </row>
    <row r="18" spans="1:11" x14ac:dyDescent="0.25">
      <c r="A18" t="s">
        <v>4</v>
      </c>
      <c r="B18" s="1">
        <f>+B15+B17</f>
        <v>4893692.6226562327</v>
      </c>
      <c r="C18" s="1">
        <f>+C15+C17</f>
        <v>0</v>
      </c>
      <c r="D18" s="1">
        <f>+D15+D17</f>
        <v>178360.35882838492</v>
      </c>
      <c r="E18" s="1">
        <f>+E15+E17</f>
        <v>0</v>
      </c>
      <c r="G18" s="1">
        <f>+G15+G17</f>
        <v>696535.89851538243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5768588.8800000008</v>
      </c>
    </row>
    <row r="20" spans="1:11" x14ac:dyDescent="0.25">
      <c r="A20" t="s">
        <v>7</v>
      </c>
      <c r="B20" s="1">
        <f>B$9/($K$9-$J$9-$I$9-$H$9-$G$9)*-$G$20</f>
        <v>672041.99175818404</v>
      </c>
      <c r="C20" s="1">
        <f>C$9/($K$9-$J$9-$I$9-$H$9-$G$9)*-$G$20</f>
        <v>0</v>
      </c>
      <c r="D20" s="1">
        <f>D$9/($K$9-$J$9-$I$9-$H$9-$G$9)*-$G$20</f>
        <v>24493.906757198554</v>
      </c>
      <c r="E20" s="1">
        <f>E$9/($K$9-$J$9-$I$9-$H$9-$G$9)*-$G$20</f>
        <v>0</v>
      </c>
      <c r="G20" s="1">
        <f>-G18</f>
        <v>-696535.89851538243</v>
      </c>
      <c r="K20" s="1">
        <f>SUM(B20:J20)</f>
        <v>0</v>
      </c>
    </row>
    <row r="22" spans="1:11" x14ac:dyDescent="0.25">
      <c r="A22" t="s">
        <v>8</v>
      </c>
      <c r="B22" s="1">
        <f>+B20+B18</f>
        <v>5565734.6144144163</v>
      </c>
      <c r="C22" s="1">
        <f t="shared" ref="C22:K22" si="3">+C20+C18</f>
        <v>0</v>
      </c>
      <c r="D22" s="1">
        <f t="shared" si="3"/>
        <v>202854.26558558349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5768588.8800000008</v>
      </c>
    </row>
    <row r="27" spans="1:11" x14ac:dyDescent="0.25">
      <c r="A27" t="s">
        <v>9</v>
      </c>
      <c r="B27" s="1">
        <f>+B9</f>
        <v>2627003.0499999998</v>
      </c>
    </row>
    <row r="28" spans="1:11" x14ac:dyDescent="0.25">
      <c r="A28" t="s">
        <v>10</v>
      </c>
      <c r="B28" s="1">
        <f>+B22-B27</f>
        <v>2938731.5644144164</v>
      </c>
    </row>
    <row r="29" spans="1:11" x14ac:dyDescent="0.25">
      <c r="A29" s="29" t="s">
        <v>164</v>
      </c>
      <c r="B29" s="1">
        <v>563</v>
      </c>
    </row>
    <row r="30" spans="1:11" x14ac:dyDescent="0.25">
      <c r="A30" t="s">
        <v>11</v>
      </c>
      <c r="B30" s="1">
        <f>+B28/B29</f>
        <v>5219.771872849763</v>
      </c>
    </row>
  </sheetData>
  <phoneticPr fontId="0" type="noConversion"/>
  <pageMargins left="0.52" right="0.45" top="1" bottom="1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6.81640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106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Table'!B38</f>
        <v>13304874.16</v>
      </c>
      <c r="C9" s="1">
        <f>'Master Expend Table'!C38</f>
        <v>116367.9</v>
      </c>
      <c r="D9" s="1">
        <f>'Master Expend Table'!D38</f>
        <v>597735.85</v>
      </c>
      <c r="E9" s="1">
        <f>'Master Expend Table'!E38</f>
        <v>323960.34999999998</v>
      </c>
      <c r="G9" s="1">
        <f>'Master Expend Table'!G38</f>
        <v>3581658.6</v>
      </c>
      <c r="H9" s="1">
        <f>'Master Expend Table'!H38</f>
        <v>2966515.05</v>
      </c>
      <c r="I9" s="1">
        <f>'Master Expend Table'!I38</f>
        <v>2990911.42</v>
      </c>
      <c r="J9" s="1">
        <f>'Master Expend Table'!J38</f>
        <v>2678631.4700000002</v>
      </c>
      <c r="K9" s="1">
        <f>SUM(B9:J9)</f>
        <v>26560654.799999997</v>
      </c>
    </row>
    <row r="11" spans="1:11" x14ac:dyDescent="0.25">
      <c r="A11" t="s">
        <v>3</v>
      </c>
      <c r="B11" s="1">
        <f>(B9/($K9-$J9))*-$J$11</f>
        <v>1492287.9078087653</v>
      </c>
      <c r="C11" s="1">
        <f t="shared" ref="C11:I11" si="0">(C9/($K9-$J9))*-$J$11</f>
        <v>13051.939307263587</v>
      </c>
      <c r="D11" s="1">
        <f t="shared" si="0"/>
        <v>67042.646949679518</v>
      </c>
      <c r="E11" s="1">
        <f t="shared" si="0"/>
        <v>36335.714799011315</v>
      </c>
      <c r="G11" s="1">
        <f t="shared" si="0"/>
        <v>401722.38793119648</v>
      </c>
      <c r="H11" s="1">
        <f t="shared" si="0"/>
        <v>332727.27605021663</v>
      </c>
      <c r="I11" s="1">
        <f t="shared" si="0"/>
        <v>335463.59715386765</v>
      </c>
      <c r="J11" s="1">
        <f>-J9</f>
        <v>-2678631.4700000002</v>
      </c>
      <c r="K11" s="1">
        <v>0</v>
      </c>
    </row>
    <row r="12" spans="1:11" x14ac:dyDescent="0.25">
      <c r="A12" t="s">
        <v>4</v>
      </c>
      <c r="B12" s="1">
        <f>+B9+B11</f>
        <v>14797162.067808766</v>
      </c>
      <c r="C12" s="1">
        <f t="shared" ref="C12:J12" si="1">+C9+C11</f>
        <v>129419.83930726358</v>
      </c>
      <c r="D12" s="1">
        <f t="shared" si="1"/>
        <v>664778.49694967945</v>
      </c>
      <c r="E12" s="1">
        <f t="shared" si="1"/>
        <v>360296.06479901128</v>
      </c>
      <c r="G12" s="1">
        <f t="shared" si="1"/>
        <v>3983380.9879311966</v>
      </c>
      <c r="H12" s="1">
        <f t="shared" si="1"/>
        <v>3299242.3260502163</v>
      </c>
      <c r="I12" s="1">
        <f t="shared" si="1"/>
        <v>3326375.0171538675</v>
      </c>
      <c r="J12" s="1">
        <f t="shared" si="1"/>
        <v>0</v>
      </c>
      <c r="K12" s="1">
        <f>SUM(B12:J12)</f>
        <v>26560654.799999997</v>
      </c>
    </row>
    <row r="14" spans="1:11" x14ac:dyDescent="0.25">
      <c r="A14" t="s">
        <v>5</v>
      </c>
      <c r="B14" s="1">
        <f>B$9/($K$9-$J$9-$I$9)*-I14</f>
        <v>2118460.7694823295</v>
      </c>
      <c r="C14" s="1">
        <f t="shared" ref="C14:H14" si="2">C$9/($K$9-$J$9-$I$9)*-$I$14</f>
        <v>18528.610493602951</v>
      </c>
      <c r="D14" s="1">
        <f t="shared" si="2"/>
        <v>95174.139455233613</v>
      </c>
      <c r="E14" s="1">
        <f t="shared" si="2"/>
        <v>51582.396352613432</v>
      </c>
      <c r="G14" s="1">
        <f t="shared" si="2"/>
        <v>570287.48581407126</v>
      </c>
      <c r="H14" s="1">
        <f t="shared" si="2"/>
        <v>472341.61555601744</v>
      </c>
      <c r="I14" s="1">
        <f>-I12</f>
        <v>-3326375.0171538675</v>
      </c>
      <c r="K14" s="1">
        <v>0</v>
      </c>
    </row>
    <row r="15" spans="1:11" x14ac:dyDescent="0.25">
      <c r="A15" t="s">
        <v>4</v>
      </c>
      <c r="B15" s="1">
        <f>+B12+B14</f>
        <v>16915622.837291095</v>
      </c>
      <c r="C15" s="1">
        <f>+C12+C14</f>
        <v>147948.44980086654</v>
      </c>
      <c r="D15" s="1">
        <f>+D12+D14</f>
        <v>759952.63640491304</v>
      </c>
      <c r="E15" s="1">
        <f>+E12+E14</f>
        <v>411878.46115162468</v>
      </c>
      <c r="G15" s="1">
        <f>+G12+G14</f>
        <v>4553668.4737452678</v>
      </c>
      <c r="H15" s="1">
        <f>+H12+H14</f>
        <v>3771583.9416062338</v>
      </c>
      <c r="I15" s="1">
        <f>+I12+I14</f>
        <v>0</v>
      </c>
      <c r="J15" s="1">
        <f>+J12+J14</f>
        <v>0</v>
      </c>
      <c r="K15" s="1">
        <f>SUM(B15:J15)</f>
        <v>26560654.800000004</v>
      </c>
    </row>
    <row r="17" spans="1:11" x14ac:dyDescent="0.25">
      <c r="A17" t="s">
        <v>6</v>
      </c>
      <c r="B17" s="1">
        <f>B$9/($K$9-$J$9-$I$9-$H$9)*-$H$17</f>
        <v>2799530.1718014618</v>
      </c>
      <c r="C17" s="1">
        <f>C$9/($K$9-$J$9-$I$9-$H$9)*-$H$17</f>
        <v>24485.421144274489</v>
      </c>
      <c r="D17" s="1">
        <f>D$9/($K$9-$J$9-$I$9-$H$9)*-$H$17</f>
        <v>125771.91837509214</v>
      </c>
      <c r="E17" s="1">
        <f>E$9/($K$9-$J$9-$I$9-$H$9)*-$H$17</f>
        <v>68165.753646809506</v>
      </c>
      <c r="G17" s="1">
        <f>G$9/($K$9-$J$9-$I$9-$H$9)*-$H$17</f>
        <v>753630.67663859681</v>
      </c>
      <c r="H17" s="1">
        <f>-H15</f>
        <v>-3771583.9416062338</v>
      </c>
      <c r="K17" s="1">
        <v>0</v>
      </c>
    </row>
    <row r="18" spans="1:11" x14ac:dyDescent="0.25">
      <c r="A18" t="s">
        <v>4</v>
      </c>
      <c r="B18" s="1">
        <f>+B15+B17</f>
        <v>19715153.009092558</v>
      </c>
      <c r="C18" s="1">
        <f>+C15+C17</f>
        <v>172433.87094514104</v>
      </c>
      <c r="D18" s="1">
        <f>+D15+D17</f>
        <v>885724.55478000513</v>
      </c>
      <c r="E18" s="1">
        <f>+E15+E17</f>
        <v>480044.21479843417</v>
      </c>
      <c r="G18" s="1">
        <f>+G15+G17</f>
        <v>5307299.1503838645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26560654.800000004</v>
      </c>
    </row>
    <row r="20" spans="1:11" x14ac:dyDescent="0.25">
      <c r="A20" t="s">
        <v>7</v>
      </c>
      <c r="B20" s="1">
        <f>B$9/($K$9-$J$9-$I$9-$H$9-$G$9)*-$G$20</f>
        <v>4923185.6154787811</v>
      </c>
      <c r="C20" s="1">
        <f>C$9/($K$9-$J$9-$I$9-$H$9-$G$9)*-$G$20</f>
        <v>43059.465613425476</v>
      </c>
      <c r="D20" s="1">
        <f>D$9/($K$9-$J$9-$I$9-$H$9-$G$9)*-$G$20</f>
        <v>221179.43418233594</v>
      </c>
      <c r="E20" s="1">
        <f>E$9/($K$9-$J$9-$I$9-$H$9-$G$9)*-$G$20</f>
        <v>119874.63510932382</v>
      </c>
      <c r="G20" s="1">
        <f>-G18</f>
        <v>-5307299.1503838645</v>
      </c>
      <c r="K20" s="1">
        <f>SUM(B20:J20)</f>
        <v>0</v>
      </c>
    </row>
    <row r="22" spans="1:11" x14ac:dyDescent="0.25">
      <c r="A22" t="s">
        <v>8</v>
      </c>
      <c r="B22" s="1">
        <f>+B20+B18</f>
        <v>24638338.624571338</v>
      </c>
      <c r="C22" s="1">
        <f t="shared" ref="C22:K22" si="3">+C20+C18</f>
        <v>215493.33655856652</v>
      </c>
      <c r="D22" s="1">
        <f t="shared" si="3"/>
        <v>1106903.9889623411</v>
      </c>
      <c r="E22" s="1">
        <f t="shared" si="3"/>
        <v>599918.84990775795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26560654.800000004</v>
      </c>
    </row>
    <row r="27" spans="1:11" x14ac:dyDescent="0.25">
      <c r="A27" t="s">
        <v>9</v>
      </c>
      <c r="B27" s="1">
        <f>B9</f>
        <v>13304874.16</v>
      </c>
    </row>
    <row r="28" spans="1:11" x14ac:dyDescent="0.25">
      <c r="A28" t="s">
        <v>10</v>
      </c>
      <c r="B28" s="1">
        <f>+B22-B27</f>
        <v>11333464.464571338</v>
      </c>
    </row>
    <row r="29" spans="1:11" x14ac:dyDescent="0.25">
      <c r="A29" s="29" t="s">
        <v>164</v>
      </c>
      <c r="B29" s="1">
        <v>2123</v>
      </c>
    </row>
    <row r="30" spans="1:11" x14ac:dyDescent="0.25">
      <c r="A30" t="s">
        <v>11</v>
      </c>
      <c r="B30" s="1">
        <f>+B28/B29</f>
        <v>5338.4194369153738</v>
      </c>
    </row>
  </sheetData>
  <phoneticPr fontId="0" type="noConversion"/>
  <pageMargins left="0.51" right="0.55000000000000004" top="1" bottom="0.62" header="0.5" footer="0.5"/>
  <pageSetup scale="10" orientation="landscape" horizontalDpi="4294967294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4.179687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107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Table'!B39</f>
        <v>3797822.33</v>
      </c>
      <c r="C9" s="1">
        <f>'Master Expend Table'!C39</f>
        <v>0</v>
      </c>
      <c r="D9" s="1">
        <f>'Master Expend Table'!D39</f>
        <v>607456.37</v>
      </c>
      <c r="E9" s="1">
        <f>'Master Expend Table'!E39</f>
        <v>0</v>
      </c>
      <c r="G9" s="1">
        <f>'Master Expend Table'!G39</f>
        <v>1170847.8500000001</v>
      </c>
      <c r="H9" s="1">
        <f>'Master Expend Table'!H39</f>
        <v>1177895.1499999999</v>
      </c>
      <c r="I9" s="1">
        <f>'Master Expend Table'!I39</f>
        <v>1363745.96</v>
      </c>
      <c r="J9" s="1">
        <f>'Master Expend Table'!J39</f>
        <v>713964.93</v>
      </c>
      <c r="K9" s="1">
        <f>SUM(B9:J9)</f>
        <v>8831732.5900000017</v>
      </c>
    </row>
    <row r="11" spans="1:11" x14ac:dyDescent="0.25">
      <c r="A11" t="s">
        <v>3</v>
      </c>
      <c r="B11" s="1">
        <f>(B9/($K9-$J9))*-$J$11</f>
        <v>334021.87246030226</v>
      </c>
      <c r="C11" s="1">
        <f t="shared" ref="C11:I11" si="0">(C9/($K9-$J9))*-$J$11</f>
        <v>0</v>
      </c>
      <c r="D11" s="1">
        <f t="shared" si="0"/>
        <v>53426.331332708287</v>
      </c>
      <c r="E11" s="1">
        <f t="shared" si="0"/>
        <v>0</v>
      </c>
      <c r="G11" s="1">
        <f t="shared" si="0"/>
        <v>102977.11615780593</v>
      </c>
      <c r="H11" s="1">
        <f t="shared" si="0"/>
        <v>103596.93249918528</v>
      </c>
      <c r="I11" s="1">
        <f t="shared" si="0"/>
        <v>119942.6775499981</v>
      </c>
      <c r="J11" s="1">
        <f>-J9</f>
        <v>-713964.93</v>
      </c>
      <c r="K11" s="1">
        <v>0</v>
      </c>
    </row>
    <row r="12" spans="1:11" x14ac:dyDescent="0.25">
      <c r="A12" t="s">
        <v>4</v>
      </c>
      <c r="B12" s="1">
        <f>+B9+B11</f>
        <v>4131844.2024603025</v>
      </c>
      <c r="C12" s="1">
        <f t="shared" ref="C12:J12" si="1">+C9+C11</f>
        <v>0</v>
      </c>
      <c r="D12" s="1">
        <f t="shared" si="1"/>
        <v>660882.70133270824</v>
      </c>
      <c r="E12" s="1">
        <f t="shared" si="1"/>
        <v>0</v>
      </c>
      <c r="G12" s="1">
        <f t="shared" si="1"/>
        <v>1273824.9661578061</v>
      </c>
      <c r="H12" s="1">
        <f t="shared" si="1"/>
        <v>1281492.0824991851</v>
      </c>
      <c r="I12" s="1">
        <f t="shared" si="1"/>
        <v>1483688.637549998</v>
      </c>
      <c r="J12" s="1">
        <f t="shared" si="1"/>
        <v>0</v>
      </c>
      <c r="K12" s="1">
        <f>SUM(B12:J12)</f>
        <v>8831732.5899999999</v>
      </c>
    </row>
    <row r="14" spans="1:11" x14ac:dyDescent="0.25">
      <c r="A14" t="s">
        <v>5</v>
      </c>
      <c r="B14" s="1">
        <f>B$9/($K$9-$J$9-$I$9)*-I14</f>
        <v>834286.01339179254</v>
      </c>
      <c r="C14" s="1">
        <f t="shared" ref="C14:H14" si="2">C$9/($K$9-$J$9-$I$9)*-$I$14</f>
        <v>0</v>
      </c>
      <c r="D14" s="1">
        <f t="shared" si="2"/>
        <v>133442.88099879323</v>
      </c>
      <c r="E14" s="1">
        <f t="shared" si="2"/>
        <v>0</v>
      </c>
      <c r="G14" s="1">
        <f t="shared" si="2"/>
        <v>257205.81432908989</v>
      </c>
      <c r="H14" s="1">
        <f t="shared" si="2"/>
        <v>258753.92883032191</v>
      </c>
      <c r="I14" s="1">
        <f>-I12</f>
        <v>-1483688.637549998</v>
      </c>
      <c r="K14" s="1">
        <v>0</v>
      </c>
    </row>
    <row r="15" spans="1:11" x14ac:dyDescent="0.25">
      <c r="A15" t="s">
        <v>4</v>
      </c>
      <c r="B15" s="1">
        <f>+B12+B14</f>
        <v>4966130.2158520948</v>
      </c>
      <c r="C15" s="1">
        <f>+C12+C14</f>
        <v>0</v>
      </c>
      <c r="D15" s="1">
        <f>+D12+D14</f>
        <v>794325.58233150141</v>
      </c>
      <c r="E15" s="1">
        <f>+E12+E14</f>
        <v>0</v>
      </c>
      <c r="G15" s="1">
        <f>+G12+G14</f>
        <v>1531030.7804868959</v>
      </c>
      <c r="H15" s="1">
        <f>+H12+H14</f>
        <v>1540246.011329507</v>
      </c>
      <c r="I15" s="1">
        <f>+I12+I14</f>
        <v>0</v>
      </c>
      <c r="J15" s="1">
        <f>+J12+J14</f>
        <v>0</v>
      </c>
      <c r="K15" s="1">
        <f>SUM(B15:J15)</f>
        <v>8831732.589999998</v>
      </c>
    </row>
    <row r="17" spans="1:11" x14ac:dyDescent="0.25">
      <c r="A17" t="s">
        <v>6</v>
      </c>
      <c r="B17" s="1">
        <f>B$9/($K$9-$J$9-$I$9-$H$9)*-$H$17</f>
        <v>1049040.1613142428</v>
      </c>
      <c r="C17" s="1">
        <f>C$9/($K$9-$J$9-$I$9-$H$9)*-$H$17</f>
        <v>0</v>
      </c>
      <c r="D17" s="1">
        <f>D$9/($K$9-$J$9-$I$9-$H$9)*-$H$17</f>
        <v>167792.50660105638</v>
      </c>
      <c r="E17" s="1">
        <f>E$9/($K$9-$J$9-$I$9-$H$9)*-$H$17</f>
        <v>0</v>
      </c>
      <c r="G17" s="1">
        <f>G$9/($K$9-$J$9-$I$9-$H$9)*-$H$17</f>
        <v>323413.34341420716</v>
      </c>
      <c r="H17" s="1">
        <f>-H15</f>
        <v>-1540246.011329507</v>
      </c>
      <c r="K17" s="1">
        <v>0</v>
      </c>
    </row>
    <row r="18" spans="1:11" x14ac:dyDescent="0.25">
      <c r="A18" t="s">
        <v>4</v>
      </c>
      <c r="B18" s="1">
        <f>+B15+B17</f>
        <v>6015170.3771663373</v>
      </c>
      <c r="C18" s="1">
        <f>+C15+C17</f>
        <v>0</v>
      </c>
      <c r="D18" s="1">
        <f>+D15+D17</f>
        <v>962118.08893255773</v>
      </c>
      <c r="E18" s="1">
        <f>+E15+E17</f>
        <v>0</v>
      </c>
      <c r="G18" s="1">
        <f>+G15+G17</f>
        <v>1854444.1239011032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8831732.589999998</v>
      </c>
    </row>
    <row r="20" spans="1:11" x14ac:dyDescent="0.25">
      <c r="A20" t="s">
        <v>7</v>
      </c>
      <c r="B20" s="1">
        <f>B$9/($K$9-$J$9-$I$9-$H$9-$G$9)*-$G$20</f>
        <v>1598729.5658476481</v>
      </c>
      <c r="C20" s="1">
        <f>C$9/($K$9-$J$9-$I$9-$H$9-$G$9)*-$G$20</f>
        <v>0</v>
      </c>
      <c r="D20" s="1">
        <f>D$9/($K$9-$J$9-$I$9-$H$9-$G$9)*-$G$20</f>
        <v>255714.5580534538</v>
      </c>
      <c r="E20" s="1">
        <f>E$9/($K$9-$J$9-$I$9-$H$9-$G$9)*-$G$20</f>
        <v>0</v>
      </c>
      <c r="G20" s="1">
        <f>-G18</f>
        <v>-1854444.1239011032</v>
      </c>
      <c r="K20" s="1">
        <f>SUM(B20:J20)</f>
        <v>0</v>
      </c>
    </row>
    <row r="22" spans="1:11" x14ac:dyDescent="0.25">
      <c r="A22" t="s">
        <v>8</v>
      </c>
      <c r="B22" s="1">
        <f>+B20+B18</f>
        <v>7613899.9430139856</v>
      </c>
      <c r="C22" s="1">
        <f t="shared" ref="C22:K22" si="3">+C20+C18</f>
        <v>0</v>
      </c>
      <c r="D22" s="1">
        <f t="shared" si="3"/>
        <v>1217832.6469860114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8831732.589999998</v>
      </c>
    </row>
    <row r="27" spans="1:11" x14ac:dyDescent="0.25">
      <c r="A27" t="s">
        <v>9</v>
      </c>
      <c r="B27" s="1">
        <f>+B9</f>
        <v>3797822.33</v>
      </c>
    </row>
    <row r="28" spans="1:11" x14ac:dyDescent="0.25">
      <c r="A28" t="s">
        <v>10</v>
      </c>
      <c r="B28" s="1">
        <f>+B22-B27</f>
        <v>3816077.6130139856</v>
      </c>
    </row>
    <row r="29" spans="1:11" x14ac:dyDescent="0.25">
      <c r="A29" s="29" t="s">
        <v>164</v>
      </c>
      <c r="B29" s="1">
        <v>820</v>
      </c>
    </row>
    <row r="30" spans="1:11" x14ac:dyDescent="0.25">
      <c r="A30" t="s">
        <v>11</v>
      </c>
      <c r="B30" s="1">
        <f>+B28/B29</f>
        <v>4653.753186602421</v>
      </c>
    </row>
  </sheetData>
  <phoneticPr fontId="0" type="noConversion"/>
  <pageMargins left="0.56000000000000005" right="0.55000000000000004" top="1" bottom="0.55000000000000004" header="0.5" footer="0.5"/>
  <pageSetup scale="10" orientation="landscape" horizontalDpi="4294967294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4.4531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31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Table'!B40</f>
        <v>16591977.66</v>
      </c>
      <c r="C9" s="1">
        <f>'Master Expend Table'!C40</f>
        <v>29678.69</v>
      </c>
      <c r="D9" s="1">
        <f>'Master Expend Table'!D40</f>
        <v>2137026.08</v>
      </c>
      <c r="E9" s="1">
        <f>'Master Expend Table'!E40</f>
        <v>4.32</v>
      </c>
      <c r="G9" s="1">
        <f>'Master Expend Table'!G40</f>
        <v>3579046.76</v>
      </c>
      <c r="H9" s="1">
        <f>'Master Expend Table'!H40</f>
        <v>3283153.52</v>
      </c>
      <c r="I9" s="1">
        <f>'Master Expend Table'!I40</f>
        <v>4016855.04</v>
      </c>
      <c r="J9" s="1">
        <f>'Master Expend Table'!J40</f>
        <v>3390073.31</v>
      </c>
      <c r="K9" s="1">
        <f>SUM(B9:J9)</f>
        <v>33027815.379999995</v>
      </c>
    </row>
    <row r="11" spans="1:11" x14ac:dyDescent="0.25">
      <c r="A11" t="s">
        <v>3</v>
      </c>
      <c r="B11" s="1">
        <f>(B9/($K9-$J9))*-$J$11</f>
        <v>1897851.0742293622</v>
      </c>
      <c r="C11" s="1">
        <f t="shared" ref="C11:I11" si="0">(C9/($K9-$J9))*-$J$11</f>
        <v>3394.7570839617579</v>
      </c>
      <c r="D11" s="1">
        <f t="shared" si="0"/>
        <v>244440.85718375799</v>
      </c>
      <c r="E11" s="1">
        <f t="shared" si="0"/>
        <v>0.49413739631751924</v>
      </c>
      <c r="G11" s="1">
        <f t="shared" si="0"/>
        <v>409384.45539005852</v>
      </c>
      <c r="H11" s="1">
        <f t="shared" si="0"/>
        <v>375539.10464895796</v>
      </c>
      <c r="I11" s="1">
        <f t="shared" si="0"/>
        <v>459462.56732650573</v>
      </c>
      <c r="J11" s="1">
        <f>-J9</f>
        <v>-3390073.31</v>
      </c>
      <c r="K11" s="1">
        <v>0</v>
      </c>
    </row>
    <row r="12" spans="1:11" x14ac:dyDescent="0.25">
      <c r="A12" t="s">
        <v>4</v>
      </c>
      <c r="B12" s="1">
        <f>+B9+B11</f>
        <v>18489828.734229364</v>
      </c>
      <c r="C12" s="1">
        <f t="shared" ref="C12:J12" si="1">+C9+C11</f>
        <v>33073.447083961757</v>
      </c>
      <c r="D12" s="1">
        <f t="shared" si="1"/>
        <v>2381466.9371837582</v>
      </c>
      <c r="E12" s="1">
        <f t="shared" si="1"/>
        <v>4.8141373963175198</v>
      </c>
      <c r="G12" s="1">
        <f t="shared" si="1"/>
        <v>3988431.2153900582</v>
      </c>
      <c r="H12" s="1">
        <f t="shared" si="1"/>
        <v>3658692.624648958</v>
      </c>
      <c r="I12" s="1">
        <f t="shared" si="1"/>
        <v>4476317.6073265057</v>
      </c>
      <c r="J12" s="1">
        <f t="shared" si="1"/>
        <v>0</v>
      </c>
      <c r="K12" s="1">
        <f>SUM(B12:J12)</f>
        <v>33027815.380000003</v>
      </c>
    </row>
    <row r="14" spans="1:11" x14ac:dyDescent="0.25">
      <c r="A14" t="s">
        <v>5</v>
      </c>
      <c r="B14" s="1">
        <f>B$9/($K$9-$J$9-$I$9)*-I14</f>
        <v>2898844.2770486716</v>
      </c>
      <c r="C14" s="1">
        <f t="shared" ref="C14:H14" si="2">C$9/($K$9-$J$9-$I$9)*-$I$14</f>
        <v>5185.2710038425666</v>
      </c>
      <c r="D14" s="1">
        <f t="shared" si="2"/>
        <v>373367.5363393515</v>
      </c>
      <c r="E14" s="1">
        <f t="shared" si="2"/>
        <v>0.754762785574427</v>
      </c>
      <c r="G14" s="1">
        <f t="shared" si="2"/>
        <v>625308.17182377947</v>
      </c>
      <c r="H14" s="1">
        <f t="shared" si="2"/>
        <v>573611.59634807531</v>
      </c>
      <c r="I14" s="1">
        <f>-I12</f>
        <v>-4476317.6073265057</v>
      </c>
      <c r="K14" s="1">
        <v>0</v>
      </c>
    </row>
    <row r="15" spans="1:11" x14ac:dyDescent="0.25">
      <c r="A15" t="s">
        <v>4</v>
      </c>
      <c r="B15" s="1">
        <f>+B12+B14</f>
        <v>21388673.011278033</v>
      </c>
      <c r="C15" s="1">
        <f>+C12+C14</f>
        <v>38258.718087804322</v>
      </c>
      <c r="D15" s="1">
        <f>+D12+D14</f>
        <v>2754834.4735231097</v>
      </c>
      <c r="E15" s="1">
        <f>+E12+E14</f>
        <v>5.568900181891947</v>
      </c>
      <c r="G15" s="1">
        <f>+G12+G14</f>
        <v>4613739.3872138374</v>
      </c>
      <c r="H15" s="1">
        <f>+H12+H14</f>
        <v>4232304.2209970336</v>
      </c>
      <c r="I15" s="1">
        <f>+I12+I14</f>
        <v>0</v>
      </c>
      <c r="J15" s="1">
        <f>+J12+J14</f>
        <v>0</v>
      </c>
      <c r="K15" s="1">
        <f>SUM(B15:J15)</f>
        <v>33027815.380000003</v>
      </c>
    </row>
    <row r="17" spans="1:11" x14ac:dyDescent="0.25">
      <c r="A17" t="s">
        <v>6</v>
      </c>
      <c r="B17" s="1">
        <f>B$9/($K$9-$J$9-$I$9-$H$9)*-$H$17</f>
        <v>3143662.5857171169</v>
      </c>
      <c r="C17" s="1">
        <f>C$9/($K$9-$J$9-$I$9-$H$9)*-$H$17</f>
        <v>5623.1866542964435</v>
      </c>
      <c r="D17" s="1">
        <f>D$9/($K$9-$J$9-$I$9-$H$9)*-$H$17</f>
        <v>404899.82990958984</v>
      </c>
      <c r="E17" s="1">
        <f>E$9/($K$9-$J$9-$I$9-$H$9)*-$H$17</f>
        <v>0.81850534328033486</v>
      </c>
      <c r="G17" s="1">
        <f>G$9/($K$9-$J$9-$I$9-$H$9)*-$H$17</f>
        <v>678117.80021068733</v>
      </c>
      <c r="H17" s="1">
        <f>-H15</f>
        <v>-4232304.2209970336</v>
      </c>
      <c r="K17" s="1">
        <v>0</v>
      </c>
    </row>
    <row r="18" spans="1:11" x14ac:dyDescent="0.25">
      <c r="A18" t="s">
        <v>4</v>
      </c>
      <c r="B18" s="1">
        <f>+B15+B17</f>
        <v>24532335.596995149</v>
      </c>
      <c r="C18" s="1">
        <f>+C15+C17</f>
        <v>43881.904742100764</v>
      </c>
      <c r="D18" s="1">
        <f>+D15+D17</f>
        <v>3159734.3034326993</v>
      </c>
      <c r="E18" s="1">
        <f>+E15+E17</f>
        <v>6.3874055251722819</v>
      </c>
      <c r="G18" s="1">
        <f>+G15+G17</f>
        <v>5291857.1874245247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33027815.379999999</v>
      </c>
    </row>
    <row r="20" spans="1:11" x14ac:dyDescent="0.25">
      <c r="A20" t="s">
        <v>7</v>
      </c>
      <c r="B20" s="1">
        <f>B$9/($K$9-$J$9-$I$9-$H$9-$G$9)*-$G$20</f>
        <v>4680624.8968179049</v>
      </c>
      <c r="C20" s="1">
        <f>C$9/($K$9-$J$9-$I$9-$H$9-$G$9)*-$G$20</f>
        <v>8372.4085317350036</v>
      </c>
      <c r="D20" s="1">
        <f>D$9/($K$9-$J$9-$I$9-$H$9-$G$9)*-$G$20</f>
        <v>602858.66339559492</v>
      </c>
      <c r="E20" s="1">
        <f>E$9/($K$9-$J$9-$I$9-$H$9-$G$9)*-$G$20</f>
        <v>1.218679289992086</v>
      </c>
      <c r="G20" s="1">
        <f>-G18</f>
        <v>-5291857.1874245247</v>
      </c>
      <c r="K20" s="1">
        <f>SUM(B20:J20)</f>
        <v>0</v>
      </c>
    </row>
    <row r="22" spans="1:11" x14ac:dyDescent="0.25">
      <c r="A22" t="s">
        <v>8</v>
      </c>
      <c r="B22" s="1">
        <f>+B20+B18</f>
        <v>29212960.493813053</v>
      </c>
      <c r="C22" s="1">
        <f t="shared" ref="C22:K22" si="3">+C20+C18</f>
        <v>52254.313273835767</v>
      </c>
      <c r="D22" s="1">
        <f t="shared" si="3"/>
        <v>3762592.9668282941</v>
      </c>
      <c r="E22" s="1">
        <f t="shared" si="3"/>
        <v>7.6060848151643681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33027815.379999999</v>
      </c>
    </row>
    <row r="27" spans="1:11" x14ac:dyDescent="0.25">
      <c r="A27" t="s">
        <v>9</v>
      </c>
      <c r="B27" s="1">
        <f>+B9</f>
        <v>16591977.66</v>
      </c>
    </row>
    <row r="28" spans="1:11" x14ac:dyDescent="0.25">
      <c r="A28" t="s">
        <v>10</v>
      </c>
      <c r="B28" s="1">
        <f>+B22-B27</f>
        <v>12620982.833813053</v>
      </c>
    </row>
    <row r="29" spans="1:11" x14ac:dyDescent="0.25">
      <c r="A29" s="29" t="s">
        <v>164</v>
      </c>
      <c r="B29" s="1">
        <v>2490</v>
      </c>
    </row>
    <row r="30" spans="1:11" x14ac:dyDescent="0.25">
      <c r="A30" t="s">
        <v>11</v>
      </c>
      <c r="B30" s="1">
        <f>+B28/B29</f>
        <v>5068.6678047441983</v>
      </c>
    </row>
  </sheetData>
  <phoneticPr fontId="0" type="noConversion"/>
  <pageMargins left="0.59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5.269531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108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Table'!B41</f>
        <v>10647426.880000001</v>
      </c>
      <c r="C9" s="1">
        <f>'Master Expend Table'!C41</f>
        <v>0</v>
      </c>
      <c r="D9" s="1">
        <f>'Master Expend Table'!D41</f>
        <v>854017.97</v>
      </c>
      <c r="E9" s="1">
        <f>'Master Expend Table'!E41</f>
        <v>53967.41</v>
      </c>
      <c r="G9" s="1">
        <f>'Master Expend Table'!G41</f>
        <v>3344955.86</v>
      </c>
      <c r="H9" s="1">
        <f>'Master Expend Table'!H41</f>
        <v>3227441.33</v>
      </c>
      <c r="I9" s="1">
        <f>'Master Expend Table'!I41</f>
        <v>3852457.32</v>
      </c>
      <c r="J9" s="1">
        <f>'Master Expend Table'!J41</f>
        <v>2521462.63</v>
      </c>
      <c r="K9" s="1">
        <f>SUM(B9:J9)</f>
        <v>24501729.400000002</v>
      </c>
    </row>
    <row r="11" spans="1:11" x14ac:dyDescent="0.25">
      <c r="A11" t="s">
        <v>3</v>
      </c>
      <c r="B11" s="1">
        <f>(B9/($K9-$J9))*-$J$11</f>
        <v>1221417.7955392255</v>
      </c>
      <c r="C11" s="1">
        <f t="shared" ref="C11:I11" si="0">(C9/($K9-$J9))*-$J$11</f>
        <v>0</v>
      </c>
      <c r="D11" s="1">
        <f t="shared" si="0"/>
        <v>97968.528736990411</v>
      </c>
      <c r="E11" s="1">
        <f t="shared" si="0"/>
        <v>6190.8624211337665</v>
      </c>
      <c r="G11" s="1">
        <f t="shared" si="0"/>
        <v>383716.05259591254</v>
      </c>
      <c r="H11" s="1">
        <f t="shared" si="0"/>
        <v>370235.3929215981</v>
      </c>
      <c r="I11" s="1">
        <f t="shared" si="0"/>
        <v>441933.99778513925</v>
      </c>
      <c r="J11" s="1">
        <f>-J9</f>
        <v>-2521462.63</v>
      </c>
      <c r="K11" s="1">
        <v>0</v>
      </c>
    </row>
    <row r="12" spans="1:11" x14ac:dyDescent="0.25">
      <c r="A12" t="s">
        <v>4</v>
      </c>
      <c r="B12" s="1">
        <f>+B9+B11</f>
        <v>11868844.675539225</v>
      </c>
      <c r="C12" s="1">
        <f t="shared" ref="C12:J12" si="1">+C9+C11</f>
        <v>0</v>
      </c>
      <c r="D12" s="1">
        <f t="shared" si="1"/>
        <v>951986.49873699038</v>
      </c>
      <c r="E12" s="1">
        <f t="shared" si="1"/>
        <v>60158.27242113377</v>
      </c>
      <c r="G12" s="1">
        <f t="shared" si="1"/>
        <v>3728671.9125959123</v>
      </c>
      <c r="H12" s="1">
        <f t="shared" si="1"/>
        <v>3597676.7229215982</v>
      </c>
      <c r="I12" s="1">
        <f t="shared" si="1"/>
        <v>4294391.3177851392</v>
      </c>
      <c r="J12" s="1">
        <f t="shared" si="1"/>
        <v>0</v>
      </c>
      <c r="K12" s="1">
        <f>SUM(B12:J12)</f>
        <v>24501729.400000002</v>
      </c>
    </row>
    <row r="14" spans="1:11" x14ac:dyDescent="0.25">
      <c r="A14" t="s">
        <v>5</v>
      </c>
      <c r="B14" s="1">
        <f>B$9/($K$9-$J$9-$I$9)*-I14</f>
        <v>2522324.480315194</v>
      </c>
      <c r="C14" s="1">
        <f t="shared" ref="C14:H14" si="2">C$9/($K$9-$J$9-$I$9)*-$I$14</f>
        <v>0</v>
      </c>
      <c r="D14" s="1">
        <f t="shared" si="2"/>
        <v>202312.77064755821</v>
      </c>
      <c r="E14" s="1">
        <f t="shared" si="2"/>
        <v>12784.621196873342</v>
      </c>
      <c r="G14" s="1">
        <f t="shared" si="2"/>
        <v>792404.03773984511</v>
      </c>
      <c r="H14" s="1">
        <f t="shared" si="2"/>
        <v>764565.4078856681</v>
      </c>
      <c r="I14" s="1">
        <f>-I12</f>
        <v>-4294391.3177851392</v>
      </c>
      <c r="K14" s="1">
        <v>0</v>
      </c>
    </row>
    <row r="15" spans="1:11" x14ac:dyDescent="0.25">
      <c r="A15" t="s">
        <v>4</v>
      </c>
      <c r="B15" s="1">
        <f>+B12+B14</f>
        <v>14391169.155854419</v>
      </c>
      <c r="C15" s="1">
        <f>+C12+C14</f>
        <v>0</v>
      </c>
      <c r="D15" s="1">
        <f>+D12+D14</f>
        <v>1154299.2693845485</v>
      </c>
      <c r="E15" s="1">
        <f>+E12+E14</f>
        <v>72942.893618007118</v>
      </c>
      <c r="G15" s="1">
        <f>+G12+G14</f>
        <v>4521075.9503357578</v>
      </c>
      <c r="H15" s="1">
        <f>+H12+H14</f>
        <v>4362242.1308072666</v>
      </c>
      <c r="I15" s="1">
        <f>+I12+I14</f>
        <v>0</v>
      </c>
      <c r="J15" s="1">
        <f>+J12+J14</f>
        <v>0</v>
      </c>
      <c r="K15" s="1">
        <f>SUM(B15:J15)</f>
        <v>24501729.399999999</v>
      </c>
    </row>
    <row r="17" spans="1:11" x14ac:dyDescent="0.25">
      <c r="A17" t="s">
        <v>6</v>
      </c>
      <c r="B17" s="1">
        <f>B$9/($K$9-$J$9-$I$9-$H$9)*-$H$17</f>
        <v>3117148.0963804373</v>
      </c>
      <c r="C17" s="1">
        <f>C$9/($K$9-$J$9-$I$9-$H$9)*-$H$17</f>
        <v>0</v>
      </c>
      <c r="D17" s="1">
        <f>D$9/($K$9-$J$9-$I$9-$H$9)*-$H$17</f>
        <v>250022.89468271844</v>
      </c>
      <c r="E17" s="1">
        <f>E$9/($K$9-$J$9-$I$9-$H$9)*-$H$17</f>
        <v>15799.536474307546</v>
      </c>
      <c r="G17" s="1">
        <f>G$9/($K$9-$J$9-$I$9-$H$9)*-$H$17</f>
        <v>979271.60326980229</v>
      </c>
      <c r="H17" s="1">
        <f>-H15</f>
        <v>-4362242.1308072666</v>
      </c>
      <c r="K17" s="1">
        <v>0</v>
      </c>
    </row>
    <row r="18" spans="1:11" x14ac:dyDescent="0.25">
      <c r="A18" t="s">
        <v>4</v>
      </c>
      <c r="B18" s="1">
        <f>+B15+B17</f>
        <v>17508317.252234858</v>
      </c>
      <c r="C18" s="1">
        <f>+C15+C17</f>
        <v>0</v>
      </c>
      <c r="D18" s="1">
        <f>+D15+D17</f>
        <v>1404322.164067267</v>
      </c>
      <c r="E18" s="1">
        <f>+E15+E17</f>
        <v>88742.430092314666</v>
      </c>
      <c r="G18" s="1">
        <f>+G15+G17</f>
        <v>5500347.5536055602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24501729.400000002</v>
      </c>
    </row>
    <row r="20" spans="1:11" x14ac:dyDescent="0.25">
      <c r="A20" t="s">
        <v>7</v>
      </c>
      <c r="B20" s="1">
        <f>B$9/($K$9-$J$9-$I$9-$H$9-$G$9)*-$G$20</f>
        <v>5068148.7664726619</v>
      </c>
      <c r="C20" s="1">
        <f>C$9/($K$9-$J$9-$I$9-$H$9-$G$9)*-$G$20</f>
        <v>0</v>
      </c>
      <c r="D20" s="1">
        <f>D$9/($K$9-$J$9-$I$9-$H$9-$G$9)*-$G$20</f>
        <v>406510.4339275806</v>
      </c>
      <c r="E20" s="1">
        <f>E$9/($K$9-$J$9-$I$9-$H$9-$G$9)*-$G$20</f>
        <v>25688.353205316813</v>
      </c>
      <c r="G20" s="1">
        <f>-G18</f>
        <v>-5500347.5536055602</v>
      </c>
      <c r="K20" s="1">
        <f>SUM(B20:J20)</f>
        <v>0</v>
      </c>
    </row>
    <row r="22" spans="1:11" x14ac:dyDescent="0.25">
      <c r="A22" t="s">
        <v>8</v>
      </c>
      <c r="B22" s="1">
        <f>+B20+B18</f>
        <v>22576466.018707521</v>
      </c>
      <c r="C22" s="1">
        <f t="shared" ref="C22:K22" si="3">+C20+C18</f>
        <v>0</v>
      </c>
      <c r="D22" s="1">
        <f t="shared" si="3"/>
        <v>1810832.5979948477</v>
      </c>
      <c r="E22" s="1">
        <f t="shared" si="3"/>
        <v>114430.78329763148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24501729.400000002</v>
      </c>
    </row>
    <row r="27" spans="1:11" x14ac:dyDescent="0.25">
      <c r="A27" t="s">
        <v>9</v>
      </c>
      <c r="B27" s="1">
        <f>+B9</f>
        <v>10647426.880000001</v>
      </c>
    </row>
    <row r="28" spans="1:11" x14ac:dyDescent="0.25">
      <c r="A28" t="s">
        <v>10</v>
      </c>
      <c r="B28" s="1">
        <f>+B22-B27</f>
        <v>11929039.13870752</v>
      </c>
    </row>
    <row r="29" spans="1:11" x14ac:dyDescent="0.25">
      <c r="A29" s="29" t="s">
        <v>164</v>
      </c>
      <c r="B29" s="1">
        <v>2066</v>
      </c>
    </row>
    <row r="30" spans="1:11" x14ac:dyDescent="0.25">
      <c r="A30" t="s">
        <v>11</v>
      </c>
      <c r="B30" s="1">
        <f>+B28/B29</f>
        <v>5773.9782859184515</v>
      </c>
    </row>
  </sheetData>
  <phoneticPr fontId="0" type="noConversion"/>
  <pageMargins left="0.51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4.5429687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109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Table'!B42</f>
        <v>18732884.41</v>
      </c>
      <c r="C9" s="1">
        <f>'Master Expend Table'!C42</f>
        <v>0</v>
      </c>
      <c r="D9" s="1">
        <f>'Master Expend Table'!D42</f>
        <v>1082208.17</v>
      </c>
      <c r="E9" s="1">
        <f>'Master Expend Table'!E42</f>
        <v>166219.95000000001</v>
      </c>
      <c r="G9" s="1">
        <f>'Master Expend Table'!G42</f>
        <v>6387034.1900000004</v>
      </c>
      <c r="H9" s="1">
        <f>'Master Expend Table'!H42</f>
        <v>3525602.41</v>
      </c>
      <c r="I9" s="1">
        <f>'Master Expend Table'!I42</f>
        <v>5439862.0300000003</v>
      </c>
      <c r="J9" s="1">
        <f>'Master Expend Table'!J42</f>
        <v>5203851.6399999997</v>
      </c>
      <c r="K9" s="1">
        <f>SUM(B9:J9)</f>
        <v>40537662.799999997</v>
      </c>
    </row>
    <row r="11" spans="1:11" x14ac:dyDescent="0.25">
      <c r="A11" t="s">
        <v>3</v>
      </c>
      <c r="B11" s="1">
        <f>(B9/($K9-$J9))*-$J$11</f>
        <v>2758919.8011355684</v>
      </c>
      <c r="C11" s="1">
        <f t="shared" ref="C11:I11" si="0">(C9/($K9-$J9))*-$J$11</f>
        <v>0</v>
      </c>
      <c r="D11" s="1">
        <f t="shared" si="0"/>
        <v>159384.18685644833</v>
      </c>
      <c r="E11" s="1">
        <f t="shared" si="0"/>
        <v>24480.347039026234</v>
      </c>
      <c r="G11" s="1">
        <f t="shared" si="0"/>
        <v>940662.13785605051</v>
      </c>
      <c r="H11" s="1">
        <f t="shared" si="0"/>
        <v>519239.54085190885</v>
      </c>
      <c r="I11" s="1">
        <f t="shared" si="0"/>
        <v>801165.62626099773</v>
      </c>
      <c r="J11" s="1">
        <f>-J9</f>
        <v>-5203851.6399999997</v>
      </c>
      <c r="K11" s="1">
        <v>0</v>
      </c>
    </row>
    <row r="12" spans="1:11" x14ac:dyDescent="0.25">
      <c r="A12" t="s">
        <v>4</v>
      </c>
      <c r="B12" s="1">
        <f>+B9+B11</f>
        <v>21491804.21113557</v>
      </c>
      <c r="C12" s="1">
        <f t="shared" ref="C12:J12" si="1">+C9+C11</f>
        <v>0</v>
      </c>
      <c r="D12" s="1">
        <f t="shared" si="1"/>
        <v>1241592.3568564483</v>
      </c>
      <c r="E12" s="1">
        <f t="shared" si="1"/>
        <v>190700.29703902625</v>
      </c>
      <c r="G12" s="1">
        <f t="shared" si="1"/>
        <v>7327696.3278560508</v>
      </c>
      <c r="H12" s="1">
        <f t="shared" si="1"/>
        <v>4044841.9508519089</v>
      </c>
      <c r="I12" s="1">
        <f t="shared" si="1"/>
        <v>6241027.656260998</v>
      </c>
      <c r="J12" s="1">
        <f t="shared" si="1"/>
        <v>0</v>
      </c>
      <c r="K12" s="1">
        <f>SUM(B12:J12)</f>
        <v>40537662.799999997</v>
      </c>
    </row>
    <row r="14" spans="1:11" x14ac:dyDescent="0.25">
      <c r="A14" t="s">
        <v>5</v>
      </c>
      <c r="B14" s="1">
        <f>B$9/($K$9-$J$9-$I$9)*-I14</f>
        <v>3910906.8251883555</v>
      </c>
      <c r="C14" s="1">
        <f t="shared" ref="C14:H14" si="2">C$9/($K$9-$J$9-$I$9)*-$I$14</f>
        <v>0</v>
      </c>
      <c r="D14" s="1">
        <f t="shared" si="2"/>
        <v>225935.05760747928</v>
      </c>
      <c r="E14" s="1">
        <f t="shared" si="2"/>
        <v>34702.116487221057</v>
      </c>
      <c r="G14" s="1">
        <f t="shared" si="2"/>
        <v>1333435.6343461995</v>
      </c>
      <c r="H14" s="1">
        <f t="shared" si="2"/>
        <v>736048.02263174357</v>
      </c>
      <c r="I14" s="1">
        <f>-I12</f>
        <v>-6241027.656260998</v>
      </c>
      <c r="K14" s="1">
        <v>0</v>
      </c>
    </row>
    <row r="15" spans="1:11" x14ac:dyDescent="0.25">
      <c r="A15" t="s">
        <v>4</v>
      </c>
      <c r="B15" s="1">
        <f>+B12+B14</f>
        <v>25402711.036323927</v>
      </c>
      <c r="C15" s="1">
        <f>+C12+C14</f>
        <v>0</v>
      </c>
      <c r="D15" s="1">
        <f>+D12+D14</f>
        <v>1467527.4144639275</v>
      </c>
      <c r="E15" s="1">
        <f>+E12+E14</f>
        <v>225402.41352624731</v>
      </c>
      <c r="G15" s="1">
        <f>+G12+G14</f>
        <v>8661131.962202251</v>
      </c>
      <c r="H15" s="1">
        <f>+H12+H14</f>
        <v>4780889.9734836528</v>
      </c>
      <c r="I15" s="1">
        <f>+I12+I14</f>
        <v>0</v>
      </c>
      <c r="J15" s="1">
        <f>+J12+J14</f>
        <v>0</v>
      </c>
      <c r="K15" s="1">
        <f>SUM(B15:J15)</f>
        <v>40537662.800000004</v>
      </c>
    </row>
    <row r="17" spans="1:11" x14ac:dyDescent="0.25">
      <c r="A17" t="s">
        <v>6</v>
      </c>
      <c r="B17" s="1">
        <f>B$9/($K$9-$J$9-$I$9-$H$9)*-$H$17</f>
        <v>3396491.2628468825</v>
      </c>
      <c r="C17" s="1">
        <f>C$9/($K$9-$J$9-$I$9-$H$9)*-$H$17</f>
        <v>0</v>
      </c>
      <c r="D17" s="1">
        <f>D$9/($K$9-$J$9-$I$9-$H$9)*-$H$17</f>
        <v>196217.01140825613</v>
      </c>
      <c r="E17" s="1">
        <f>E$9/($K$9-$J$9-$I$9-$H$9)*-$H$17</f>
        <v>30137.622991175322</v>
      </c>
      <c r="G17" s="1">
        <f>G$9/($K$9-$J$9-$I$9-$H$9)*-$H$17</f>
        <v>1158044.07623734</v>
      </c>
      <c r="H17" s="1">
        <f>-H15</f>
        <v>-4780889.9734836528</v>
      </c>
      <c r="K17" s="1">
        <v>0</v>
      </c>
    </row>
    <row r="18" spans="1:11" x14ac:dyDescent="0.25">
      <c r="A18" t="s">
        <v>4</v>
      </c>
      <c r="B18" s="1">
        <f>+B15+B17</f>
        <v>28799202.299170811</v>
      </c>
      <c r="C18" s="1">
        <f>+C15+C17</f>
        <v>0</v>
      </c>
      <c r="D18" s="1">
        <f>+D15+D17</f>
        <v>1663744.4258721836</v>
      </c>
      <c r="E18" s="1">
        <f>+E15+E17</f>
        <v>255540.03651742265</v>
      </c>
      <c r="G18" s="1">
        <f>+G15+G17</f>
        <v>9819176.0384395905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40537662.800000012</v>
      </c>
    </row>
    <row r="20" spans="1:11" x14ac:dyDescent="0.25">
      <c r="A20" t="s">
        <v>7</v>
      </c>
      <c r="B20" s="1">
        <f>B$9/($K$9-$J$9-$I$9-$H$9-$G$9)*-$G$20</f>
        <v>9205676.0262050014</v>
      </c>
      <c r="C20" s="1">
        <f>C$9/($K$9-$J$9-$I$9-$H$9-$G$9)*-$G$20</f>
        <v>0</v>
      </c>
      <c r="D20" s="1">
        <f>D$9/($K$9-$J$9-$I$9-$H$9-$G$9)*-$G$20</f>
        <v>531816.54185695085</v>
      </c>
      <c r="E20" s="1">
        <f>E$9/($K$9-$J$9-$I$9-$H$9-$G$9)*-$G$20</f>
        <v>81683.470377640275</v>
      </c>
      <c r="G20" s="1">
        <f>-G18</f>
        <v>-9819176.0384395905</v>
      </c>
      <c r="K20" s="1">
        <f>SUM(B20:J20)</f>
        <v>0</v>
      </c>
    </row>
    <row r="22" spans="1:11" x14ac:dyDescent="0.25">
      <c r="A22" t="s">
        <v>8</v>
      </c>
      <c r="B22" s="1">
        <f>+B20+B18</f>
        <v>38004878.32537581</v>
      </c>
      <c r="C22" s="1">
        <f t="shared" ref="C22:K22" si="3">+C20+C18</f>
        <v>0</v>
      </c>
      <c r="D22" s="1">
        <f t="shared" si="3"/>
        <v>2195560.9677291345</v>
      </c>
      <c r="E22" s="1">
        <f t="shared" si="3"/>
        <v>337223.50689506292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40537662.800000012</v>
      </c>
    </row>
    <row r="27" spans="1:11" x14ac:dyDescent="0.25">
      <c r="A27" t="s">
        <v>9</v>
      </c>
      <c r="B27" s="1">
        <f>+B9</f>
        <v>18732884.41</v>
      </c>
    </row>
    <row r="28" spans="1:11" x14ac:dyDescent="0.25">
      <c r="A28" t="s">
        <v>10</v>
      </c>
      <c r="B28" s="1">
        <f>+B22-B27</f>
        <v>19271993.91537581</v>
      </c>
    </row>
    <row r="29" spans="1:11" x14ac:dyDescent="0.25">
      <c r="A29" s="29" t="s">
        <v>164</v>
      </c>
      <c r="B29" s="1">
        <v>3498</v>
      </c>
    </row>
    <row r="30" spans="1:11" x14ac:dyDescent="0.25">
      <c r="A30" t="s">
        <v>11</v>
      </c>
      <c r="B30" s="1">
        <f>+B28/B29</f>
        <v>5509.432222806121</v>
      </c>
    </row>
  </sheetData>
  <phoneticPr fontId="0" type="noConversion"/>
  <pageMargins left="0.63" right="0.55000000000000004" top="1" bottom="0.53" header="0.5" footer="0.5"/>
  <pageSetup scale="10" orientation="landscape" horizontalDpi="4294967294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4.269531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55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Table'!B43</f>
        <v>21542113.149999999</v>
      </c>
      <c r="C9" s="1">
        <f>'Master Expend Table'!C43</f>
        <v>0</v>
      </c>
      <c r="D9" s="1">
        <f>'Master Expend Table'!D43</f>
        <v>964333.17</v>
      </c>
      <c r="E9" s="1">
        <f>'Master Expend Table'!E43</f>
        <v>0</v>
      </c>
      <c r="G9" s="1">
        <f>'Master Expend Table'!G43</f>
        <v>5186646.07</v>
      </c>
      <c r="H9" s="1">
        <f>'Master Expend Table'!H43</f>
        <v>5201246.0999999996</v>
      </c>
      <c r="I9" s="1">
        <f>'Master Expend Table'!I43</f>
        <v>6663606.0899999999</v>
      </c>
      <c r="J9" s="1">
        <f>'Master Expend Table'!J43</f>
        <v>5389544.5899999999</v>
      </c>
      <c r="K9" s="1">
        <f>SUM(B9:J9)</f>
        <v>44947489.170000002</v>
      </c>
    </row>
    <row r="11" spans="1:11" x14ac:dyDescent="0.25">
      <c r="A11" t="s">
        <v>3</v>
      </c>
      <c r="B11" s="1">
        <f>(B9/($K9-$J9))*-$J$11</f>
        <v>2934990.1926767486</v>
      </c>
      <c r="C11" s="1">
        <f t="shared" ref="C11:I11" si="0">(C9/($K9-$J9))*-$J$11</f>
        <v>0</v>
      </c>
      <c r="D11" s="1">
        <f t="shared" si="0"/>
        <v>131384.90066945361</v>
      </c>
      <c r="E11" s="1">
        <f t="shared" si="0"/>
        <v>0</v>
      </c>
      <c r="G11" s="1">
        <f t="shared" si="0"/>
        <v>706650.97905380768</v>
      </c>
      <c r="H11" s="1">
        <f t="shared" si="0"/>
        <v>708640.1499658908</v>
      </c>
      <c r="I11" s="1">
        <f t="shared" si="0"/>
        <v>907878.36763409898</v>
      </c>
      <c r="J11" s="1">
        <f>-J9</f>
        <v>-5389544.5899999999</v>
      </c>
      <c r="K11" s="1">
        <v>0</v>
      </c>
    </row>
    <row r="12" spans="1:11" x14ac:dyDescent="0.25">
      <c r="A12" t="s">
        <v>4</v>
      </c>
      <c r="B12" s="1">
        <f>+B9+B11</f>
        <v>24477103.342676748</v>
      </c>
      <c r="C12" s="1">
        <f t="shared" ref="C12:J12" si="1">+C9+C11</f>
        <v>0</v>
      </c>
      <c r="D12" s="1">
        <f t="shared" si="1"/>
        <v>1095718.0706694536</v>
      </c>
      <c r="E12" s="1">
        <f t="shared" si="1"/>
        <v>0</v>
      </c>
      <c r="G12" s="1">
        <f t="shared" si="1"/>
        <v>5893297.0490538077</v>
      </c>
      <c r="H12" s="1">
        <f t="shared" si="1"/>
        <v>5909886.2499658903</v>
      </c>
      <c r="I12" s="1">
        <f t="shared" si="1"/>
        <v>7571484.4576340988</v>
      </c>
      <c r="J12" s="1">
        <f t="shared" si="1"/>
        <v>0</v>
      </c>
      <c r="K12" s="1">
        <f>SUM(B12:J12)</f>
        <v>44947489.169999994</v>
      </c>
    </row>
    <row r="14" spans="1:11" x14ac:dyDescent="0.25">
      <c r="A14" t="s">
        <v>5</v>
      </c>
      <c r="B14" s="1">
        <f>B$9/($K$9-$J$9-$I$9)*-I14</f>
        <v>4958475.6036180779</v>
      </c>
      <c r="C14" s="1">
        <f t="shared" ref="C14:H14" si="2">C$9/($K$9-$J$9-$I$9)*-$I$14</f>
        <v>0</v>
      </c>
      <c r="D14" s="1">
        <f t="shared" si="2"/>
        <v>221966.26969275231</v>
      </c>
      <c r="E14" s="1">
        <f t="shared" si="2"/>
        <v>0</v>
      </c>
      <c r="G14" s="1">
        <f t="shared" si="2"/>
        <v>1193841.0045300773</v>
      </c>
      <c r="H14" s="1">
        <f t="shared" si="2"/>
        <v>1197201.579793191</v>
      </c>
      <c r="I14" s="1">
        <f>-I12</f>
        <v>-7571484.4576340988</v>
      </c>
      <c r="K14" s="1">
        <v>0</v>
      </c>
    </row>
    <row r="15" spans="1:11" x14ac:dyDescent="0.25">
      <c r="A15" t="s">
        <v>4</v>
      </c>
      <c r="B15" s="1">
        <f>+B12+B14</f>
        <v>29435578.946294826</v>
      </c>
      <c r="C15" s="1">
        <f>+C12+C14</f>
        <v>0</v>
      </c>
      <c r="D15" s="1">
        <f>+D12+D14</f>
        <v>1317684.3403622059</v>
      </c>
      <c r="E15" s="1">
        <f>+E12+E14</f>
        <v>0</v>
      </c>
      <c r="G15" s="1">
        <f>+G12+G14</f>
        <v>7087138.0535838846</v>
      </c>
      <c r="H15" s="1">
        <f>+H12+H14</f>
        <v>7107087.8297590818</v>
      </c>
      <c r="I15" s="1">
        <f>+I12+I14</f>
        <v>0</v>
      </c>
      <c r="J15" s="1">
        <f>+J12+J14</f>
        <v>0</v>
      </c>
      <c r="K15" s="1">
        <f>SUM(B15:J15)</f>
        <v>44947489.170000002</v>
      </c>
    </row>
    <row r="17" spans="1:11" x14ac:dyDescent="0.25">
      <c r="A17" t="s">
        <v>6</v>
      </c>
      <c r="B17" s="1">
        <f>B$9/($K$9-$J$9-$I$9-$H$9)*-$H$17</f>
        <v>5528515.4882501755</v>
      </c>
      <c r="C17" s="1">
        <f>C$9/($K$9-$J$9-$I$9-$H$9)*-$H$17</f>
        <v>0</v>
      </c>
      <c r="D17" s="1">
        <f>D$9/($K$9-$J$9-$I$9-$H$9)*-$H$17</f>
        <v>247484.11769336517</v>
      </c>
      <c r="E17" s="1">
        <f>E$9/($K$9-$J$9-$I$9-$H$9)*-$H$17</f>
        <v>0</v>
      </c>
      <c r="G17" s="1">
        <f>G$9/($K$9-$J$9-$I$9-$H$9)*-$H$17</f>
        <v>1331088.2238155408</v>
      </c>
      <c r="H17" s="1">
        <f>-H15</f>
        <v>-7107087.8297590818</v>
      </c>
      <c r="K17" s="1">
        <v>0</v>
      </c>
    </row>
    <row r="18" spans="1:11" x14ac:dyDescent="0.25">
      <c r="A18" t="s">
        <v>4</v>
      </c>
      <c r="B18" s="1">
        <f>+B15+B17</f>
        <v>34964094.434545003</v>
      </c>
      <c r="C18" s="1">
        <f>+C15+C17</f>
        <v>0</v>
      </c>
      <c r="D18" s="1">
        <f>+D15+D17</f>
        <v>1565168.458055571</v>
      </c>
      <c r="E18" s="1">
        <f>+E15+E17</f>
        <v>0</v>
      </c>
      <c r="G18" s="1">
        <f>+G15+G17</f>
        <v>8418226.2773994245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44947489.170000002</v>
      </c>
    </row>
    <row r="20" spans="1:11" x14ac:dyDescent="0.25">
      <c r="A20" t="s">
        <v>7</v>
      </c>
      <c r="B20" s="1">
        <f>B$9/($K$9-$J$9-$I$9-$H$9-$G$9)*-$G$20</f>
        <v>8057530.7363780066</v>
      </c>
      <c r="C20" s="1">
        <f>C$9/($K$9-$J$9-$I$9-$H$9-$G$9)*-$G$20</f>
        <v>0</v>
      </c>
      <c r="D20" s="1">
        <f>D$9/($K$9-$J$9-$I$9-$H$9-$G$9)*-$G$20</f>
        <v>360695.54102141736</v>
      </c>
      <c r="E20" s="1">
        <f>E$9/($K$9-$J$9-$I$9-$H$9-$G$9)*-$G$20</f>
        <v>0</v>
      </c>
      <c r="G20" s="1">
        <f>-G18</f>
        <v>-8418226.2773994245</v>
      </c>
      <c r="K20" s="1">
        <f>SUM(B20:J20)</f>
        <v>0</v>
      </c>
    </row>
    <row r="22" spans="1:11" x14ac:dyDescent="0.25">
      <c r="A22" t="s">
        <v>8</v>
      </c>
      <c r="B22" s="1">
        <f>+B20+B18</f>
        <v>43021625.17092301</v>
      </c>
      <c r="C22" s="1">
        <f t="shared" ref="C22:K22" si="3">+C20+C18</f>
        <v>0</v>
      </c>
      <c r="D22" s="1">
        <f t="shared" si="3"/>
        <v>1925863.9990769883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44947489.170000002</v>
      </c>
    </row>
    <row r="27" spans="1:11" x14ac:dyDescent="0.25">
      <c r="A27" t="s">
        <v>9</v>
      </c>
      <c r="B27" s="1">
        <f>+B9</f>
        <v>21542113.149999999</v>
      </c>
    </row>
    <row r="28" spans="1:11" x14ac:dyDescent="0.25">
      <c r="A28" t="s">
        <v>10</v>
      </c>
      <c r="B28" s="1">
        <f>+B22-B27</f>
        <v>21479512.020923011</v>
      </c>
    </row>
    <row r="29" spans="1:11" x14ac:dyDescent="0.25">
      <c r="A29" s="29" t="s">
        <v>164</v>
      </c>
      <c r="B29" s="1">
        <v>4509</v>
      </c>
    </row>
    <row r="30" spans="1:11" x14ac:dyDescent="0.25">
      <c r="A30" t="s">
        <v>11</v>
      </c>
      <c r="B30" s="1">
        <f>+B28/B29</f>
        <v>4763.6974985413644</v>
      </c>
    </row>
  </sheetData>
  <phoneticPr fontId="0" type="noConversion"/>
  <pageMargins left="0.56000000000000005" right="0.55000000000000004" top="1" bottom="0.53" header="0.5" footer="0.5"/>
  <pageSetup scale="10" orientation="landscape" horizontalDpi="4294967294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3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63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Table'!B44</f>
        <v>12581601.300000001</v>
      </c>
      <c r="C9" s="1">
        <f>'Master Expend Table'!C44</f>
        <v>0</v>
      </c>
      <c r="D9" s="1">
        <f>'Master Expend Table'!D44</f>
        <v>2071088.75</v>
      </c>
      <c r="E9" s="1">
        <f>'Master Expend Table'!E44</f>
        <v>155042.96</v>
      </c>
      <c r="G9" s="1">
        <f>'Master Expend Table'!G44</f>
        <v>3780573.56</v>
      </c>
      <c r="H9" s="1">
        <f>'Master Expend Table'!H44</f>
        <v>3829345.33</v>
      </c>
      <c r="I9" s="1">
        <f>'Master Expend Table'!I44</f>
        <v>4614290.62</v>
      </c>
      <c r="J9" s="1">
        <f>'Master Expend Table'!J44</f>
        <v>2284145.86</v>
      </c>
      <c r="K9" s="1">
        <f>SUM(B9:J9)</f>
        <v>29316088.379999999</v>
      </c>
    </row>
    <row r="11" spans="1:11" x14ac:dyDescent="0.25">
      <c r="A11" t="s">
        <v>3</v>
      </c>
      <c r="B11" s="1">
        <f>(B9/($K9-$J9))*-$J$11</f>
        <v>1063120.5101262408</v>
      </c>
      <c r="C11" s="1">
        <f t="shared" ref="C11:I11" si="0">(C9/($K9-$J9))*-$J$11</f>
        <v>0</v>
      </c>
      <c r="D11" s="1">
        <f t="shared" si="0"/>
        <v>175002.91703065796</v>
      </c>
      <c r="E11" s="1">
        <f t="shared" si="0"/>
        <v>13100.824513226495</v>
      </c>
      <c r="G11" s="1">
        <f t="shared" si="0"/>
        <v>319451.01389256213</v>
      </c>
      <c r="H11" s="1">
        <f t="shared" si="0"/>
        <v>323572.13232302456</v>
      </c>
      <c r="I11" s="1">
        <f t="shared" si="0"/>
        <v>389898.46211428812</v>
      </c>
      <c r="J11" s="1">
        <f>-J9</f>
        <v>-2284145.86</v>
      </c>
      <c r="K11" s="1">
        <v>0</v>
      </c>
    </row>
    <row r="12" spans="1:11" x14ac:dyDescent="0.25">
      <c r="A12" t="s">
        <v>4</v>
      </c>
      <c r="B12" s="1">
        <f>+B9+B11</f>
        <v>13644721.810126241</v>
      </c>
      <c r="C12" s="1">
        <f t="shared" ref="C12:J12" si="1">+C9+C11</f>
        <v>0</v>
      </c>
      <c r="D12" s="1">
        <f t="shared" si="1"/>
        <v>2246091.6670306581</v>
      </c>
      <c r="E12" s="1">
        <f t="shared" si="1"/>
        <v>168143.78451322648</v>
      </c>
      <c r="G12" s="1">
        <f t="shared" si="1"/>
        <v>4100024.5738925622</v>
      </c>
      <c r="H12" s="1">
        <f t="shared" si="1"/>
        <v>4152917.4623230249</v>
      </c>
      <c r="I12" s="1">
        <f t="shared" si="1"/>
        <v>5004189.0821142886</v>
      </c>
      <c r="J12" s="1">
        <f t="shared" si="1"/>
        <v>0</v>
      </c>
      <c r="K12" s="1">
        <f>SUM(B12:J12)</f>
        <v>29316088.380000003</v>
      </c>
    </row>
    <row r="14" spans="1:11" x14ac:dyDescent="0.25">
      <c r="A14" t="s">
        <v>5</v>
      </c>
      <c r="B14" s="1">
        <f>B$9/($K$9-$J$9-$I$9)*-I14</f>
        <v>2808532.8535668333</v>
      </c>
      <c r="C14" s="1">
        <f t="shared" ref="C14:H14" si="2">C$9/($K$9-$J$9-$I$9)*-$I$14</f>
        <v>0</v>
      </c>
      <c r="D14" s="1">
        <f t="shared" si="2"/>
        <v>462319.59337542084</v>
      </c>
      <c r="E14" s="1">
        <f t="shared" si="2"/>
        <v>34609.525170237939</v>
      </c>
      <c r="G14" s="1">
        <f t="shared" si="2"/>
        <v>843920.00631796545</v>
      </c>
      <c r="H14" s="1">
        <f t="shared" si="2"/>
        <v>854807.1036838314</v>
      </c>
      <c r="I14" s="1">
        <f>-I12</f>
        <v>-5004189.0821142886</v>
      </c>
      <c r="K14" s="1">
        <v>0</v>
      </c>
    </row>
    <row r="15" spans="1:11" x14ac:dyDescent="0.25">
      <c r="A15" t="s">
        <v>4</v>
      </c>
      <c r="B15" s="1">
        <f>+B12+B14</f>
        <v>16453254.663693074</v>
      </c>
      <c r="C15" s="1">
        <f>+C12+C14</f>
        <v>0</v>
      </c>
      <c r="D15" s="1">
        <f>+D12+D14</f>
        <v>2708411.2604060788</v>
      </c>
      <c r="E15" s="1">
        <f>+E12+E14</f>
        <v>202753.30968346441</v>
      </c>
      <c r="G15" s="1">
        <f>+G12+G14</f>
        <v>4943944.5802105274</v>
      </c>
      <c r="H15" s="1">
        <f>+H12+H14</f>
        <v>5007724.566006856</v>
      </c>
      <c r="I15" s="1">
        <f>+I12+I14</f>
        <v>0</v>
      </c>
      <c r="J15" s="1">
        <f>+J12+J14</f>
        <v>0</v>
      </c>
      <c r="K15" s="1">
        <f>SUM(B15:J15)</f>
        <v>29316088.380000003</v>
      </c>
    </row>
    <row r="17" spans="1:11" x14ac:dyDescent="0.25">
      <c r="A17" t="s">
        <v>6</v>
      </c>
      <c r="B17" s="1">
        <f>B$9/($K$9-$J$9-$I$9-$H$9)*-$H$17</f>
        <v>3389506.9285869752</v>
      </c>
      <c r="C17" s="1">
        <f>C$9/($K$9-$J$9-$I$9-$H$9)*-$H$17</f>
        <v>0</v>
      </c>
      <c r="D17" s="1">
        <f>D$9/($K$9-$J$9-$I$9-$H$9)*-$H$17</f>
        <v>557955.18395925791</v>
      </c>
      <c r="E17" s="1">
        <f>E$9/($K$9-$J$9-$I$9-$H$9)*-$H$17</f>
        <v>41768.863487085167</v>
      </c>
      <c r="G17" s="1">
        <f>G$9/($K$9-$J$9-$I$9-$H$9)*-$H$17</f>
        <v>1018493.5899735376</v>
      </c>
      <c r="H17" s="1">
        <f>-H15</f>
        <v>-5007724.566006856</v>
      </c>
      <c r="K17" s="1">
        <v>0</v>
      </c>
    </row>
    <row r="18" spans="1:11" x14ac:dyDescent="0.25">
      <c r="A18" t="s">
        <v>4</v>
      </c>
      <c r="B18" s="1">
        <f>+B15+B17</f>
        <v>19842761.592280049</v>
      </c>
      <c r="C18" s="1">
        <f>+C15+C17</f>
        <v>0</v>
      </c>
      <c r="D18" s="1">
        <f>+D15+D17</f>
        <v>3266366.4443653366</v>
      </c>
      <c r="E18" s="1">
        <f>+E15+E17</f>
        <v>244522.17317054956</v>
      </c>
      <c r="G18" s="1">
        <f>+G15+G17</f>
        <v>5962438.1701840647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29316088.379999999</v>
      </c>
    </row>
    <row r="20" spans="1:11" x14ac:dyDescent="0.25">
      <c r="A20" t="s">
        <v>7</v>
      </c>
      <c r="B20" s="1">
        <f>B$9/($K$9-$J$9-$I$9-$H$9-$G$9)*-$G$20</f>
        <v>5066070.5310189445</v>
      </c>
      <c r="C20" s="1">
        <f>C$9/($K$9-$J$9-$I$9-$H$9-$G$9)*-$G$20</f>
        <v>0</v>
      </c>
      <c r="D20" s="1">
        <f>D$9/($K$9-$J$9-$I$9-$H$9-$G$9)*-$G$20</f>
        <v>833938.49743910274</v>
      </c>
      <c r="E20" s="1">
        <f>E$9/($K$9-$J$9-$I$9-$H$9-$G$9)*-$G$20</f>
        <v>62429.141726017726</v>
      </c>
      <c r="G20" s="1">
        <f>-G18</f>
        <v>-5962438.1701840647</v>
      </c>
      <c r="K20" s="1">
        <f>SUM(B20:J20)</f>
        <v>0</v>
      </c>
    </row>
    <row r="22" spans="1:11" x14ac:dyDescent="0.25">
      <c r="A22" t="s">
        <v>8</v>
      </c>
      <c r="B22" s="1">
        <f>+B20+B18</f>
        <v>24908832.123298995</v>
      </c>
      <c r="C22" s="1">
        <f t="shared" ref="C22:K22" si="3">+C20+C18</f>
        <v>0</v>
      </c>
      <c r="D22" s="1">
        <f t="shared" si="3"/>
        <v>4100304.9418044393</v>
      </c>
      <c r="E22" s="1">
        <f t="shared" si="3"/>
        <v>306951.31489656726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29316088.379999999</v>
      </c>
    </row>
    <row r="27" spans="1:11" x14ac:dyDescent="0.25">
      <c r="A27" t="s">
        <v>9</v>
      </c>
      <c r="B27" s="1">
        <f>+B9</f>
        <v>12581601.300000001</v>
      </c>
    </row>
    <row r="28" spans="1:11" x14ac:dyDescent="0.25">
      <c r="A28" t="s">
        <v>10</v>
      </c>
      <c r="B28" s="1">
        <f>+B22-B27</f>
        <v>12327230.823298994</v>
      </c>
    </row>
    <row r="29" spans="1:11" x14ac:dyDescent="0.25">
      <c r="A29" s="29" t="s">
        <v>164</v>
      </c>
      <c r="B29" s="1">
        <v>2138</v>
      </c>
    </row>
    <row r="30" spans="1:11" x14ac:dyDescent="0.25">
      <c r="A30" t="s">
        <v>11</v>
      </c>
      <c r="B30" s="1">
        <f>+B28/B29</f>
        <v>5765.7768116459283</v>
      </c>
    </row>
  </sheetData>
  <phoneticPr fontId="0" type="noConversion"/>
  <pageMargins left="0.61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9.26953125" style="1" customWidth="1"/>
    <col min="6" max="6" width="2.7265625" style="3" customWidth="1"/>
    <col min="7" max="7" width="11.26953125" style="1" bestFit="1" customWidth="1"/>
    <col min="8" max="8" width="10.26953125" style="1" customWidth="1"/>
    <col min="9" max="9" width="11.26953125" style="1" bestFit="1" customWidth="1"/>
    <col min="10" max="10" width="10.26953125" style="1" customWidth="1"/>
    <col min="11" max="11" width="10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68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Table'!B7</f>
        <v>30805469.630000003</v>
      </c>
      <c r="C9" s="1">
        <f>'Master Expend Table'!C7</f>
        <v>0</v>
      </c>
      <c r="D9" s="1">
        <f>'Master Expend Table'!D7</f>
        <v>1329438.9099999999</v>
      </c>
      <c r="E9" s="1">
        <f>'Master Expend Table'!E7</f>
        <v>49316.229999999996</v>
      </c>
      <c r="G9" s="1">
        <f>'Master Expend Table'!G7</f>
        <v>9046797.2100000009</v>
      </c>
      <c r="H9" s="1">
        <f>'Master Expend Table'!H7</f>
        <v>7174959.9100000001</v>
      </c>
      <c r="I9" s="1">
        <f>'Master Expend Table'!I7</f>
        <v>9275767.5800000001</v>
      </c>
      <c r="J9" s="1">
        <f>'Master Expend Table'!J7</f>
        <v>7255531.6199999992</v>
      </c>
      <c r="K9" s="1">
        <f>SUM(B9:J9)</f>
        <v>64937281.089999996</v>
      </c>
    </row>
    <row r="11" spans="1:11" x14ac:dyDescent="0.25">
      <c r="A11" t="s">
        <v>3</v>
      </c>
      <c r="B11" s="1">
        <f>(B9/($K9-$J9))*-$J$11</f>
        <v>3874883.4947466566</v>
      </c>
      <c r="C11" s="1">
        <f t="shared" ref="C11:I11" si="0">(C9/($K9-$J9))*-$J$11</f>
        <v>0</v>
      </c>
      <c r="D11" s="1">
        <f t="shared" si="0"/>
        <v>167224.22840832974</v>
      </c>
      <c r="E11" s="1">
        <f t="shared" si="0"/>
        <v>6203.2700018970581</v>
      </c>
      <c r="G11" s="1">
        <f t="shared" si="0"/>
        <v>1137956.5255908454</v>
      </c>
      <c r="H11" s="1">
        <f t="shared" si="0"/>
        <v>902506.40761706687</v>
      </c>
      <c r="I11" s="1">
        <f t="shared" si="0"/>
        <v>1166757.6936352043</v>
      </c>
      <c r="J11" s="1">
        <f>-J9</f>
        <v>-7255531.6199999992</v>
      </c>
      <c r="K11" s="1">
        <v>0</v>
      </c>
    </row>
    <row r="12" spans="1:11" x14ac:dyDescent="0.25">
      <c r="A12" t="s">
        <v>4</v>
      </c>
      <c r="B12" s="1">
        <f>+B9+B11</f>
        <v>34680353.124746658</v>
      </c>
      <c r="C12" s="1">
        <f t="shared" ref="C12:J12" si="1">+C9+C11</f>
        <v>0</v>
      </c>
      <c r="D12" s="1">
        <f t="shared" si="1"/>
        <v>1496663.1384083296</v>
      </c>
      <c r="E12" s="1">
        <f t="shared" si="1"/>
        <v>55519.500001897053</v>
      </c>
      <c r="G12" s="1">
        <f t="shared" si="1"/>
        <v>10184753.735590845</v>
      </c>
      <c r="H12" s="1">
        <f t="shared" si="1"/>
        <v>8077466.3176170671</v>
      </c>
      <c r="I12" s="1">
        <f t="shared" si="1"/>
        <v>10442525.273635205</v>
      </c>
      <c r="J12" s="1">
        <f t="shared" si="1"/>
        <v>0</v>
      </c>
      <c r="K12" s="1">
        <f>SUM(B12:J12)</f>
        <v>64937281.090000004</v>
      </c>
    </row>
    <row r="14" spans="1:11" x14ac:dyDescent="0.25">
      <c r="A14" t="s">
        <v>5</v>
      </c>
      <c r="B14" s="1">
        <f>B$9/($K$9-$J$9-$I$9)*-I14</f>
        <v>6645602.105716872</v>
      </c>
      <c r="C14" s="1">
        <f t="shared" ref="C14:H14" si="2">C$9/($K$9-$J$9-$I$9)*-$I$14</f>
        <v>0</v>
      </c>
      <c r="D14" s="1">
        <f t="shared" si="2"/>
        <v>286797.18653320015</v>
      </c>
      <c r="E14" s="1">
        <f t="shared" si="2"/>
        <v>10638.89127062198</v>
      </c>
      <c r="G14" s="1">
        <f t="shared" si="2"/>
        <v>1951647.3960916374</v>
      </c>
      <c r="H14" s="1">
        <f t="shared" si="2"/>
        <v>1547839.6940228739</v>
      </c>
      <c r="I14" s="1">
        <f>-I12</f>
        <v>-10442525.273635205</v>
      </c>
      <c r="K14" s="1">
        <v>0</v>
      </c>
    </row>
    <row r="15" spans="1:11" x14ac:dyDescent="0.25">
      <c r="A15" t="s">
        <v>4</v>
      </c>
      <c r="B15" s="1">
        <f>+B12+B14</f>
        <v>41325955.230463527</v>
      </c>
      <c r="C15" s="1">
        <f>+C12+C14</f>
        <v>0</v>
      </c>
      <c r="D15" s="1">
        <f>+D12+D14</f>
        <v>1783460.3249415297</v>
      </c>
      <c r="E15" s="1">
        <f>+E12+E14</f>
        <v>66158.391272519031</v>
      </c>
      <c r="G15" s="1">
        <f>+G12+G14</f>
        <v>12136401.131682483</v>
      </c>
      <c r="H15" s="1">
        <f>+H12+H14</f>
        <v>9625306.0116399415</v>
      </c>
      <c r="I15" s="1">
        <f>+I12+I14</f>
        <v>0</v>
      </c>
      <c r="J15" s="1">
        <f>+J12+J14</f>
        <v>0</v>
      </c>
      <c r="K15" s="1">
        <f>SUM(B15:J15)</f>
        <v>64937281.090000004</v>
      </c>
    </row>
    <row r="17" spans="1:11" x14ac:dyDescent="0.25">
      <c r="A17" t="s">
        <v>6</v>
      </c>
      <c r="B17" s="1">
        <f>B$9/($K$9-$J$9-$I$9-$H$9)*-$H$17</f>
        <v>7191480.0502607059</v>
      </c>
      <c r="C17" s="1">
        <f>C$9/($K$9-$J$9-$I$9-$H$9)*-$H$17</f>
        <v>0</v>
      </c>
      <c r="D17" s="1">
        <f>D$9/($K$9-$J$9-$I$9-$H$9)*-$H$17</f>
        <v>310355.06077773555</v>
      </c>
      <c r="E17" s="1">
        <f>E$9/($K$9-$J$9-$I$9-$H$9)*-$H$17</f>
        <v>11512.78290702262</v>
      </c>
      <c r="G17" s="1">
        <f>G$9/($K$9-$J$9-$I$9-$H$9)*-$H$17</f>
        <v>2111958.117694478</v>
      </c>
      <c r="H17" s="1">
        <f>-H15</f>
        <v>-9625306.0116399415</v>
      </c>
      <c r="K17" s="1">
        <v>0</v>
      </c>
    </row>
    <row r="18" spans="1:11" x14ac:dyDescent="0.25">
      <c r="A18" t="s">
        <v>4</v>
      </c>
      <c r="B18" s="1">
        <f>+B15+B17</f>
        <v>48517435.280724235</v>
      </c>
      <c r="C18" s="1">
        <f>+C15+C17</f>
        <v>0</v>
      </c>
      <c r="D18" s="1">
        <f>+D15+D17</f>
        <v>2093815.3857192653</v>
      </c>
      <c r="E18" s="1">
        <f>+E15+E17</f>
        <v>77671.174179541646</v>
      </c>
      <c r="G18" s="1">
        <f>+G15+G17</f>
        <v>14248359.249376962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64937281.089999996</v>
      </c>
    </row>
    <row r="20" spans="1:11" x14ac:dyDescent="0.25">
      <c r="A20" t="s">
        <v>7</v>
      </c>
      <c r="B20" s="1">
        <f>B$9/($K$9-$J$9-$I$9-$H$9-$G$9)*-$G$20</f>
        <v>13637967.087004395</v>
      </c>
      <c r="C20" s="1">
        <f>C$9/($K$9-$J$9-$I$9-$H$9-$G$9)*-$G$20</f>
        <v>0</v>
      </c>
      <c r="D20" s="1">
        <f>D$9/($K$9-$J$9-$I$9-$H$9-$G$9)*-$G$20</f>
        <v>588559.24991665175</v>
      </c>
      <c r="E20" s="1">
        <f>E$9/($K$9-$J$9-$I$9-$H$9-$G$9)*-$G$20</f>
        <v>21832.912455915011</v>
      </c>
      <c r="G20" s="1">
        <f>-G18</f>
        <v>-14248359.249376962</v>
      </c>
      <c r="K20" s="1">
        <f>SUM(B20:J20)</f>
        <v>0</v>
      </c>
    </row>
    <row r="22" spans="1:11" x14ac:dyDescent="0.25">
      <c r="A22" t="s">
        <v>8</v>
      </c>
      <c r="B22" s="1">
        <f>+B20+B18</f>
        <v>62155402.367728628</v>
      </c>
      <c r="C22" s="1">
        <f t="shared" ref="C22:K22" si="3">+C20+C18</f>
        <v>0</v>
      </c>
      <c r="D22" s="1">
        <f t="shared" si="3"/>
        <v>2682374.6356359171</v>
      </c>
      <c r="E22" s="1">
        <f t="shared" si="3"/>
        <v>99504.086635456653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64937281.089999996</v>
      </c>
    </row>
    <row r="27" spans="1:11" x14ac:dyDescent="0.25">
      <c r="A27" t="s">
        <v>9</v>
      </c>
      <c r="B27" s="1">
        <f>+B9</f>
        <v>30805469.630000003</v>
      </c>
    </row>
    <row r="28" spans="1:11" x14ac:dyDescent="0.25">
      <c r="A28" t="s">
        <v>10</v>
      </c>
      <c r="B28" s="1">
        <f>+B22-B27</f>
        <v>31349932.737728626</v>
      </c>
    </row>
    <row r="29" spans="1:11" x14ac:dyDescent="0.25">
      <c r="A29" s="29" t="s">
        <v>164</v>
      </c>
      <c r="B29" s="1">
        <f>'ANOKARAM CC'!B29+'ANOKA TC'!B29</f>
        <v>6592</v>
      </c>
    </row>
    <row r="30" spans="1:11" x14ac:dyDescent="0.25">
      <c r="A30" t="s">
        <v>11</v>
      </c>
      <c r="B30" s="1">
        <f>+B28/B29</f>
        <v>4755.7543594855315</v>
      </c>
    </row>
  </sheetData>
  <pageMargins left="0.7" right="0.7" top="0.75" bottom="0.75" header="0.3" footer="0.3"/>
  <pageSetup scale="9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3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54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Table'!B45</f>
        <v>16912226.32</v>
      </c>
      <c r="C9" s="1">
        <f>'Master Expend Table'!C45</f>
        <v>19278.37</v>
      </c>
      <c r="D9" s="1">
        <f>'Master Expend Table'!D45</f>
        <v>427171.25</v>
      </c>
      <c r="E9" s="1">
        <f>'Master Expend Table'!E45</f>
        <v>2973286.25</v>
      </c>
      <c r="G9" s="1">
        <f>'Master Expend Table'!G45</f>
        <v>5443419.1699999999</v>
      </c>
      <c r="H9" s="1">
        <f>'Master Expend Table'!H45</f>
        <v>5396528.3200000003</v>
      </c>
      <c r="I9" s="1">
        <f>'Master Expend Table'!I45</f>
        <v>6642151.2000000002</v>
      </c>
      <c r="J9" s="1">
        <f>'Master Expend Table'!J45</f>
        <v>4047761.97</v>
      </c>
      <c r="K9" s="1">
        <f>SUM(B9:J9)</f>
        <v>41861822.850000001</v>
      </c>
    </row>
    <row r="11" spans="1:11" x14ac:dyDescent="0.25">
      <c r="A11" t="s">
        <v>3</v>
      </c>
      <c r="B11" s="1">
        <f>(B9/($K9-$J9))*-$J$11</f>
        <v>1810349.5084373769</v>
      </c>
      <c r="C11" s="1">
        <f t="shared" ref="C11:I11" si="0">(C9/($K9-$J9))*-$J$11</f>
        <v>2063.6305943766411</v>
      </c>
      <c r="D11" s="1">
        <f t="shared" si="0"/>
        <v>45726.047406399652</v>
      </c>
      <c r="E11" s="1">
        <f t="shared" si="0"/>
        <v>318271.9530406043</v>
      </c>
      <c r="G11" s="1">
        <f t="shared" si="0"/>
        <v>582684.44568852568</v>
      </c>
      <c r="H11" s="1">
        <f t="shared" si="0"/>
        <v>577665.06943128374</v>
      </c>
      <c r="I11" s="1">
        <f t="shared" si="0"/>
        <v>711001.31540143292</v>
      </c>
      <c r="J11" s="1">
        <f>-J9</f>
        <v>-4047761.97</v>
      </c>
      <c r="K11" s="1">
        <v>0</v>
      </c>
    </row>
    <row r="12" spans="1:11" x14ac:dyDescent="0.25">
      <c r="A12" t="s">
        <v>4</v>
      </c>
      <c r="B12" s="1">
        <f>+B9+B11</f>
        <v>18722575.828437377</v>
      </c>
      <c r="C12" s="1">
        <f t="shared" ref="C12:J12" si="1">+C9+C11</f>
        <v>21342.000594376641</v>
      </c>
      <c r="D12" s="1">
        <f t="shared" si="1"/>
        <v>472897.29740639962</v>
      </c>
      <c r="E12" s="1">
        <f t="shared" si="1"/>
        <v>3291558.2030406045</v>
      </c>
      <c r="G12" s="1">
        <f t="shared" si="1"/>
        <v>6026103.6156885251</v>
      </c>
      <c r="H12" s="1">
        <f t="shared" si="1"/>
        <v>5974193.3894312838</v>
      </c>
      <c r="I12" s="1">
        <f t="shared" si="1"/>
        <v>7353152.5154014332</v>
      </c>
      <c r="J12" s="1">
        <f t="shared" si="1"/>
        <v>0</v>
      </c>
      <c r="K12" s="1">
        <f>SUM(B12:J12)</f>
        <v>41861822.850000001</v>
      </c>
    </row>
    <row r="14" spans="1:11" x14ac:dyDescent="0.25">
      <c r="A14" t="s">
        <v>5</v>
      </c>
      <c r="B14" s="1">
        <f>B$9/($K$9-$J$9-$I$9)*-I14</f>
        <v>3989430.8941147402</v>
      </c>
      <c r="C14" s="1">
        <f t="shared" ref="C14:H14" si="2">C$9/($K$9-$J$9-$I$9)*-$I$14</f>
        <v>4547.5813420982395</v>
      </c>
      <c r="D14" s="1">
        <f t="shared" si="2"/>
        <v>100765.57335401193</v>
      </c>
      <c r="E14" s="1">
        <f t="shared" si="2"/>
        <v>701369.51802549919</v>
      </c>
      <c r="G14" s="1">
        <f t="shared" si="2"/>
        <v>1284050.0236644428</v>
      </c>
      <c r="H14" s="1">
        <f t="shared" si="2"/>
        <v>1272988.9249006405</v>
      </c>
      <c r="I14" s="1">
        <f>-I12</f>
        <v>-7353152.5154014332</v>
      </c>
      <c r="K14" s="1">
        <v>0</v>
      </c>
    </row>
    <row r="15" spans="1:11" x14ac:dyDescent="0.25">
      <c r="A15" t="s">
        <v>4</v>
      </c>
      <c r="B15" s="1">
        <f>+B12+B14</f>
        <v>22712006.722552117</v>
      </c>
      <c r="C15" s="1">
        <f>+C12+C14</f>
        <v>25889.581936474882</v>
      </c>
      <c r="D15" s="1">
        <f>+D12+D14</f>
        <v>573662.87076041149</v>
      </c>
      <c r="E15" s="1">
        <f>+E12+E14</f>
        <v>3992927.7210661038</v>
      </c>
      <c r="G15" s="1">
        <f>+G12+G14</f>
        <v>7310153.639352968</v>
      </c>
      <c r="H15" s="1">
        <f>+H12+H14</f>
        <v>7247182.3143319245</v>
      </c>
      <c r="I15" s="1">
        <f>+I12+I14</f>
        <v>0</v>
      </c>
      <c r="J15" s="1">
        <f>+J12+J14</f>
        <v>0</v>
      </c>
      <c r="K15" s="1">
        <f>SUM(B15:J15)</f>
        <v>41861822.850000001</v>
      </c>
    </row>
    <row r="17" spans="1:11" x14ac:dyDescent="0.25">
      <c r="A17" t="s">
        <v>6</v>
      </c>
      <c r="B17" s="1">
        <f>B$9/($K$9-$J$9-$I$9-$H$9)*-$H$17</f>
        <v>4755157.0923598111</v>
      </c>
      <c r="C17" s="1">
        <f>C$9/($K$9-$J$9-$I$9-$H$9)*-$H$17</f>
        <v>5420.4382143483881</v>
      </c>
      <c r="D17" s="1">
        <f>D$9/($K$9-$J$9-$I$9-$H$9)*-$H$17</f>
        <v>120106.38698038107</v>
      </c>
      <c r="E17" s="1">
        <f>E$9/($K$9-$J$9-$I$9-$H$9)*-$H$17</f>
        <v>835989.47482056904</v>
      </c>
      <c r="G17" s="1">
        <f>G$9/($K$9-$J$9-$I$9-$H$9)*-$H$17</f>
        <v>1530508.9219568139</v>
      </c>
      <c r="H17" s="1">
        <f>-H15</f>
        <v>-7247182.3143319245</v>
      </c>
      <c r="K17" s="1">
        <v>0</v>
      </c>
    </row>
    <row r="18" spans="1:11" x14ac:dyDescent="0.25">
      <c r="A18" t="s">
        <v>4</v>
      </c>
      <c r="B18" s="1">
        <f>+B15+B17</f>
        <v>27467163.814911928</v>
      </c>
      <c r="C18" s="1">
        <f>+C15+C17</f>
        <v>31310.020150823271</v>
      </c>
      <c r="D18" s="1">
        <f>+D15+D17</f>
        <v>693769.25774079259</v>
      </c>
      <c r="E18" s="1">
        <f>+E15+E17</f>
        <v>4828917.1958866725</v>
      </c>
      <c r="G18" s="1">
        <f>+G15+G17</f>
        <v>8840662.5613097809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41861822.849999994</v>
      </c>
    </row>
    <row r="20" spans="1:11" x14ac:dyDescent="0.25">
      <c r="A20" t="s">
        <v>7</v>
      </c>
      <c r="B20" s="1">
        <f>B$9/($K$9-$J$9-$I$9-$H$9-$G$9)*-$G$20</f>
        <v>7353706.6741722999</v>
      </c>
      <c r="C20" s="1">
        <f>C$9/($K$9-$J$9-$I$9-$H$9-$G$9)*-$G$20</f>
        <v>8382.5438149743877</v>
      </c>
      <c r="D20" s="1">
        <f>D$9/($K$9-$J$9-$I$9-$H$9-$G$9)*-$G$20</f>
        <v>185740.8961246401</v>
      </c>
      <c r="E20" s="1">
        <f>E$9/($K$9-$J$9-$I$9-$H$9-$G$9)*-$G$20</f>
        <v>1292832.4471978643</v>
      </c>
      <c r="G20" s="1">
        <f>-G18</f>
        <v>-8840662.5613097809</v>
      </c>
      <c r="K20" s="1">
        <f>SUM(B20:J20)</f>
        <v>0</v>
      </c>
    </row>
    <row r="22" spans="1:11" x14ac:dyDescent="0.25">
      <c r="A22" t="s">
        <v>8</v>
      </c>
      <c r="B22" s="1">
        <f>+B20+B18</f>
        <v>34820870.489084229</v>
      </c>
      <c r="C22" s="1">
        <f t="shared" ref="C22:K22" si="3">+C20+C18</f>
        <v>39692.563965797657</v>
      </c>
      <c r="D22" s="1">
        <f t="shared" si="3"/>
        <v>879510.15386543272</v>
      </c>
      <c r="E22" s="1">
        <f t="shared" si="3"/>
        <v>6121749.6430845372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41861822.849999994</v>
      </c>
    </row>
    <row r="27" spans="1:11" x14ac:dyDescent="0.25">
      <c r="A27" t="s">
        <v>9</v>
      </c>
      <c r="B27" s="1">
        <f>+B9</f>
        <v>16912226.32</v>
      </c>
    </row>
    <row r="28" spans="1:11" x14ac:dyDescent="0.25">
      <c r="A28" t="s">
        <v>10</v>
      </c>
      <c r="B28" s="1">
        <f>+B22-B27</f>
        <v>17908644.169084229</v>
      </c>
    </row>
    <row r="29" spans="1:11" x14ac:dyDescent="0.25">
      <c r="A29" s="29" t="s">
        <v>164</v>
      </c>
      <c r="B29" s="1">
        <v>3565</v>
      </c>
    </row>
    <row r="30" spans="1:11" x14ac:dyDescent="0.25">
      <c r="A30" t="s">
        <v>11</v>
      </c>
      <c r="B30" s="1">
        <f>+B28/B29</f>
        <v>5023.4626000236267</v>
      </c>
    </row>
  </sheetData>
  <phoneticPr fontId="0" type="noConversion"/>
  <pageMargins left="0.64" right="0.55000000000000004" top="1" bottom="0.51" header="0.5" footer="0.5"/>
  <pageSetup scale="10" orientation="landscape" horizontalDpi="4294967294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0"/>
  <sheetViews>
    <sheetView zoomScale="90" zoomScaleNormal="90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1.1796875" style="1" customWidth="1"/>
    <col min="8" max="8" width="12.1796875" style="1" customWidth="1"/>
    <col min="9" max="10" width="11" style="1" customWidth="1"/>
    <col min="11" max="11" width="14.4531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32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Table'!B46</f>
        <v>68288045.340000004</v>
      </c>
      <c r="C9" s="1">
        <f>'Master Expend Table'!C46</f>
        <v>849894.46</v>
      </c>
      <c r="D9" s="1">
        <f>'Master Expend Table'!D46</f>
        <v>2783378.02</v>
      </c>
      <c r="E9" s="1">
        <f>'Master Expend Table'!E46</f>
        <v>4875335.16</v>
      </c>
      <c r="G9" s="1">
        <f>'Master Expend Table'!G46</f>
        <v>20516631.350000001</v>
      </c>
      <c r="H9" s="1">
        <f>'Master Expend Table'!H46</f>
        <v>10251814.529999999</v>
      </c>
      <c r="I9" s="1">
        <f>'Master Expend Table'!I46</f>
        <v>21537342.82</v>
      </c>
      <c r="J9" s="1">
        <f>'Master Expend Table'!J46</f>
        <v>14320977.35</v>
      </c>
      <c r="K9" s="1">
        <f>SUM(B9:J9)</f>
        <v>143423419.02999997</v>
      </c>
    </row>
    <row r="11" spans="1:11" x14ac:dyDescent="0.25">
      <c r="A11" t="s">
        <v>3</v>
      </c>
      <c r="B11" s="1">
        <f>(B9/($K9-$J9))*-$J$11</f>
        <v>7575004.2978576235</v>
      </c>
      <c r="C11" s="1">
        <f t="shared" ref="C11:I11" si="0">(C9/($K9-$J9))*-$J$11</f>
        <v>94276.445535545674</v>
      </c>
      <c r="D11" s="1">
        <f t="shared" si="0"/>
        <v>308752.43769369315</v>
      </c>
      <c r="E11" s="1">
        <f t="shared" si="0"/>
        <v>540807.46646974364</v>
      </c>
      <c r="G11" s="1">
        <f t="shared" si="0"/>
        <v>2275853.2606991511</v>
      </c>
      <c r="H11" s="1">
        <f t="shared" si="0"/>
        <v>1137205.4762870918</v>
      </c>
      <c r="I11" s="1">
        <f t="shared" si="0"/>
        <v>2389077.965457153</v>
      </c>
      <c r="J11" s="1">
        <f>-J9</f>
        <v>-14320977.35</v>
      </c>
      <c r="K11" s="1">
        <v>0</v>
      </c>
    </row>
    <row r="12" spans="1:11" x14ac:dyDescent="0.25">
      <c r="A12" t="s">
        <v>4</v>
      </c>
      <c r="B12" s="1">
        <f>+B9+B11</f>
        <v>75863049.637857631</v>
      </c>
      <c r="C12" s="1">
        <f t="shared" ref="C12:J12" si="1">+C9+C11</f>
        <v>944170.90553554567</v>
      </c>
      <c r="D12" s="1">
        <f t="shared" si="1"/>
        <v>3092130.4576936932</v>
      </c>
      <c r="E12" s="1">
        <f t="shared" si="1"/>
        <v>5416142.6264697434</v>
      </c>
      <c r="G12" s="1">
        <f t="shared" si="1"/>
        <v>22792484.610699154</v>
      </c>
      <c r="H12" s="1">
        <f t="shared" si="1"/>
        <v>11389020.00628709</v>
      </c>
      <c r="I12" s="1">
        <f t="shared" si="1"/>
        <v>23926420.785457153</v>
      </c>
      <c r="J12" s="1">
        <f t="shared" si="1"/>
        <v>0</v>
      </c>
      <c r="K12" s="1">
        <f>SUM(B12:J12)</f>
        <v>143423419.03000003</v>
      </c>
    </row>
    <row r="14" spans="1:11" x14ac:dyDescent="0.25">
      <c r="A14" t="s">
        <v>5</v>
      </c>
      <c r="B14" s="1">
        <f>B$9/($K$9-$J$9-$I$9)*-I14</f>
        <v>15189764.382104868</v>
      </c>
      <c r="C14" s="1">
        <f t="shared" ref="C14:H14" si="2">C$9/($K$9-$J$9-$I$9)*-$I$14</f>
        <v>189047.68078775774</v>
      </c>
      <c r="D14" s="1">
        <f t="shared" si="2"/>
        <v>619125.29637694219</v>
      </c>
      <c r="E14" s="1">
        <f t="shared" si="2"/>
        <v>1084453.2450076353</v>
      </c>
      <c r="G14" s="1">
        <f t="shared" si="2"/>
        <v>4563650.8494182955</v>
      </c>
      <c r="H14" s="1">
        <f t="shared" si="2"/>
        <v>2280379.3317616601</v>
      </c>
      <c r="I14" s="1">
        <f>-I12</f>
        <v>-23926420.785457153</v>
      </c>
      <c r="K14" s="1">
        <v>0</v>
      </c>
    </row>
    <row r="15" spans="1:11" x14ac:dyDescent="0.25">
      <c r="A15" t="s">
        <v>4</v>
      </c>
      <c r="B15" s="1">
        <f>+B12+B14</f>
        <v>91052814.019962505</v>
      </c>
      <c r="C15" s="1">
        <f>+C12+C14</f>
        <v>1133218.5863233034</v>
      </c>
      <c r="D15" s="1">
        <f>+D12+D14</f>
        <v>3711255.7540706354</v>
      </c>
      <c r="E15" s="1">
        <f>+E12+E14</f>
        <v>6500595.8714773785</v>
      </c>
      <c r="G15" s="1">
        <f>+G12+G14</f>
        <v>27356135.460117452</v>
      </c>
      <c r="H15" s="1">
        <f>+H12+H14</f>
        <v>13669399.338048751</v>
      </c>
      <c r="I15" s="1">
        <f>+I12+I14</f>
        <v>0</v>
      </c>
      <c r="J15" s="1">
        <f>+J12+J14</f>
        <v>0</v>
      </c>
      <c r="K15" s="1">
        <f>SUM(B15:J15)</f>
        <v>143423419.03000003</v>
      </c>
    </row>
    <row r="17" spans="1:11" x14ac:dyDescent="0.25">
      <c r="A17" t="s">
        <v>6</v>
      </c>
      <c r="B17" s="1">
        <f>B$9/($K$9-$J$9-$I$9-$H$9)*-$H$17</f>
        <v>9592282.9878168106</v>
      </c>
      <c r="C17" s="1">
        <f>C$9/($K$9-$J$9-$I$9-$H$9)*-$H$17</f>
        <v>119382.94806224944</v>
      </c>
      <c r="D17" s="1">
        <f>D$9/($K$9-$J$9-$I$9-$H$9)*-$H$17</f>
        <v>390975.45546921989</v>
      </c>
      <c r="E17" s="1">
        <f>E$9/($K$9-$J$9-$I$9-$H$9)*-$H$17</f>
        <v>684828.42468738835</v>
      </c>
      <c r="G17" s="1">
        <f>G$9/($K$9-$J$9-$I$9-$H$9)*-$H$17</f>
        <v>2881929.522013085</v>
      </c>
      <c r="H17" s="1">
        <f>-H15</f>
        <v>-13669399.338048751</v>
      </c>
      <c r="K17" s="1">
        <v>0</v>
      </c>
    </row>
    <row r="18" spans="1:11" x14ac:dyDescent="0.25">
      <c r="A18" t="s">
        <v>4</v>
      </c>
      <c r="B18" s="1">
        <f>+B15+B17</f>
        <v>100645097.00777932</v>
      </c>
      <c r="C18" s="1">
        <f>+C15+C17</f>
        <v>1252601.5343855529</v>
      </c>
      <c r="D18" s="1">
        <f>+D15+D17</f>
        <v>4102231.2095398554</v>
      </c>
      <c r="E18" s="1">
        <f>+E15+E17</f>
        <v>7185424.2961647669</v>
      </c>
      <c r="G18" s="1">
        <f>+G15+G17</f>
        <v>30238064.982130535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143423419.03000003</v>
      </c>
    </row>
    <row r="20" spans="1:11" x14ac:dyDescent="0.25">
      <c r="A20" t="s">
        <v>7</v>
      </c>
      <c r="B20" s="1">
        <f>B$9/($K$9-$J$9-$I$9-$H$9-$G$9)*-$G$20</f>
        <v>26887869.098036785</v>
      </c>
      <c r="C20" s="1">
        <f>C$9/($K$9-$J$9-$I$9-$H$9-$G$9)*-$G$20</f>
        <v>334639.11397447914</v>
      </c>
      <c r="D20" s="1">
        <f>D$9/($K$9-$J$9-$I$9-$H$9-$G$9)*-$G$20</f>
        <v>1095932.7284811814</v>
      </c>
      <c r="E20" s="1">
        <f>E$9/($K$9-$J$9-$I$9-$H$9-$G$9)*-$G$20</f>
        <v>1919624.0416380945</v>
      </c>
      <c r="G20" s="1">
        <f>-G18</f>
        <v>-30238064.982130535</v>
      </c>
      <c r="K20" s="1">
        <f>SUM(B20:J20)</f>
        <v>0</v>
      </c>
    </row>
    <row r="22" spans="1:11" x14ac:dyDescent="0.25">
      <c r="A22" t="s">
        <v>8</v>
      </c>
      <c r="B22" s="1">
        <f>+B20+B18</f>
        <v>127532966.1058161</v>
      </c>
      <c r="C22" s="1">
        <f t="shared" ref="C22:K22" si="3">+C20+C18</f>
        <v>1587240.6483600321</v>
      </c>
      <c r="D22" s="1">
        <f t="shared" si="3"/>
        <v>5198163.9380210368</v>
      </c>
      <c r="E22" s="1">
        <f t="shared" si="3"/>
        <v>9105048.3378028609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143423419.03000003</v>
      </c>
    </row>
    <row r="27" spans="1:11" x14ac:dyDescent="0.25">
      <c r="A27" t="s">
        <v>9</v>
      </c>
      <c r="B27" s="1">
        <f>+B9</f>
        <v>68288045.340000004</v>
      </c>
    </row>
    <row r="28" spans="1:11" x14ac:dyDescent="0.25">
      <c r="A28" t="s">
        <v>10</v>
      </c>
      <c r="B28" s="1">
        <f>+B22-B27</f>
        <v>59244920.765816092</v>
      </c>
    </row>
    <row r="29" spans="1:11" x14ac:dyDescent="0.25">
      <c r="A29" s="29" t="s">
        <v>164</v>
      </c>
      <c r="B29" s="1">
        <v>10428</v>
      </c>
    </row>
    <row r="30" spans="1:11" x14ac:dyDescent="0.25">
      <c r="A30" t="s">
        <v>11</v>
      </c>
      <c r="B30" s="1">
        <f>+B28/B29</f>
        <v>5681.3311052758045</v>
      </c>
    </row>
  </sheetData>
  <phoneticPr fontId="0" type="noConversion"/>
  <pageMargins left="0.59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0"/>
  <sheetViews>
    <sheetView zoomScale="75" workbookViewId="0"/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7265625" style="1" customWidth="1"/>
    <col min="8" max="8" width="10.54296875" style="1" customWidth="1"/>
    <col min="9" max="9" width="11" style="1" customWidth="1"/>
    <col min="10" max="10" width="10.26953125" style="1" customWidth="1"/>
    <col min="11" max="11" width="14.179687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66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Table'!B47</f>
        <v>17487202.52</v>
      </c>
      <c r="C9" s="1">
        <f>'Master Expend Table'!C47</f>
        <v>0</v>
      </c>
      <c r="D9" s="1">
        <f>'Master Expend Table'!D47</f>
        <v>910676.07</v>
      </c>
      <c r="E9" s="1">
        <f>'Master Expend Table'!E47</f>
        <v>0</v>
      </c>
      <c r="G9" s="1">
        <f>'Master Expend Table'!G47</f>
        <v>3438222.34</v>
      </c>
      <c r="H9" s="1">
        <f>'Master Expend Table'!H47</f>
        <v>3436409.25</v>
      </c>
      <c r="I9" s="1">
        <f>'Master Expend Table'!I47</f>
        <v>3900955.16</v>
      </c>
      <c r="J9" s="1">
        <f>'Master Expend Table'!J47</f>
        <v>4014129.31</v>
      </c>
      <c r="K9" s="1">
        <f>SUM(B9:J9)</f>
        <v>33187594.649999999</v>
      </c>
    </row>
    <row r="11" spans="1:11" x14ac:dyDescent="0.25">
      <c r="A11" t="s">
        <v>3</v>
      </c>
      <c r="B11" s="1">
        <f>(B9/($K9-$J9))*-$J$11</f>
        <v>2406155.4349935809</v>
      </c>
      <c r="C11" s="1">
        <f t="shared" ref="C11:I11" si="0">(C9/($K9-$J9))*-$J$11</f>
        <v>0</v>
      </c>
      <c r="D11" s="1">
        <f t="shared" si="0"/>
        <v>125304.67196471256</v>
      </c>
      <c r="E11" s="1">
        <f t="shared" si="0"/>
        <v>0</v>
      </c>
      <c r="G11" s="1">
        <f t="shared" si="0"/>
        <v>473082.95084051834</v>
      </c>
      <c r="H11" s="1">
        <f t="shared" si="0"/>
        <v>472833.47832753957</v>
      </c>
      <c r="I11" s="1">
        <f t="shared" si="0"/>
        <v>536752.77387364849</v>
      </c>
      <c r="J11" s="1">
        <f>-J9</f>
        <v>-4014129.31</v>
      </c>
      <c r="K11" s="1">
        <v>0</v>
      </c>
    </row>
    <row r="12" spans="1:11" x14ac:dyDescent="0.25">
      <c r="A12" t="s">
        <v>4</v>
      </c>
      <c r="B12" s="1">
        <f>+B9+B11</f>
        <v>19893357.95499358</v>
      </c>
      <c r="C12" s="1">
        <f t="shared" ref="C12:J12" si="1">+C9+C11</f>
        <v>0</v>
      </c>
      <c r="D12" s="1">
        <f t="shared" si="1"/>
        <v>1035980.7419647125</v>
      </c>
      <c r="E12" s="1">
        <f t="shared" si="1"/>
        <v>0</v>
      </c>
      <c r="G12" s="1">
        <f t="shared" si="1"/>
        <v>3911305.2908405182</v>
      </c>
      <c r="H12" s="1">
        <f t="shared" si="1"/>
        <v>3909242.7283275397</v>
      </c>
      <c r="I12" s="1">
        <f t="shared" si="1"/>
        <v>4437707.9338736488</v>
      </c>
      <c r="J12" s="1">
        <f t="shared" si="1"/>
        <v>0</v>
      </c>
      <c r="K12" s="1">
        <f>SUM(B12:J12)</f>
        <v>33187594.649999999</v>
      </c>
    </row>
    <row r="14" spans="1:11" x14ac:dyDescent="0.25">
      <c r="A14" t="s">
        <v>5</v>
      </c>
      <c r="B14" s="1">
        <f>B$9/($K$9-$J$9-$I$9)*-I14</f>
        <v>3070652.5316061527</v>
      </c>
      <c r="C14" s="1">
        <f t="shared" ref="C14:H14" si="2">C$9/($K$9-$J$9-$I$9)*-$I$14</f>
        <v>0</v>
      </c>
      <c r="D14" s="1">
        <f t="shared" si="2"/>
        <v>159909.49819563489</v>
      </c>
      <c r="E14" s="1">
        <f t="shared" si="2"/>
        <v>0</v>
      </c>
      <c r="G14" s="1">
        <f t="shared" si="2"/>
        <v>603732.1361419122</v>
      </c>
      <c r="H14" s="1">
        <f t="shared" si="2"/>
        <v>603413.7679299491</v>
      </c>
      <c r="I14" s="1">
        <f>-I12</f>
        <v>-4437707.9338736488</v>
      </c>
      <c r="K14" s="1">
        <v>0</v>
      </c>
    </row>
    <row r="15" spans="1:11" x14ac:dyDescent="0.25">
      <c r="A15" t="s">
        <v>4</v>
      </c>
      <c r="B15" s="1">
        <f>+B12+B14</f>
        <v>22964010.486599732</v>
      </c>
      <c r="C15" s="1">
        <f>+C12+C14</f>
        <v>0</v>
      </c>
      <c r="D15" s="1">
        <f>+D12+D14</f>
        <v>1195890.2401603474</v>
      </c>
      <c r="E15" s="1">
        <f>+E12+E14</f>
        <v>0</v>
      </c>
      <c r="G15" s="1">
        <f>+G12+G14</f>
        <v>4515037.4269824307</v>
      </c>
      <c r="H15" s="1">
        <f>+H12+H14</f>
        <v>4512656.4962574886</v>
      </c>
      <c r="I15" s="1">
        <f>+I12+I14</f>
        <v>0</v>
      </c>
      <c r="J15" s="1">
        <f>+J12+J14</f>
        <v>0</v>
      </c>
      <c r="K15" s="1">
        <f>SUM(B15:J15)</f>
        <v>33187594.649999995</v>
      </c>
    </row>
    <row r="17" spans="1:11" x14ac:dyDescent="0.25">
      <c r="A17" t="s">
        <v>6</v>
      </c>
      <c r="B17" s="1">
        <f>B$9/($K$9-$J$9-$I$9-$H$9)*-$H$17</f>
        <v>3613911.5818443107</v>
      </c>
      <c r="C17" s="1">
        <f>C$9/($K$9-$J$9-$I$9-$H$9)*-$H$17</f>
        <v>0</v>
      </c>
      <c r="D17" s="1">
        <f>D$9/($K$9-$J$9-$I$9-$H$9)*-$H$17</f>
        <v>188200.64518138033</v>
      </c>
      <c r="E17" s="1">
        <f>E$9/($K$9-$J$9-$I$9-$H$9)*-$H$17</f>
        <v>0</v>
      </c>
      <c r="G17" s="1">
        <f>G$9/($K$9-$J$9-$I$9-$H$9)*-$H$17</f>
        <v>710544.26923179743</v>
      </c>
      <c r="H17" s="1">
        <f>-H15</f>
        <v>-4512656.4962574886</v>
      </c>
      <c r="K17" s="1">
        <v>0</v>
      </c>
    </row>
    <row r="18" spans="1:11" x14ac:dyDescent="0.25">
      <c r="A18" t="s">
        <v>4</v>
      </c>
      <c r="B18" s="1">
        <f>+B15+B17</f>
        <v>26577922.068444043</v>
      </c>
      <c r="C18" s="1">
        <f>+C15+C17</f>
        <v>0</v>
      </c>
      <c r="D18" s="1">
        <f>+D15+D17</f>
        <v>1384090.8853417276</v>
      </c>
      <c r="E18" s="1">
        <f>+E15+E17</f>
        <v>0</v>
      </c>
      <c r="G18" s="1">
        <f>+G15+G17</f>
        <v>5225581.6962142279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33187594.649999999</v>
      </c>
    </row>
    <row r="20" spans="1:11" x14ac:dyDescent="0.25">
      <c r="A20" t="s">
        <v>7</v>
      </c>
      <c r="B20" s="1">
        <f>B$9/($K$9-$J$9-$I$9-$H$9-$G$9)*-$G$20</f>
        <v>4966920.776190605</v>
      </c>
      <c r="C20" s="1">
        <f>C$9/($K$9-$J$9-$I$9-$H$9-$G$9)*-$G$20</f>
        <v>0</v>
      </c>
      <c r="D20" s="1">
        <f>D$9/($K$9-$J$9-$I$9-$H$9-$G$9)*-$G$20</f>
        <v>258660.92002362252</v>
      </c>
      <c r="E20" s="1">
        <f>E$9/($K$9-$J$9-$I$9-$H$9-$G$9)*-$G$20</f>
        <v>0</v>
      </c>
      <c r="G20" s="1">
        <f>-G18</f>
        <v>-5225581.6962142279</v>
      </c>
      <c r="K20" s="1">
        <f>SUM(B20:J20)</f>
        <v>0</v>
      </c>
    </row>
    <row r="22" spans="1:11" x14ac:dyDescent="0.25">
      <c r="A22" t="s">
        <v>8</v>
      </c>
      <c r="B22" s="1">
        <f>+B20+B18</f>
        <v>31544842.844634648</v>
      </c>
      <c r="C22" s="1">
        <f t="shared" ref="C22:K22" si="3">+C20+C18</f>
        <v>0</v>
      </c>
      <c r="D22" s="1">
        <f t="shared" si="3"/>
        <v>1642751.8053653501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33187594.649999999</v>
      </c>
    </row>
    <row r="27" spans="1:11" x14ac:dyDescent="0.25">
      <c r="A27" t="s">
        <v>9</v>
      </c>
      <c r="B27" s="1">
        <f>+B9</f>
        <v>17487202.52</v>
      </c>
    </row>
    <row r="28" spans="1:11" x14ac:dyDescent="0.25">
      <c r="A28" t="s">
        <v>10</v>
      </c>
      <c r="B28" s="1">
        <f>+B22-B27</f>
        <v>14057640.324634649</v>
      </c>
    </row>
    <row r="29" spans="1:11" x14ac:dyDescent="0.25">
      <c r="A29" s="29" t="s">
        <v>164</v>
      </c>
      <c r="B29" s="1">
        <v>3131</v>
      </c>
    </row>
    <row r="30" spans="1:11" x14ac:dyDescent="0.25">
      <c r="A30" t="s">
        <v>11</v>
      </c>
      <c r="B30" s="1">
        <f>+B28/B29</f>
        <v>4489.8244409564513</v>
      </c>
    </row>
  </sheetData>
  <phoneticPr fontId="0" type="noConversion"/>
  <pageMargins left="0.57999999999999996" right="0.55000000000000004" top="1" bottom="0.5" header="0.5" footer="0.5"/>
  <pageSetup scale="10" orientation="landscape" horizontalDpi="4294967294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0"/>
  <sheetViews>
    <sheetView zoomScale="75" workbookViewId="0">
      <selection activeCell="B30" sqref="B30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1.453125" style="1" customWidth="1"/>
    <col min="8" max="8" width="10.54296875" style="1" customWidth="1"/>
    <col min="9" max="9" width="11" style="1" customWidth="1"/>
    <col min="10" max="10" width="10.26953125" style="1" customWidth="1"/>
    <col min="11" max="11" width="13.5429687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33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Table'!B48</f>
        <v>48456201.649999999</v>
      </c>
      <c r="C9" s="1">
        <f>'Master Expend Table'!C48</f>
        <v>73084.87</v>
      </c>
      <c r="D9" s="1">
        <f>'Master Expend Table'!D48</f>
        <v>194442.21</v>
      </c>
      <c r="E9" s="1">
        <f>'Master Expend Table'!E48</f>
        <v>3170329.48</v>
      </c>
      <c r="G9" s="1">
        <f>'Master Expend Table'!G48</f>
        <v>14639416.25</v>
      </c>
      <c r="H9" s="1">
        <f>'Master Expend Table'!H48</f>
        <v>7581225.8200000003</v>
      </c>
      <c r="I9" s="1">
        <f>'Master Expend Table'!I48</f>
        <v>15431023.460000001</v>
      </c>
      <c r="J9" s="1">
        <f>'Master Expend Table'!J48</f>
        <v>9674040.4399999995</v>
      </c>
      <c r="K9" s="1">
        <f>SUM(B9:J9)</f>
        <v>99219764.180000007</v>
      </c>
    </row>
    <row r="11" spans="1:11" x14ac:dyDescent="0.25">
      <c r="A11" t="s">
        <v>3</v>
      </c>
      <c r="B11" s="1">
        <f>(B9/($K9-$J9))*-$J$11</f>
        <v>5234948.524085653</v>
      </c>
      <c r="C11" s="1">
        <f t="shared" ref="C11:I11" si="0">(C9/($K9-$J9))*-$J$11</f>
        <v>7895.6979563314944</v>
      </c>
      <c r="D11" s="1">
        <f t="shared" si="0"/>
        <v>21006.495053238508</v>
      </c>
      <c r="E11" s="1">
        <f t="shared" si="0"/>
        <v>342505.41864729993</v>
      </c>
      <c r="G11" s="1">
        <f t="shared" si="0"/>
        <v>1581564.1317691486</v>
      </c>
      <c r="H11" s="1">
        <f t="shared" si="0"/>
        <v>819035.03712138464</v>
      </c>
      <c r="I11" s="1">
        <f t="shared" si="0"/>
        <v>1667085.135366942</v>
      </c>
      <c r="J11" s="1">
        <f>-J9</f>
        <v>-9674040.4399999995</v>
      </c>
      <c r="K11" s="1">
        <v>0</v>
      </c>
    </row>
    <row r="12" spans="1:11" x14ac:dyDescent="0.25">
      <c r="A12" t="s">
        <v>4</v>
      </c>
      <c r="B12" s="1">
        <f>+B9+B11</f>
        <v>53691150.174085654</v>
      </c>
      <c r="C12" s="1">
        <f t="shared" ref="C12:J12" si="1">+C9+C11</f>
        <v>80980.567956331492</v>
      </c>
      <c r="D12" s="1">
        <f t="shared" si="1"/>
        <v>215448.70505323849</v>
      </c>
      <c r="E12" s="1">
        <f t="shared" si="1"/>
        <v>3512834.8986473</v>
      </c>
      <c r="G12" s="1">
        <f t="shared" si="1"/>
        <v>16220980.381769149</v>
      </c>
      <c r="H12" s="1">
        <f t="shared" si="1"/>
        <v>8400260.8571213856</v>
      </c>
      <c r="I12" s="1">
        <f t="shared" si="1"/>
        <v>17098108.595366944</v>
      </c>
      <c r="J12" s="1">
        <f t="shared" si="1"/>
        <v>0</v>
      </c>
      <c r="K12" s="1">
        <f>SUM(B12:J12)</f>
        <v>99219764.179999992</v>
      </c>
    </row>
    <row r="14" spans="1:11" x14ac:dyDescent="0.25">
      <c r="A14" t="s">
        <v>5</v>
      </c>
      <c r="B14" s="1">
        <f>B$9/($K$9-$J$9-$I$9)*-I14</f>
        <v>11178745.846649179</v>
      </c>
      <c r="C14" s="1">
        <f t="shared" ref="C14:H14" si="2">C$9/($K$9-$J$9-$I$9)*-$I$14</f>
        <v>16860.528872373867</v>
      </c>
      <c r="D14" s="1">
        <f t="shared" si="2"/>
        <v>44857.417078434744</v>
      </c>
      <c r="E14" s="1">
        <f t="shared" si="2"/>
        <v>731388.47660915367</v>
      </c>
      <c r="G14" s="1">
        <f t="shared" si="2"/>
        <v>3377283.1552936225</v>
      </c>
      <c r="H14" s="1">
        <f t="shared" si="2"/>
        <v>1748973.1708641783</v>
      </c>
      <c r="I14" s="1">
        <f>-I12</f>
        <v>-17098108.595366944</v>
      </c>
      <c r="K14" s="1">
        <v>0</v>
      </c>
    </row>
    <row r="15" spans="1:11" x14ac:dyDescent="0.25">
      <c r="A15" t="s">
        <v>4</v>
      </c>
      <c r="B15" s="1">
        <f>+B12+B14</f>
        <v>64869896.020734832</v>
      </c>
      <c r="C15" s="1">
        <f>+C12+C14</f>
        <v>97841.096828705355</v>
      </c>
      <c r="D15" s="1">
        <f>+D12+D14</f>
        <v>260306.12213167324</v>
      </c>
      <c r="E15" s="1">
        <f>+E12+E14</f>
        <v>4244223.3752564536</v>
      </c>
      <c r="G15" s="1">
        <f>+G12+G14</f>
        <v>19598263.537062772</v>
      </c>
      <c r="H15" s="1">
        <f>+H12+H14</f>
        <v>10149234.027985564</v>
      </c>
      <c r="I15" s="1">
        <f>+I12+I14</f>
        <v>0</v>
      </c>
      <c r="J15" s="1">
        <f>+J12+J14</f>
        <v>0</v>
      </c>
      <c r="K15" s="1">
        <f>SUM(B15:J15)</f>
        <v>99219764.179999992</v>
      </c>
    </row>
    <row r="17" spans="1:11" x14ac:dyDescent="0.25">
      <c r="A17" t="s">
        <v>6</v>
      </c>
      <c r="B17" s="1">
        <f>B$9/($K$9-$J$9-$I$9-$H$9)*-$H$17</f>
        <v>7391667.6476707514</v>
      </c>
      <c r="C17" s="1">
        <f>C$9/($K$9-$J$9-$I$9-$H$9)*-$H$17</f>
        <v>11148.605353247342</v>
      </c>
      <c r="D17" s="1">
        <f>D$9/($K$9-$J$9-$I$9-$H$9)*-$H$17</f>
        <v>29660.851326728003</v>
      </c>
      <c r="E17" s="1">
        <f>E$9/($K$9-$J$9-$I$9-$H$9)*-$H$17</f>
        <v>483612.43869334186</v>
      </c>
      <c r="G17" s="1">
        <f>G$9/($K$9-$J$9-$I$9-$H$9)*-$H$17</f>
        <v>2233144.4849414951</v>
      </c>
      <c r="H17" s="1">
        <f>-H15</f>
        <v>-10149234.027985564</v>
      </c>
      <c r="K17" s="1">
        <v>0</v>
      </c>
    </row>
    <row r="18" spans="1:11" x14ac:dyDescent="0.25">
      <c r="A18" t="s">
        <v>4</v>
      </c>
      <c r="B18" s="1">
        <f>+B15+B17</f>
        <v>72261563.668405578</v>
      </c>
      <c r="C18" s="1">
        <f>+C15+C17</f>
        <v>108989.7021819527</v>
      </c>
      <c r="D18" s="1">
        <f>+D15+D17</f>
        <v>289966.97345840122</v>
      </c>
      <c r="E18" s="1">
        <f>+E15+E17</f>
        <v>4727835.8139497954</v>
      </c>
      <c r="G18" s="1">
        <f>+G15+G17</f>
        <v>21831408.022004265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99219764.179999977</v>
      </c>
    </row>
    <row r="20" spans="1:11" x14ac:dyDescent="0.25">
      <c r="A20" t="s">
        <v>7</v>
      </c>
      <c r="B20" s="1">
        <f>B$9/($K$9-$J$9-$I$9-$H$9-$G$9)*-$G$20</f>
        <v>20385129.741381738</v>
      </c>
      <c r="C20" s="1">
        <f>C$9/($K$9-$J$9-$I$9-$H$9-$G$9)*-$G$20</f>
        <v>30746.210110383636</v>
      </c>
      <c r="D20" s="1">
        <f>D$9/($K$9-$J$9-$I$9-$H$9-$G$9)*-$G$20</f>
        <v>81800.255552036106</v>
      </c>
      <c r="E20" s="1">
        <f>E$9/($K$9-$J$9-$I$9-$H$9-$G$9)*-$G$20</f>
        <v>1333731.8149601044</v>
      </c>
      <c r="G20" s="1">
        <f>-G18</f>
        <v>-21831408.022004265</v>
      </c>
      <c r="K20" s="1">
        <f>SUM(B20:J20)</f>
        <v>0</v>
      </c>
    </row>
    <row r="22" spans="1:11" x14ac:dyDescent="0.25">
      <c r="A22" t="s">
        <v>8</v>
      </c>
      <c r="B22" s="1">
        <f>+B20+B18</f>
        <v>92646693.409787312</v>
      </c>
      <c r="C22" s="1">
        <f t="shared" ref="C22:K22" si="3">+C20+C18</f>
        <v>139735.91229233635</v>
      </c>
      <c r="D22" s="1">
        <f t="shared" si="3"/>
        <v>371767.22901043732</v>
      </c>
      <c r="E22" s="1">
        <f t="shared" si="3"/>
        <v>6061567.6289098999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99219764.179999977</v>
      </c>
    </row>
    <row r="27" spans="1:11" x14ac:dyDescent="0.25">
      <c r="A27" t="s">
        <v>9</v>
      </c>
      <c r="B27" s="1">
        <f>+B9</f>
        <v>48456201.649999999</v>
      </c>
    </row>
    <row r="28" spans="1:11" x14ac:dyDescent="0.25">
      <c r="A28" t="s">
        <v>10</v>
      </c>
      <c r="B28" s="1">
        <f>+B22-B27</f>
        <v>44190491.759787314</v>
      </c>
    </row>
    <row r="29" spans="1:11" x14ac:dyDescent="0.25">
      <c r="A29" s="29" t="s">
        <v>164</v>
      </c>
      <c r="B29" s="1">
        <v>7216</v>
      </c>
    </row>
    <row r="30" spans="1:11" x14ac:dyDescent="0.25">
      <c r="A30" t="s">
        <v>11</v>
      </c>
      <c r="B30" s="1">
        <f>+B28/B29</f>
        <v>6123.9595010791736</v>
      </c>
    </row>
  </sheetData>
  <phoneticPr fontId="0" type="noConversion"/>
  <pageMargins left="0.61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17" sqref="D17"/>
    </sheetView>
  </sheetViews>
  <sheetFormatPr defaultColWidth="9.1796875" defaultRowHeight="11.5" x14ac:dyDescent="0.25"/>
  <cols>
    <col min="1" max="1" width="9.1796875" style="27"/>
    <col min="2" max="2" width="34.1796875" style="12" customWidth="1"/>
    <col min="3" max="3" width="10.54296875" style="28" bestFit="1" customWidth="1"/>
    <col min="4" max="16384" width="9.1796875" style="12"/>
  </cols>
  <sheetData>
    <row r="1" spans="1:4" x14ac:dyDescent="0.25">
      <c r="B1" s="14" t="s">
        <v>69</v>
      </c>
    </row>
    <row r="2" spans="1:4" x14ac:dyDescent="0.25">
      <c r="B2" s="14" t="s">
        <v>161</v>
      </c>
    </row>
    <row r="5" spans="1:4" x14ac:dyDescent="0.25">
      <c r="A5" s="42" t="s">
        <v>122</v>
      </c>
      <c r="B5" s="13" t="s">
        <v>35</v>
      </c>
      <c r="C5" s="32" t="s">
        <v>10</v>
      </c>
      <c r="D5" s="33" t="s">
        <v>11</v>
      </c>
    </row>
    <row r="6" spans="1:4" x14ac:dyDescent="0.25">
      <c r="A6" s="42" t="s">
        <v>123</v>
      </c>
      <c r="B6" s="34" t="s">
        <v>110</v>
      </c>
      <c r="C6" s="32">
        <f>'ALEX TC'!B28</f>
        <v>9730386.9081875738</v>
      </c>
      <c r="D6" s="32">
        <f>'ALEX TC'!B30</f>
        <v>5457.3117824944329</v>
      </c>
    </row>
    <row r="7" spans="1:4" x14ac:dyDescent="0.25">
      <c r="A7" s="42" t="s">
        <v>124</v>
      </c>
      <c r="B7" s="15" t="s">
        <v>111</v>
      </c>
      <c r="C7" s="32">
        <f>ARCCATC!B28</f>
        <v>31349932.737728626</v>
      </c>
      <c r="D7" s="32">
        <f>ARCCATC!B30</f>
        <v>4755.7543594855315</v>
      </c>
    </row>
    <row r="8" spans="1:4" x14ac:dyDescent="0.25">
      <c r="A8" s="42" t="s">
        <v>124</v>
      </c>
      <c r="B8" s="34" t="s">
        <v>71</v>
      </c>
      <c r="C8" s="32">
        <f>'ANOKARAM CC'!B28</f>
        <v>23664768.485214971</v>
      </c>
      <c r="D8" s="32">
        <f>'ANOKARAM CC'!B30</f>
        <v>4446.593101318108</v>
      </c>
    </row>
    <row r="9" spans="1:4" x14ac:dyDescent="0.25">
      <c r="A9" s="42" t="s">
        <v>128</v>
      </c>
      <c r="B9" s="34" t="s">
        <v>72</v>
      </c>
      <c r="C9" s="35">
        <f>'ANOKA TC'!B28</f>
        <v>7619698.2045579869</v>
      </c>
      <c r="D9" s="35">
        <f>'ANOKA TC'!B30</f>
        <v>5999.7623657936902</v>
      </c>
    </row>
    <row r="10" spans="1:4" ht="23" x14ac:dyDescent="0.25">
      <c r="A10" s="42" t="s">
        <v>129</v>
      </c>
      <c r="B10" s="36" t="s">
        <v>77</v>
      </c>
      <c r="C10" s="32">
        <f>C11+C12</f>
        <v>27219757.723682228</v>
      </c>
      <c r="D10" s="35">
        <f>'BSU &amp; TC'!B30</f>
        <v>5651.1010320469049</v>
      </c>
    </row>
    <row r="11" spans="1:4" x14ac:dyDescent="0.25">
      <c r="A11" s="42" t="s">
        <v>129</v>
      </c>
      <c r="B11" s="36" t="s">
        <v>75</v>
      </c>
      <c r="C11" s="35">
        <f>'BEMIDJI SU'!B28</f>
        <v>22813920.312194761</v>
      </c>
      <c r="D11" s="35">
        <f>'BEMIDJI SU'!B30</f>
        <v>5413.8396564297009</v>
      </c>
    </row>
    <row r="12" spans="1:4" x14ac:dyDescent="0.25">
      <c r="A12" s="42" t="s">
        <v>130</v>
      </c>
      <c r="B12" s="36" t="s">
        <v>76</v>
      </c>
      <c r="C12" s="35">
        <f>'NTC-Bemidji'!B28</f>
        <v>4405837.4114874667</v>
      </c>
      <c r="D12" s="35">
        <f>'NTC-Bemidji'!B30</f>
        <v>7492.920767835828</v>
      </c>
    </row>
    <row r="13" spans="1:4" x14ac:dyDescent="0.25">
      <c r="A13" s="42" t="s">
        <v>131</v>
      </c>
      <c r="B13" s="34" t="s">
        <v>39</v>
      </c>
      <c r="C13" s="35">
        <f>'CENTRAL LAKES'!B28</f>
        <v>12090625.925121265</v>
      </c>
      <c r="D13" s="35">
        <f>'CENTRAL LAKES'!B30</f>
        <v>4591.9581941212555</v>
      </c>
    </row>
    <row r="14" spans="1:4" ht="10.5" customHeight="1" x14ac:dyDescent="0.25">
      <c r="A14" s="42" t="s">
        <v>132</v>
      </c>
      <c r="B14" s="34" t="s">
        <v>40</v>
      </c>
      <c r="C14" s="35">
        <f>CENTURY!B28</f>
        <v>28004430.328137927</v>
      </c>
      <c r="D14" s="35">
        <f>CENTURY!B30</f>
        <v>4112.85509298545</v>
      </c>
    </row>
    <row r="15" spans="1:4" ht="23" x14ac:dyDescent="0.25">
      <c r="A15" s="42" t="s">
        <v>133</v>
      </c>
      <c r="B15" s="34" t="s">
        <v>160</v>
      </c>
      <c r="C15" s="35">
        <f>Sheet2!B28</f>
        <v>24647736.37672016</v>
      </c>
      <c r="D15" s="35">
        <f>Sheet2!B30</f>
        <v>5195.5599445025637</v>
      </c>
    </row>
    <row r="16" spans="1:4" x14ac:dyDescent="0.25">
      <c r="A16" s="42" t="s">
        <v>133</v>
      </c>
      <c r="B16" s="36" t="s">
        <v>78</v>
      </c>
      <c r="C16" s="35">
        <f>'DAKCTY TC'!B28</f>
        <v>10394362.519780552</v>
      </c>
      <c r="D16" s="35">
        <f>'DAKCTY TC'!B30</f>
        <v>5470.7171156739751</v>
      </c>
    </row>
    <row r="17" spans="1:4" x14ac:dyDescent="0.25">
      <c r="A17" s="42" t="s">
        <v>134</v>
      </c>
      <c r="B17" s="36" t="s">
        <v>79</v>
      </c>
      <c r="C17" s="35">
        <f>'FDL CC'!B28</f>
        <v>4941265.8822254017</v>
      </c>
      <c r="D17" s="35">
        <f>'FDL CC'!B30</f>
        <v>4996.2243500762406</v>
      </c>
    </row>
    <row r="18" spans="1:4" x14ac:dyDescent="0.25">
      <c r="A18" s="42" t="s">
        <v>135</v>
      </c>
      <c r="B18" s="36" t="s">
        <v>80</v>
      </c>
      <c r="C18" s="35">
        <f>'HENN TC'!B28</f>
        <v>18592370.366159573</v>
      </c>
      <c r="D18" s="35">
        <f>'HENN TC'!B30</f>
        <v>5784.807207890346</v>
      </c>
    </row>
    <row r="19" spans="1:4" x14ac:dyDescent="0.25">
      <c r="A19" s="42" t="s">
        <v>127</v>
      </c>
      <c r="B19" s="36" t="s">
        <v>81</v>
      </c>
      <c r="C19" s="35">
        <f>'INVER HILLS'!B28</f>
        <v>14318547.50336097</v>
      </c>
      <c r="D19" s="35">
        <f>'INVER HILLS'!B30</f>
        <v>5034.6510208723521</v>
      </c>
    </row>
    <row r="20" spans="1:4" x14ac:dyDescent="0.25">
      <c r="A20" s="42" t="s">
        <v>136</v>
      </c>
      <c r="B20" s="34" t="s">
        <v>41</v>
      </c>
      <c r="C20" s="35">
        <f>'LAKE SUPERIOR'!B28</f>
        <v>14409460.640852559</v>
      </c>
      <c r="D20" s="35">
        <f>'LAKE SUPERIOR'!B30</f>
        <v>4615.4582449880072</v>
      </c>
    </row>
    <row r="21" spans="1:4" x14ac:dyDescent="0.25">
      <c r="A21" s="42" t="s">
        <v>137</v>
      </c>
      <c r="B21" s="37" t="s">
        <v>82</v>
      </c>
      <c r="C21" s="35">
        <f>'METRO SU'!B28</f>
        <v>48656686.895907924</v>
      </c>
      <c r="D21" s="35">
        <f>'METRO SU'!B30</f>
        <v>8195.5005719905548</v>
      </c>
    </row>
    <row r="22" spans="1:4" x14ac:dyDescent="0.25">
      <c r="A22" s="42" t="s">
        <v>138</v>
      </c>
      <c r="B22" s="37" t="s">
        <v>83</v>
      </c>
      <c r="C22" s="35">
        <f>'MPLS COLLEGE'!B28</f>
        <v>25112344.729505889</v>
      </c>
      <c r="D22" s="35">
        <f>'MPLS COLLEGE'!B30</f>
        <v>5435.572452274002</v>
      </c>
    </row>
    <row r="23" spans="1:4" x14ac:dyDescent="0.25">
      <c r="A23" s="42" t="s">
        <v>139</v>
      </c>
      <c r="B23" s="37" t="s">
        <v>84</v>
      </c>
      <c r="C23" s="35">
        <f>'MN SC-SOUTHEAST'!B28</f>
        <v>7393264.1780876648</v>
      </c>
      <c r="D23" s="35">
        <f>'MN SC-SOUTHEAST'!B30</f>
        <v>6456.9992821726328</v>
      </c>
    </row>
    <row r="24" spans="1:4" x14ac:dyDescent="0.25">
      <c r="A24" s="42" t="s">
        <v>140</v>
      </c>
      <c r="B24" s="37" t="s">
        <v>85</v>
      </c>
      <c r="C24" s="35">
        <f>'MINNESOTA STATE COLLEGE'!B28</f>
        <v>20005903.163324751</v>
      </c>
      <c r="D24" s="35">
        <f>'MINNESOTA STATE COLLEGE'!B30</f>
        <v>5110.0646649616219</v>
      </c>
    </row>
    <row r="25" spans="1:4" x14ac:dyDescent="0.25">
      <c r="A25" s="42" t="s">
        <v>141</v>
      </c>
      <c r="B25" s="37" t="s">
        <v>112</v>
      </c>
      <c r="C25" s="35">
        <f>'MSU MOORHEAD'!B28</f>
        <v>33953105.349436857</v>
      </c>
      <c r="D25" s="35">
        <f>'MSU MOORHEAD'!B30</f>
        <v>6457.4182863135902</v>
      </c>
    </row>
    <row r="26" spans="1:4" x14ac:dyDescent="0.25">
      <c r="A26" s="42" t="s">
        <v>142</v>
      </c>
      <c r="B26" s="37" t="s">
        <v>113</v>
      </c>
      <c r="C26" s="35">
        <f>'MSU MANKATO'!B28</f>
        <v>78374040.593137637</v>
      </c>
      <c r="D26" s="35">
        <f>'MSU MANKATO'!B30</f>
        <v>5912.3446434171419</v>
      </c>
    </row>
    <row r="27" spans="1:4" x14ac:dyDescent="0.25">
      <c r="A27" s="42" t="s">
        <v>143</v>
      </c>
      <c r="B27" s="37" t="s">
        <v>114</v>
      </c>
      <c r="C27" s="35">
        <f>'MN WEST'!B28</f>
        <v>10225348.532155799</v>
      </c>
      <c r="D27" s="35">
        <f>'MN WEST'!B30</f>
        <v>5203.739711020763</v>
      </c>
    </row>
    <row r="28" spans="1:4" x14ac:dyDescent="0.25">
      <c r="A28" s="42" t="s">
        <v>144</v>
      </c>
      <c r="B28" s="37" t="s">
        <v>86</v>
      </c>
      <c r="C28" s="35">
        <f>NORMANDALE!B28</f>
        <v>29334010.191488449</v>
      </c>
      <c r="D28" s="35">
        <f>NORMANDALE!B30</f>
        <v>4308.1231005270156</v>
      </c>
    </row>
    <row r="29" spans="1:4" x14ac:dyDescent="0.25">
      <c r="A29" s="42" t="s">
        <v>125</v>
      </c>
      <c r="B29" s="37" t="s">
        <v>87</v>
      </c>
      <c r="C29" s="35">
        <f>'NO HENN CC'!B28</f>
        <v>20975073.366554711</v>
      </c>
      <c r="D29" s="35">
        <f>'NO HENN CC'!B30</f>
        <v>5190.5650498774339</v>
      </c>
    </row>
    <row r="30" spans="1:4" x14ac:dyDescent="0.25">
      <c r="A30" s="42" t="s">
        <v>145</v>
      </c>
      <c r="B30" s="34" t="s">
        <v>45</v>
      </c>
      <c r="C30" s="32">
        <f>SUM(C31:C35)</f>
        <v>18162357.120333653</v>
      </c>
      <c r="D30" s="35">
        <f>NHED!B30</f>
        <v>5516.858303965495</v>
      </c>
    </row>
    <row r="31" spans="1:4" x14ac:dyDescent="0.25">
      <c r="A31" s="42" t="s">
        <v>146</v>
      </c>
      <c r="B31" s="36" t="s">
        <v>88</v>
      </c>
      <c r="C31" s="35">
        <f>HIBBING!B28</f>
        <v>5237491.5122154271</v>
      </c>
      <c r="D31" s="35">
        <f>HIBBING!B30</f>
        <v>6235.1089431136033</v>
      </c>
    </row>
    <row r="32" spans="1:4" x14ac:dyDescent="0.25">
      <c r="A32" s="42" t="s">
        <v>147</v>
      </c>
      <c r="B32" s="36" t="s">
        <v>89</v>
      </c>
      <c r="C32" s="35">
        <f>'ITASCA CC'!B28</f>
        <v>4191576.1946861446</v>
      </c>
      <c r="D32" s="35">
        <f>'ITASCA CC'!B30</f>
        <v>4812.37220974299</v>
      </c>
    </row>
    <row r="33" spans="1:4" x14ac:dyDescent="0.25">
      <c r="A33" s="42" t="s">
        <v>145</v>
      </c>
      <c r="B33" s="36" t="s">
        <v>46</v>
      </c>
      <c r="C33" s="35">
        <f>'MESABI RANGE'!B28</f>
        <v>4311210.1806789255</v>
      </c>
      <c r="D33" s="35">
        <f>'MESABI RANGE'!B30</f>
        <v>5322.4817045418831</v>
      </c>
    </row>
    <row r="34" spans="1:4" x14ac:dyDescent="0.25">
      <c r="A34" s="42" t="s">
        <v>126</v>
      </c>
      <c r="B34" s="36" t="s">
        <v>90</v>
      </c>
      <c r="C34" s="35">
        <f>'RAINY RIVER'!B28</f>
        <v>1483347.6683387384</v>
      </c>
      <c r="D34" s="35">
        <f>'RAINY RIVER'!B30</f>
        <v>6867.3503163830483</v>
      </c>
    </row>
    <row r="35" spans="1:4" x14ac:dyDescent="0.25">
      <c r="A35" s="42" t="s">
        <v>148</v>
      </c>
      <c r="B35" s="36" t="s">
        <v>91</v>
      </c>
      <c r="C35" s="35">
        <f>VERMILION!B28</f>
        <v>2938731.5644144164</v>
      </c>
      <c r="D35" s="35">
        <f>VERMILION!B30</f>
        <v>5219.771872849763</v>
      </c>
    </row>
    <row r="36" spans="1:4" x14ac:dyDescent="0.25">
      <c r="A36" s="42" t="s">
        <v>149</v>
      </c>
      <c r="B36" s="37" t="s">
        <v>92</v>
      </c>
      <c r="C36" s="35">
        <f>NORTHLAND!B28</f>
        <v>11333464.464571338</v>
      </c>
      <c r="D36" s="35">
        <f>NORTHLAND!B30</f>
        <v>5338.4194369153738</v>
      </c>
    </row>
    <row r="37" spans="1:4" x14ac:dyDescent="0.25">
      <c r="A37" s="42" t="s">
        <v>150</v>
      </c>
      <c r="B37" s="37" t="s">
        <v>93</v>
      </c>
      <c r="C37" s="35">
        <f>'PINE TC'!B28</f>
        <v>3816077.6130139856</v>
      </c>
      <c r="D37" s="35">
        <f>'PINE TC'!B30</f>
        <v>4653.753186602421</v>
      </c>
    </row>
    <row r="38" spans="1:4" x14ac:dyDescent="0.25">
      <c r="A38" s="42" t="s">
        <v>151</v>
      </c>
      <c r="B38" s="37" t="s">
        <v>48</v>
      </c>
      <c r="C38" s="35">
        <f>RIDGEWATER!B28</f>
        <v>12620982.833813053</v>
      </c>
      <c r="D38" s="35">
        <f>RIDGEWATER!B30</f>
        <v>5068.6678047441983</v>
      </c>
    </row>
    <row r="39" spans="1:4" x14ac:dyDescent="0.25">
      <c r="A39" s="42" t="s">
        <v>152</v>
      </c>
      <c r="B39" s="37" t="s">
        <v>94</v>
      </c>
      <c r="C39" s="35">
        <f>RIVERLAND!B28</f>
        <v>11929039.13870752</v>
      </c>
      <c r="D39" s="35">
        <f>RIVERLAND!B30</f>
        <v>5773.9782859184515</v>
      </c>
    </row>
    <row r="40" spans="1:4" x14ac:dyDescent="0.25">
      <c r="A40" s="42" t="s">
        <v>153</v>
      </c>
      <c r="B40" s="37" t="s">
        <v>95</v>
      </c>
      <c r="C40" s="35">
        <f>ROCHESTER!B28</f>
        <v>19271993.91537581</v>
      </c>
      <c r="D40" s="35">
        <f>ROCHESTER!B30</f>
        <v>5509.432222806121</v>
      </c>
    </row>
    <row r="41" spans="1:4" x14ac:dyDescent="0.25">
      <c r="A41" s="42" t="s">
        <v>154</v>
      </c>
      <c r="B41" s="37" t="s">
        <v>51</v>
      </c>
      <c r="C41" s="35">
        <f>'SAINT PAUL'!B28</f>
        <v>21479512.020923011</v>
      </c>
      <c r="D41" s="35">
        <f>'SAINT PAUL'!B30</f>
        <v>4763.6974985413644</v>
      </c>
    </row>
    <row r="42" spans="1:4" x14ac:dyDescent="0.25">
      <c r="A42" s="42" t="s">
        <v>155</v>
      </c>
      <c r="B42" s="37" t="s">
        <v>65</v>
      </c>
      <c r="C42" s="35">
        <f>'SOUTH CENTRAL'!B28</f>
        <v>12327230.823298994</v>
      </c>
      <c r="D42" s="35">
        <f>'SOUTH CENTRAL'!B30</f>
        <v>5765.7768116459283</v>
      </c>
    </row>
    <row r="43" spans="1:4" x14ac:dyDescent="0.25">
      <c r="A43" s="42" t="s">
        <v>156</v>
      </c>
      <c r="B43" s="37" t="s">
        <v>96</v>
      </c>
      <c r="C43" s="35">
        <f>'SOUTHWEST MN SU'!B28</f>
        <v>17908644.169084229</v>
      </c>
      <c r="D43" s="35">
        <f>'SOUTHWEST MN SU'!B30</f>
        <v>5023.4626000236267</v>
      </c>
    </row>
    <row r="44" spans="1:4" x14ac:dyDescent="0.25">
      <c r="A44" s="42" t="s">
        <v>157</v>
      </c>
      <c r="B44" s="37" t="s">
        <v>97</v>
      </c>
      <c r="C44" s="35">
        <f>'ST CLOUD SU'!B28</f>
        <v>59244920.765816092</v>
      </c>
      <c r="D44" s="35">
        <f>'ST CLOUD SU'!B30</f>
        <v>5681.3311052758045</v>
      </c>
    </row>
    <row r="45" spans="1:4" x14ac:dyDescent="0.25">
      <c r="A45" s="42" t="s">
        <v>158</v>
      </c>
      <c r="B45" s="37" t="s">
        <v>98</v>
      </c>
      <c r="C45" s="35">
        <f>'ST CLOUD TCC'!B28</f>
        <v>14057640.324634649</v>
      </c>
      <c r="D45" s="35">
        <f>'ST CLOUD TCC'!B30</f>
        <v>4489.8244409564513</v>
      </c>
    </row>
    <row r="46" spans="1:4" x14ac:dyDescent="0.25">
      <c r="A46" s="42" t="s">
        <v>159</v>
      </c>
      <c r="B46" s="37" t="s">
        <v>99</v>
      </c>
      <c r="C46" s="35">
        <f>'WINONA SU'!B28</f>
        <v>44190491.759787314</v>
      </c>
      <c r="D46" s="35">
        <f>'WINONA SU'!B30</f>
        <v>6123.9595010791736</v>
      </c>
    </row>
    <row r="48" spans="1:4" x14ac:dyDescent="0.25">
      <c r="D48" s="28"/>
    </row>
    <row r="50" spans="2:3" x14ac:dyDescent="0.25">
      <c r="B50" s="27" t="s">
        <v>50</v>
      </c>
      <c r="C50" s="12"/>
    </row>
    <row r="51" spans="2:3" x14ac:dyDescent="0.25">
      <c r="B51" s="27" t="s">
        <v>121</v>
      </c>
      <c r="C51" s="12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17" sqref="D17"/>
    </sheetView>
  </sheetViews>
  <sheetFormatPr defaultColWidth="9.1796875" defaultRowHeight="11.5" x14ac:dyDescent="0.25"/>
  <cols>
    <col min="1" max="1" width="9.1796875" style="27"/>
    <col min="2" max="2" width="34.1796875" style="12" customWidth="1"/>
    <col min="3" max="3" width="13.54296875" style="44" bestFit="1" customWidth="1"/>
    <col min="4" max="4" width="9.26953125" style="44" bestFit="1" customWidth="1"/>
    <col min="5" max="16384" width="9.1796875" style="12"/>
  </cols>
  <sheetData>
    <row r="1" spans="1:4" x14ac:dyDescent="0.25">
      <c r="A1" s="42" t="s">
        <v>122</v>
      </c>
      <c r="B1" s="13" t="s">
        <v>35</v>
      </c>
      <c r="C1" s="43" t="s">
        <v>10</v>
      </c>
      <c r="D1" s="43" t="s">
        <v>11</v>
      </c>
    </row>
    <row r="2" spans="1:4" x14ac:dyDescent="0.25">
      <c r="A2" s="42" t="s">
        <v>123</v>
      </c>
      <c r="B2" s="34" t="s">
        <v>110</v>
      </c>
      <c r="C2" s="45">
        <v>9730386.9081875738</v>
      </c>
      <c r="D2" s="45">
        <v>5457.3117824944329</v>
      </c>
    </row>
    <row r="3" spans="1:4" x14ac:dyDescent="0.25">
      <c r="A3" s="42" t="s">
        <v>124</v>
      </c>
      <c r="B3" s="36" t="s">
        <v>111</v>
      </c>
      <c r="C3" s="45">
        <v>31349932.737728626</v>
      </c>
      <c r="D3" s="45">
        <v>4755.7543594855315</v>
      </c>
    </row>
    <row r="4" spans="1:4" ht="23" x14ac:dyDescent="0.25">
      <c r="A4" s="42" t="s">
        <v>129</v>
      </c>
      <c r="B4" s="36" t="s">
        <v>77</v>
      </c>
      <c r="C4" s="45">
        <v>27219757.723682228</v>
      </c>
      <c r="D4" s="46">
        <v>5651.1010320469049</v>
      </c>
    </row>
    <row r="5" spans="1:4" x14ac:dyDescent="0.25">
      <c r="A5" s="42" t="s">
        <v>131</v>
      </c>
      <c r="B5" s="37" t="s">
        <v>39</v>
      </c>
      <c r="C5" s="46">
        <v>12090625.925121265</v>
      </c>
      <c r="D5" s="46">
        <v>4591.9581941212555</v>
      </c>
    </row>
    <row r="6" spans="1:4" x14ac:dyDescent="0.25">
      <c r="A6" s="42" t="s">
        <v>132</v>
      </c>
      <c r="B6" s="37" t="s">
        <v>40</v>
      </c>
      <c r="C6" s="46">
        <v>28004430.328137927</v>
      </c>
      <c r="D6" s="46">
        <v>4112.85509298545</v>
      </c>
    </row>
    <row r="7" spans="1:4" x14ac:dyDescent="0.25">
      <c r="A7" s="42" t="s">
        <v>133</v>
      </c>
      <c r="B7" s="37" t="s">
        <v>160</v>
      </c>
      <c r="C7" s="46">
        <v>24647736.37672016</v>
      </c>
      <c r="D7" s="46">
        <v>5195.5599445025637</v>
      </c>
    </row>
    <row r="8" spans="1:4" x14ac:dyDescent="0.25">
      <c r="A8" s="42" t="s">
        <v>134</v>
      </c>
      <c r="B8" s="37" t="s">
        <v>79</v>
      </c>
      <c r="C8" s="46">
        <v>4941265.8822254017</v>
      </c>
      <c r="D8" s="46">
        <v>4996.2243500762406</v>
      </c>
    </row>
    <row r="9" spans="1:4" x14ac:dyDescent="0.25">
      <c r="A9" s="42" t="s">
        <v>135</v>
      </c>
      <c r="B9" s="37" t="s">
        <v>80</v>
      </c>
      <c r="C9" s="46">
        <v>18592370.366159573</v>
      </c>
      <c r="D9" s="46">
        <v>5784.807207890346</v>
      </c>
    </row>
    <row r="10" spans="1:4" x14ac:dyDescent="0.25">
      <c r="A10" s="42" t="s">
        <v>136</v>
      </c>
      <c r="B10" s="37" t="s">
        <v>41</v>
      </c>
      <c r="C10" s="46">
        <v>14409460.640852559</v>
      </c>
      <c r="D10" s="46">
        <v>4615.4582449880072</v>
      </c>
    </row>
    <row r="11" spans="1:4" x14ac:dyDescent="0.25">
      <c r="A11" s="42" t="s">
        <v>137</v>
      </c>
      <c r="B11" s="34" t="s">
        <v>82</v>
      </c>
      <c r="C11" s="46">
        <v>48656686.895907924</v>
      </c>
      <c r="D11" s="46">
        <v>8195.5005719905548</v>
      </c>
    </row>
    <row r="12" spans="1:4" x14ac:dyDescent="0.25">
      <c r="A12" s="42" t="s">
        <v>138</v>
      </c>
      <c r="B12" s="37" t="s">
        <v>83</v>
      </c>
      <c r="C12" s="46">
        <v>25112344.729505889</v>
      </c>
      <c r="D12" s="46">
        <v>5435.572452274002</v>
      </c>
    </row>
    <row r="13" spans="1:4" x14ac:dyDescent="0.25">
      <c r="A13" s="42" t="s">
        <v>139</v>
      </c>
      <c r="B13" s="37" t="s">
        <v>84</v>
      </c>
      <c r="C13" s="46">
        <v>7393264.1780876648</v>
      </c>
      <c r="D13" s="46">
        <v>6456.9992821726328</v>
      </c>
    </row>
    <row r="14" spans="1:4" x14ac:dyDescent="0.25">
      <c r="A14" s="42" t="s">
        <v>140</v>
      </c>
      <c r="B14" s="37" t="s">
        <v>85</v>
      </c>
      <c r="C14" s="46">
        <v>20005903.163324751</v>
      </c>
      <c r="D14" s="46">
        <v>5110.0646649616219</v>
      </c>
    </row>
    <row r="15" spans="1:4" x14ac:dyDescent="0.25">
      <c r="A15" s="42" t="s">
        <v>141</v>
      </c>
      <c r="B15" s="37" t="s">
        <v>112</v>
      </c>
      <c r="C15" s="46">
        <v>33953105.349436857</v>
      </c>
      <c r="D15" s="46">
        <v>6457.4182863135902</v>
      </c>
    </row>
    <row r="16" spans="1:4" x14ac:dyDescent="0.25">
      <c r="A16" s="42" t="s">
        <v>142</v>
      </c>
      <c r="B16" s="37" t="s">
        <v>113</v>
      </c>
      <c r="C16" s="46">
        <v>78374040.593137637</v>
      </c>
      <c r="D16" s="46">
        <v>5912.3446434171419</v>
      </c>
    </row>
    <row r="17" spans="1:4" x14ac:dyDescent="0.25">
      <c r="A17" s="42" t="s">
        <v>143</v>
      </c>
      <c r="B17" s="37" t="s">
        <v>114</v>
      </c>
      <c r="C17" s="46">
        <v>10225348.532155799</v>
      </c>
      <c r="D17" s="46">
        <v>5203.739711020763</v>
      </c>
    </row>
    <row r="18" spans="1:4" x14ac:dyDescent="0.25">
      <c r="A18" s="42" t="s">
        <v>144</v>
      </c>
      <c r="B18" s="37" t="s">
        <v>86</v>
      </c>
      <c r="C18" s="46">
        <v>29334010.191488449</v>
      </c>
      <c r="D18" s="46">
        <v>4308.1231005270156</v>
      </c>
    </row>
    <row r="19" spans="1:4" x14ac:dyDescent="0.25">
      <c r="A19" s="42" t="s">
        <v>125</v>
      </c>
      <c r="B19" s="37" t="s">
        <v>87</v>
      </c>
      <c r="C19" s="46">
        <v>20975073.366554711</v>
      </c>
      <c r="D19" s="46">
        <v>5190.5650498774339</v>
      </c>
    </row>
    <row r="20" spans="1:4" x14ac:dyDescent="0.25">
      <c r="A20" s="42" t="s">
        <v>145</v>
      </c>
      <c r="B20" s="37" t="s">
        <v>45</v>
      </c>
      <c r="C20" s="45">
        <v>18162357.120333653</v>
      </c>
      <c r="D20" s="46">
        <v>5516.858303965495</v>
      </c>
    </row>
    <row r="21" spans="1:4" x14ac:dyDescent="0.25">
      <c r="A21" s="42" t="s">
        <v>146</v>
      </c>
      <c r="B21" s="37" t="s">
        <v>88</v>
      </c>
      <c r="C21" s="46">
        <v>5237491.5122154271</v>
      </c>
      <c r="D21" s="46">
        <v>6235.1089431136033</v>
      </c>
    </row>
    <row r="22" spans="1:4" x14ac:dyDescent="0.25">
      <c r="A22" s="27" t="s">
        <v>149</v>
      </c>
      <c r="B22" s="12" t="s">
        <v>92</v>
      </c>
      <c r="C22" s="47">
        <v>11333464.464571338</v>
      </c>
      <c r="D22" s="47">
        <v>5338.4194369153738</v>
      </c>
    </row>
    <row r="23" spans="1:4" x14ac:dyDescent="0.25">
      <c r="A23" s="27" t="s">
        <v>150</v>
      </c>
      <c r="B23" s="12" t="s">
        <v>93</v>
      </c>
      <c r="C23" s="47">
        <v>3816077.6130139856</v>
      </c>
      <c r="D23" s="47">
        <v>4653.753186602421</v>
      </c>
    </row>
    <row r="24" spans="1:4" x14ac:dyDescent="0.25">
      <c r="A24" s="27" t="s">
        <v>151</v>
      </c>
      <c r="B24" s="12" t="s">
        <v>48</v>
      </c>
      <c r="C24" s="47">
        <v>12620982.833813053</v>
      </c>
      <c r="D24" s="47">
        <v>5068.6678047441983</v>
      </c>
    </row>
    <row r="25" spans="1:4" x14ac:dyDescent="0.25">
      <c r="A25" s="27" t="s">
        <v>152</v>
      </c>
      <c r="B25" s="12" t="s">
        <v>94</v>
      </c>
      <c r="C25" s="47">
        <v>11929039.13870752</v>
      </c>
      <c r="D25" s="47">
        <v>5773.9782859184515</v>
      </c>
    </row>
    <row r="26" spans="1:4" x14ac:dyDescent="0.25">
      <c r="A26" s="27" t="s">
        <v>153</v>
      </c>
      <c r="B26" s="12" t="s">
        <v>95</v>
      </c>
      <c r="C26" s="47">
        <v>19271993.91537581</v>
      </c>
      <c r="D26" s="47">
        <v>5509.432222806121</v>
      </c>
    </row>
    <row r="27" spans="1:4" x14ac:dyDescent="0.25">
      <c r="A27" s="27" t="s">
        <v>154</v>
      </c>
      <c r="B27" s="12" t="s">
        <v>51</v>
      </c>
      <c r="C27" s="47">
        <v>21479512.020923011</v>
      </c>
      <c r="D27" s="47">
        <v>4763.6974985413644</v>
      </c>
    </row>
    <row r="28" spans="1:4" x14ac:dyDescent="0.25">
      <c r="A28" s="27" t="s">
        <v>155</v>
      </c>
      <c r="B28" s="12" t="s">
        <v>65</v>
      </c>
      <c r="C28" s="47">
        <v>12327230.823298994</v>
      </c>
      <c r="D28" s="47">
        <v>5765.7768116459283</v>
      </c>
    </row>
    <row r="29" spans="1:4" x14ac:dyDescent="0.25">
      <c r="A29" s="27" t="s">
        <v>156</v>
      </c>
      <c r="B29" s="12" t="s">
        <v>96</v>
      </c>
      <c r="C29" s="47">
        <v>17908644.169084229</v>
      </c>
      <c r="D29" s="47">
        <v>5023.4626000236267</v>
      </c>
    </row>
    <row r="30" spans="1:4" x14ac:dyDescent="0.25">
      <c r="A30" s="27" t="s">
        <v>157</v>
      </c>
      <c r="B30" s="12" t="s">
        <v>97</v>
      </c>
      <c r="C30" s="47">
        <v>59244920.765816092</v>
      </c>
      <c r="D30" s="47">
        <v>5681.3311052758045</v>
      </c>
    </row>
    <row r="31" spans="1:4" x14ac:dyDescent="0.25">
      <c r="A31" s="27" t="s">
        <v>158</v>
      </c>
      <c r="B31" s="12" t="s">
        <v>98</v>
      </c>
      <c r="C31" s="47">
        <v>14057640.324634649</v>
      </c>
      <c r="D31" s="47">
        <v>4489.8244409564513</v>
      </c>
    </row>
    <row r="32" spans="1:4" x14ac:dyDescent="0.25">
      <c r="A32" s="27" t="s">
        <v>159</v>
      </c>
      <c r="B32" s="12" t="s">
        <v>99</v>
      </c>
      <c r="C32" s="47">
        <v>44190491.759787314</v>
      </c>
      <c r="D32" s="47">
        <v>6123.9595010791736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3" workbookViewId="0">
      <selection activeCell="D17" sqref="D17"/>
    </sheetView>
  </sheetViews>
  <sheetFormatPr defaultColWidth="9.1796875" defaultRowHeight="11.5" x14ac:dyDescent="0.25"/>
  <cols>
    <col min="1" max="1" width="9.1796875" style="27"/>
    <col min="2" max="2" width="34.1796875" style="12" customWidth="1"/>
    <col min="3" max="3" width="13.54296875" style="44" bestFit="1" customWidth="1"/>
    <col min="4" max="4" width="9.26953125" style="44" bestFit="1" customWidth="1"/>
    <col min="5" max="16384" width="9.1796875" style="12"/>
  </cols>
  <sheetData>
    <row r="1" spans="1:4" x14ac:dyDescent="0.25">
      <c r="A1" s="42" t="s">
        <v>122</v>
      </c>
      <c r="B1" s="13" t="s">
        <v>35</v>
      </c>
      <c r="C1" s="43" t="s">
        <v>10</v>
      </c>
      <c r="D1" s="43" t="s">
        <v>11</v>
      </c>
    </row>
    <row r="2" spans="1:4" x14ac:dyDescent="0.25">
      <c r="A2" s="42" t="s">
        <v>123</v>
      </c>
      <c r="B2" s="34" t="s">
        <v>110</v>
      </c>
      <c r="C2" s="45">
        <v>9730386.9081875738</v>
      </c>
      <c r="D2" s="45">
        <v>5457.3117824944329</v>
      </c>
    </row>
    <row r="3" spans="1:4" x14ac:dyDescent="0.25">
      <c r="A3" s="42" t="s">
        <v>124</v>
      </c>
      <c r="B3" s="34" t="s">
        <v>71</v>
      </c>
      <c r="C3" s="45">
        <v>23664768.485214971</v>
      </c>
      <c r="D3" s="45">
        <v>4446.593101318108</v>
      </c>
    </row>
    <row r="4" spans="1:4" x14ac:dyDescent="0.25">
      <c r="A4" s="42" t="s">
        <v>128</v>
      </c>
      <c r="B4" s="34" t="s">
        <v>72</v>
      </c>
      <c r="C4" s="46">
        <v>7619698.2045579869</v>
      </c>
      <c r="D4" s="46">
        <v>5999.7623657936902</v>
      </c>
    </row>
    <row r="5" spans="1:4" x14ac:dyDescent="0.25">
      <c r="A5" s="42" t="s">
        <v>129</v>
      </c>
      <c r="B5" s="36" t="s">
        <v>166</v>
      </c>
      <c r="C5" s="46">
        <v>22813920.312194761</v>
      </c>
      <c r="D5" s="46">
        <v>5413.8396564297009</v>
      </c>
    </row>
    <row r="6" spans="1:4" x14ac:dyDescent="0.25">
      <c r="A6" s="42" t="s">
        <v>130</v>
      </c>
      <c r="B6" s="34" t="s">
        <v>167</v>
      </c>
      <c r="C6" s="46">
        <v>4405837.4114874667</v>
      </c>
      <c r="D6" s="46">
        <v>7492.920767835828</v>
      </c>
    </row>
    <row r="7" spans="1:4" x14ac:dyDescent="0.25">
      <c r="A7" s="42" t="s">
        <v>131</v>
      </c>
      <c r="B7" s="37" t="s">
        <v>39</v>
      </c>
      <c r="C7" s="46">
        <v>12090625.925121265</v>
      </c>
      <c r="D7" s="46">
        <v>4591.9581941212555</v>
      </c>
    </row>
    <row r="8" spans="1:4" x14ac:dyDescent="0.25">
      <c r="A8" s="42" t="s">
        <v>132</v>
      </c>
      <c r="B8" s="37" t="s">
        <v>40</v>
      </c>
      <c r="C8" s="46">
        <v>28004430.328137927</v>
      </c>
      <c r="D8" s="46">
        <v>4112.85509298545</v>
      </c>
    </row>
    <row r="9" spans="1:4" x14ac:dyDescent="0.25">
      <c r="A9" s="42" t="s">
        <v>133</v>
      </c>
      <c r="B9" s="37" t="s">
        <v>78</v>
      </c>
      <c r="C9" s="46">
        <v>10394362.519780552</v>
      </c>
      <c r="D9" s="46">
        <v>5470.7171156739751</v>
      </c>
    </row>
    <row r="10" spans="1:4" x14ac:dyDescent="0.25">
      <c r="A10" s="42" t="s">
        <v>134</v>
      </c>
      <c r="B10" s="37" t="s">
        <v>79</v>
      </c>
      <c r="C10" s="46">
        <v>4941265.8822254017</v>
      </c>
      <c r="D10" s="46">
        <v>4996.2243500762406</v>
      </c>
    </row>
    <row r="11" spans="1:4" x14ac:dyDescent="0.25">
      <c r="A11" s="42" t="s">
        <v>135</v>
      </c>
      <c r="B11" s="37" t="s">
        <v>80</v>
      </c>
      <c r="C11" s="46">
        <v>18592370.366159573</v>
      </c>
      <c r="D11" s="46">
        <v>5784.807207890346</v>
      </c>
    </row>
    <row r="12" spans="1:4" x14ac:dyDescent="0.25">
      <c r="A12" s="42" t="s">
        <v>127</v>
      </c>
      <c r="B12" s="37" t="s">
        <v>81</v>
      </c>
      <c r="C12" s="46">
        <v>14318547.50336097</v>
      </c>
      <c r="D12" s="46">
        <v>5034.6510208723521</v>
      </c>
    </row>
    <row r="13" spans="1:4" x14ac:dyDescent="0.25">
      <c r="A13" s="42" t="s">
        <v>136</v>
      </c>
      <c r="B13" s="37" t="s">
        <v>41</v>
      </c>
      <c r="C13" s="46">
        <v>14409460.640852559</v>
      </c>
      <c r="D13" s="46">
        <v>4615.4582449880072</v>
      </c>
    </row>
    <row r="14" spans="1:4" x14ac:dyDescent="0.25">
      <c r="A14" s="42" t="s">
        <v>137</v>
      </c>
      <c r="B14" s="34" t="s">
        <v>82</v>
      </c>
      <c r="C14" s="46">
        <v>48656686.895907924</v>
      </c>
      <c r="D14" s="46">
        <v>8195.5005719905548</v>
      </c>
    </row>
    <row r="15" spans="1:4" x14ac:dyDescent="0.25">
      <c r="A15" s="42" t="s">
        <v>138</v>
      </c>
      <c r="B15" s="37" t="s">
        <v>83</v>
      </c>
      <c r="C15" s="46">
        <v>25112344.729505889</v>
      </c>
      <c r="D15" s="46">
        <v>5435.572452274002</v>
      </c>
    </row>
    <row r="16" spans="1:4" x14ac:dyDescent="0.25">
      <c r="A16" s="42" t="s">
        <v>139</v>
      </c>
      <c r="B16" s="37" t="s">
        <v>84</v>
      </c>
      <c r="C16" s="46">
        <v>7393264.1780876648</v>
      </c>
      <c r="D16" s="46">
        <v>6456.9992821726328</v>
      </c>
    </row>
    <row r="17" spans="1:4" x14ac:dyDescent="0.25">
      <c r="A17" s="42" t="s">
        <v>140</v>
      </c>
      <c r="B17" s="37" t="s">
        <v>85</v>
      </c>
      <c r="C17" s="46">
        <v>20005903.163324751</v>
      </c>
      <c r="D17" s="46">
        <v>5110.0646649616219</v>
      </c>
    </row>
    <row r="18" spans="1:4" x14ac:dyDescent="0.25">
      <c r="A18" s="42" t="s">
        <v>141</v>
      </c>
      <c r="B18" s="37" t="s">
        <v>112</v>
      </c>
      <c r="C18" s="46">
        <v>33953105.349436857</v>
      </c>
      <c r="D18" s="46">
        <v>6457.4182863135902</v>
      </c>
    </row>
    <row r="19" spans="1:4" x14ac:dyDescent="0.25">
      <c r="A19" s="42" t="s">
        <v>142</v>
      </c>
      <c r="B19" s="37" t="s">
        <v>113</v>
      </c>
      <c r="C19" s="46">
        <v>78374040.593137637</v>
      </c>
      <c r="D19" s="46">
        <v>5912.3446434171419</v>
      </c>
    </row>
    <row r="20" spans="1:4" x14ac:dyDescent="0.25">
      <c r="A20" s="42" t="s">
        <v>143</v>
      </c>
      <c r="B20" s="37" t="s">
        <v>114</v>
      </c>
      <c r="C20" s="46">
        <v>10225348.532155799</v>
      </c>
      <c r="D20" s="46">
        <v>5203.739711020763</v>
      </c>
    </row>
    <row r="21" spans="1:4" x14ac:dyDescent="0.25">
      <c r="A21" s="42" t="s">
        <v>144</v>
      </c>
      <c r="B21" s="37" t="s">
        <v>86</v>
      </c>
      <c r="C21" s="46">
        <v>29334010.191488449</v>
      </c>
      <c r="D21" s="46">
        <v>4308.1231005270156</v>
      </c>
    </row>
    <row r="22" spans="1:4" x14ac:dyDescent="0.25">
      <c r="A22" s="42" t="s">
        <v>125</v>
      </c>
      <c r="B22" s="37" t="s">
        <v>87</v>
      </c>
      <c r="C22" s="46">
        <v>20975073.366554711</v>
      </c>
      <c r="D22" s="46">
        <v>5190.5650498774339</v>
      </c>
    </row>
    <row r="23" spans="1:4" x14ac:dyDescent="0.25">
      <c r="A23" s="42" t="s">
        <v>146</v>
      </c>
      <c r="B23" s="37" t="s">
        <v>168</v>
      </c>
      <c r="C23" s="46">
        <v>5237491.5122154271</v>
      </c>
      <c r="D23" s="46">
        <v>6235.1089431136033</v>
      </c>
    </row>
    <row r="24" spans="1:4" x14ac:dyDescent="0.25">
      <c r="A24" s="27" t="s">
        <v>147</v>
      </c>
      <c r="B24" s="12" t="s">
        <v>169</v>
      </c>
      <c r="C24" s="47">
        <v>4191576.1946861446</v>
      </c>
      <c r="D24" s="47">
        <v>4812.37220974299</v>
      </c>
    </row>
    <row r="25" spans="1:4" x14ac:dyDescent="0.25">
      <c r="A25" s="27" t="s">
        <v>145</v>
      </c>
      <c r="B25" s="12" t="s">
        <v>170</v>
      </c>
      <c r="C25" s="47">
        <v>4311210.1806789255</v>
      </c>
      <c r="D25" s="47">
        <v>5322.4817045418831</v>
      </c>
    </row>
    <row r="26" spans="1:4" x14ac:dyDescent="0.25">
      <c r="A26" s="27" t="s">
        <v>126</v>
      </c>
      <c r="B26" s="12" t="s">
        <v>171</v>
      </c>
      <c r="C26" s="47">
        <v>1483347.6683387384</v>
      </c>
      <c r="D26" s="47">
        <v>6867.3503163830483</v>
      </c>
    </row>
    <row r="27" spans="1:4" x14ac:dyDescent="0.25">
      <c r="A27" s="27" t="s">
        <v>148</v>
      </c>
      <c r="B27" s="12" t="s">
        <v>172</v>
      </c>
      <c r="C27" s="47">
        <v>2938731.5644144164</v>
      </c>
      <c r="D27" s="47">
        <v>5219.771872849763</v>
      </c>
    </row>
    <row r="28" spans="1:4" x14ac:dyDescent="0.25">
      <c r="A28" s="27" t="s">
        <v>149</v>
      </c>
      <c r="B28" s="12" t="s">
        <v>92</v>
      </c>
      <c r="C28" s="47">
        <v>11333464.464571338</v>
      </c>
      <c r="D28" s="47">
        <v>5338.4194369153738</v>
      </c>
    </row>
    <row r="29" spans="1:4" x14ac:dyDescent="0.25">
      <c r="A29" s="27" t="s">
        <v>150</v>
      </c>
      <c r="B29" s="12" t="s">
        <v>93</v>
      </c>
      <c r="C29" s="47">
        <v>3816077.6130139856</v>
      </c>
      <c r="D29" s="47">
        <v>4653.753186602421</v>
      </c>
    </row>
    <row r="30" spans="1:4" x14ac:dyDescent="0.25">
      <c r="A30" s="27" t="s">
        <v>151</v>
      </c>
      <c r="B30" s="12" t="s">
        <v>48</v>
      </c>
      <c r="C30" s="47">
        <v>12620982.833813053</v>
      </c>
      <c r="D30" s="47">
        <v>5068.6678047441983</v>
      </c>
    </row>
    <row r="31" spans="1:4" x14ac:dyDescent="0.25">
      <c r="A31" s="27" t="s">
        <v>152</v>
      </c>
      <c r="B31" s="12" t="s">
        <v>94</v>
      </c>
      <c r="C31" s="47">
        <v>11929039.13870752</v>
      </c>
      <c r="D31" s="47">
        <v>5773.9782859184515</v>
      </c>
    </row>
    <row r="32" spans="1:4" x14ac:dyDescent="0.25">
      <c r="A32" s="27" t="s">
        <v>153</v>
      </c>
      <c r="B32" s="12" t="s">
        <v>95</v>
      </c>
      <c r="C32" s="47">
        <v>19271993.91537581</v>
      </c>
      <c r="D32" s="47">
        <v>5509.432222806121</v>
      </c>
    </row>
    <row r="33" spans="1:4" x14ac:dyDescent="0.25">
      <c r="A33" s="27" t="s">
        <v>154</v>
      </c>
      <c r="B33" s="12" t="s">
        <v>51</v>
      </c>
      <c r="C33" s="47">
        <v>21479512.020923011</v>
      </c>
      <c r="D33" s="47">
        <v>4763.6974985413644</v>
      </c>
    </row>
    <row r="34" spans="1:4" x14ac:dyDescent="0.25">
      <c r="A34" s="27" t="s">
        <v>155</v>
      </c>
      <c r="B34" s="12" t="s">
        <v>65</v>
      </c>
      <c r="C34" s="47">
        <v>12327230.823298994</v>
      </c>
      <c r="D34" s="47">
        <v>5765.7768116459283</v>
      </c>
    </row>
    <row r="35" spans="1:4" x14ac:dyDescent="0.25">
      <c r="A35" s="27" t="s">
        <v>156</v>
      </c>
      <c r="B35" s="12" t="s">
        <v>96</v>
      </c>
      <c r="C35" s="47">
        <v>17908644.169084229</v>
      </c>
      <c r="D35" s="47">
        <v>5023.4626000236267</v>
      </c>
    </row>
    <row r="36" spans="1:4" x14ac:dyDescent="0.25">
      <c r="A36" s="27" t="s">
        <v>157</v>
      </c>
      <c r="B36" s="12" t="s">
        <v>97</v>
      </c>
      <c r="C36" s="47">
        <v>59244920.765816092</v>
      </c>
      <c r="D36" s="47">
        <v>5681.3311052758045</v>
      </c>
    </row>
    <row r="37" spans="1:4" x14ac:dyDescent="0.25">
      <c r="A37" s="27" t="s">
        <v>158</v>
      </c>
      <c r="B37" s="12" t="s">
        <v>98</v>
      </c>
      <c r="C37" s="47">
        <v>14057640.324634649</v>
      </c>
      <c r="D37" s="47">
        <v>4489.8244409564513</v>
      </c>
    </row>
    <row r="38" spans="1:4" x14ac:dyDescent="0.25">
      <c r="A38" s="27" t="s">
        <v>159</v>
      </c>
      <c r="B38" s="12" t="s">
        <v>99</v>
      </c>
      <c r="C38" s="47">
        <v>44190491.759787314</v>
      </c>
      <c r="D38" s="47">
        <v>6123.9595010791736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1" style="1" bestFit="1" customWidth="1"/>
    <col min="5" max="5" width="9.26953125" style="1" customWidth="1"/>
    <col min="6" max="6" width="2.7265625" style="3" customWidth="1"/>
    <col min="7" max="7" width="11.1796875" style="1" bestFit="1" customWidth="1"/>
    <col min="8" max="8" width="11.54296875" style="1" bestFit="1" customWidth="1"/>
    <col min="9" max="9" width="11.1796875" style="1" bestFit="1" customWidth="1"/>
    <col min="10" max="10" width="13.7265625" style="1" bestFit="1" customWidth="1"/>
    <col min="11" max="11" width="11.7265625" style="1" bestFit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18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Table'!B8</f>
        <v>22148800.350000001</v>
      </c>
      <c r="C9" s="1">
        <f>'Master Expend Table'!C8</f>
        <v>0</v>
      </c>
      <c r="D9" s="1">
        <f>'Master Expend Table'!D8</f>
        <v>1329438.9099999999</v>
      </c>
      <c r="E9" s="1">
        <f>'Master Expend Table'!E8</f>
        <v>25229.11</v>
      </c>
      <c r="G9" s="1">
        <f>'Master Expend Table'!G8</f>
        <v>7515812.3700000001</v>
      </c>
      <c r="H9" s="1">
        <f>'Master Expend Table'!H8</f>
        <v>5519111.1200000001</v>
      </c>
      <c r="I9" s="1">
        <f>'Master Expend Table'!I8</f>
        <v>7112743.7300000004</v>
      </c>
      <c r="J9" s="1">
        <f>'Master Expend Table'!J8</f>
        <v>4964489.1399999997</v>
      </c>
      <c r="K9" s="1">
        <f>SUM(B9:J9)</f>
        <v>48615624.730000004</v>
      </c>
    </row>
    <row r="11" spans="1:11" x14ac:dyDescent="0.25">
      <c r="A11" t="s">
        <v>3</v>
      </c>
      <c r="B11" s="1">
        <f>(B9/($K9-$J9))*-$J$11</f>
        <v>2519006.1453245045</v>
      </c>
      <c r="C11" s="1">
        <f t="shared" ref="C11:I11" si="0">(C9/($K9-$J9))*-$J$11</f>
        <v>0</v>
      </c>
      <c r="D11" s="1">
        <f t="shared" si="0"/>
        <v>151198.47265784355</v>
      </c>
      <c r="E11" s="1">
        <f t="shared" si="0"/>
        <v>2869.3329718450373</v>
      </c>
      <c r="G11" s="1">
        <f t="shared" si="0"/>
        <v>854781.17315441545</v>
      </c>
      <c r="H11" s="1">
        <f t="shared" si="0"/>
        <v>627694.25920663052</v>
      </c>
      <c r="I11" s="1">
        <f t="shared" si="0"/>
        <v>808939.75668476045</v>
      </c>
      <c r="J11" s="1">
        <f>-J9</f>
        <v>-4964489.1399999997</v>
      </c>
      <c r="K11" s="1">
        <v>0</v>
      </c>
    </row>
    <row r="12" spans="1:11" x14ac:dyDescent="0.25">
      <c r="A12" t="s">
        <v>4</v>
      </c>
      <c r="B12" s="1">
        <f>+B9+B11</f>
        <v>24667806.495324507</v>
      </c>
      <c r="C12" s="1">
        <f t="shared" ref="C12:J12" si="1">+C9+C11</f>
        <v>0</v>
      </c>
      <c r="D12" s="1">
        <f t="shared" si="1"/>
        <v>1480637.3826578434</v>
      </c>
      <c r="E12" s="1">
        <f t="shared" si="1"/>
        <v>28098.442971845037</v>
      </c>
      <c r="G12" s="1">
        <f t="shared" si="1"/>
        <v>8370593.5431544157</v>
      </c>
      <c r="H12" s="1">
        <f t="shared" si="1"/>
        <v>6146805.3792066304</v>
      </c>
      <c r="I12" s="1">
        <f t="shared" si="1"/>
        <v>7921683.486684761</v>
      </c>
      <c r="J12" s="1">
        <f t="shared" si="1"/>
        <v>0</v>
      </c>
      <c r="K12" s="1">
        <f>SUM(B12:J12)</f>
        <v>48615624.730000004</v>
      </c>
    </row>
    <row r="14" spans="1:11" x14ac:dyDescent="0.25">
      <c r="A14" t="s">
        <v>5</v>
      </c>
      <c r="B14" s="1">
        <f>B$9/($K$9-$J$9-$I$9)*-I14</f>
        <v>4801956.9841701481</v>
      </c>
      <c r="C14" s="1">
        <f t="shared" ref="C14:H14" si="2">C$9/($K$9-$J$9-$I$9)*-$I$14</f>
        <v>0</v>
      </c>
      <c r="D14" s="1">
        <f t="shared" si="2"/>
        <v>288228.18202440691</v>
      </c>
      <c r="E14" s="1">
        <f t="shared" si="2"/>
        <v>5469.7816159102686</v>
      </c>
      <c r="G14" s="1">
        <f t="shared" si="2"/>
        <v>1629461.0602616176</v>
      </c>
      <c r="H14" s="1">
        <f t="shared" si="2"/>
        <v>1196567.4786126793</v>
      </c>
      <c r="I14" s="1">
        <f>-I12</f>
        <v>-7921683.486684761</v>
      </c>
      <c r="K14" s="1">
        <v>0</v>
      </c>
    </row>
    <row r="15" spans="1:11" x14ac:dyDescent="0.25">
      <c r="A15" t="s">
        <v>4</v>
      </c>
      <c r="B15" s="1">
        <f>+B12+B14</f>
        <v>29469763.479494654</v>
      </c>
      <c r="C15" s="1">
        <f>+C12+C14</f>
        <v>0</v>
      </c>
      <c r="D15" s="1">
        <f>+D12+D14</f>
        <v>1768865.5646822504</v>
      </c>
      <c r="E15" s="1">
        <f>+E12+E14</f>
        <v>33568.224587755307</v>
      </c>
      <c r="G15" s="1">
        <f>+G12+G14</f>
        <v>10000054.603416033</v>
      </c>
      <c r="H15" s="1">
        <f>+H12+H14</f>
        <v>7343372.8578193095</v>
      </c>
      <c r="I15" s="1">
        <f>+I12+I14</f>
        <v>0</v>
      </c>
      <c r="J15" s="1">
        <f>+J12+J14</f>
        <v>0</v>
      </c>
      <c r="K15" s="1">
        <f>SUM(B15:J15)</f>
        <v>48615624.730000004</v>
      </c>
    </row>
    <row r="17" spans="1:11" x14ac:dyDescent="0.25">
      <c r="A17" t="s">
        <v>6</v>
      </c>
      <c r="B17" s="1">
        <f>B$9/($K$9-$J$9-$I$9-$H$9)*-$H$17</f>
        <v>5243412.9819687381</v>
      </c>
      <c r="C17" s="1">
        <f>C$9/($K$9-$J$9-$I$9-$H$9)*-$H$17</f>
        <v>0</v>
      </c>
      <c r="D17" s="1">
        <f>D$9/($K$9-$J$9-$I$9-$H$9)*-$H$17</f>
        <v>314725.72461146268</v>
      </c>
      <c r="E17" s="1">
        <f>E$9/($K$9-$J$9-$I$9-$H$9)*-$H$17</f>
        <v>5972.6324138145619</v>
      </c>
      <c r="G17" s="1">
        <f>G$9/($K$9-$J$9-$I$9-$H$9)*-$H$17</f>
        <v>1779261.5188252949</v>
      </c>
      <c r="H17" s="1">
        <f>-H15</f>
        <v>-7343372.8578193095</v>
      </c>
      <c r="K17" s="1">
        <v>0</v>
      </c>
    </row>
    <row r="18" spans="1:11" x14ac:dyDescent="0.25">
      <c r="A18" t="s">
        <v>4</v>
      </c>
      <c r="B18" s="1">
        <f>+B15+B17</f>
        <v>34713176.461463392</v>
      </c>
      <c r="C18" s="1">
        <f>+C15+C17</f>
        <v>0</v>
      </c>
      <c r="D18" s="1">
        <f>+D15+D17</f>
        <v>2083591.2892937129</v>
      </c>
      <c r="E18" s="1">
        <f>+E15+E17</f>
        <v>39540.857001569871</v>
      </c>
      <c r="G18" s="1">
        <f>+G15+G17</f>
        <v>11779316.122241328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48615624.730000004</v>
      </c>
    </row>
    <row r="20" spans="1:11" x14ac:dyDescent="0.25">
      <c r="A20" t="s">
        <v>7</v>
      </c>
      <c r="B20" s="1">
        <f>B$9/($K$9-$J$9-$I$9-$H$9-$G$9)*-$G$20</f>
        <v>11100392.373751577</v>
      </c>
      <c r="C20" s="1">
        <f>C$9/($K$9-$J$9-$I$9-$H$9-$G$9)*-$G$20</f>
        <v>0</v>
      </c>
      <c r="D20" s="1">
        <f>D$9/($K$9-$J$9-$I$9-$H$9-$G$9)*-$G$20</f>
        <v>666279.58646675001</v>
      </c>
      <c r="E20" s="1">
        <f>E$9/($K$9-$J$9-$I$9-$H$9-$G$9)*-$G$20</f>
        <v>12644.162023002731</v>
      </c>
      <c r="G20" s="1">
        <f>-G18</f>
        <v>-11779316.122241328</v>
      </c>
      <c r="K20" s="1">
        <f>SUM(B20:J20)</f>
        <v>0</v>
      </c>
    </row>
    <row r="22" spans="1:11" x14ac:dyDescent="0.25">
      <c r="A22" t="s">
        <v>8</v>
      </c>
      <c r="B22" s="1">
        <f>+B20+B18</f>
        <v>45813568.835214972</v>
      </c>
      <c r="C22" s="1">
        <f t="shared" ref="C22:K22" si="3">+C20+C18</f>
        <v>0</v>
      </c>
      <c r="D22" s="1">
        <f t="shared" si="3"/>
        <v>2749870.8757604631</v>
      </c>
      <c r="E22" s="1">
        <f t="shared" si="3"/>
        <v>52185.019024572604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48615624.730000004</v>
      </c>
    </row>
    <row r="27" spans="1:11" x14ac:dyDescent="0.25">
      <c r="A27" t="s">
        <v>9</v>
      </c>
      <c r="B27" s="1">
        <f>+B9</f>
        <v>22148800.350000001</v>
      </c>
    </row>
    <row r="28" spans="1:11" x14ac:dyDescent="0.25">
      <c r="A28" t="s">
        <v>10</v>
      </c>
      <c r="B28" s="1">
        <f>+B22-B27</f>
        <v>23664768.485214971</v>
      </c>
    </row>
    <row r="29" spans="1:11" x14ac:dyDescent="0.25">
      <c r="A29" s="29" t="s">
        <v>164</v>
      </c>
      <c r="B29" s="1">
        <v>5322</v>
      </c>
    </row>
    <row r="30" spans="1:11" x14ac:dyDescent="0.25">
      <c r="A30" t="s">
        <v>11</v>
      </c>
      <c r="B30" s="1">
        <f>+B28/B29</f>
        <v>4446.593101318108</v>
      </c>
    </row>
  </sheetData>
  <phoneticPr fontId="0" type="noConversion"/>
  <pageMargins left="0.57999999999999996" right="0.55000000000000004" top="0.75" bottom="0.56000000000000005" header="0.5" footer="0.5"/>
  <pageSetup scale="97"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0"/>
  <sheetViews>
    <sheetView zoomScale="75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9.26953125" style="1" customWidth="1"/>
    <col min="6" max="6" width="2.7265625" style="3" customWidth="1"/>
    <col min="7" max="10" width="10.26953125" style="1" customWidth="1"/>
    <col min="11" max="11" width="10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52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Table'!B9</f>
        <v>8656669.2799999993</v>
      </c>
      <c r="C9" s="1">
        <f>'Master Expend Table'!C9</f>
        <v>0</v>
      </c>
      <c r="D9" s="1">
        <f>'Master Expend Table'!D9</f>
        <v>0</v>
      </c>
      <c r="E9" s="1">
        <f>'Master Expend Table'!E9</f>
        <v>24087.119999999999</v>
      </c>
      <c r="G9" s="1">
        <f>'Master Expend Table'!G9</f>
        <v>1530984.84</v>
      </c>
      <c r="H9" s="1">
        <f>'Master Expend Table'!H9</f>
        <v>1655848.79</v>
      </c>
      <c r="I9" s="1">
        <f>'Master Expend Table'!I9</f>
        <v>2163023.85</v>
      </c>
      <c r="J9" s="1">
        <f>'Master Expend Table'!J9</f>
        <v>2291042.48</v>
      </c>
      <c r="K9" s="1">
        <f>SUM(B9:J9)</f>
        <v>16321656.359999998</v>
      </c>
    </row>
    <row r="11" spans="1:11" x14ac:dyDescent="0.25">
      <c r="A11" t="s">
        <v>3</v>
      </c>
      <c r="B11" s="1">
        <f>(B9/($K9-$J9))*-$J$11</f>
        <v>1413537.3708816664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3933.1575662217288</v>
      </c>
      <c r="G11" s="1">
        <f t="shared" si="0"/>
        <v>249992.71839957469</v>
      </c>
      <c r="H11" s="1">
        <f t="shared" si="0"/>
        <v>270381.60630692233</v>
      </c>
      <c r="I11" s="1">
        <f t="shared" si="0"/>
        <v>353197.62684561516</v>
      </c>
      <c r="J11" s="1">
        <f>-J9</f>
        <v>-2291042.48</v>
      </c>
      <c r="K11" s="1">
        <v>0</v>
      </c>
    </row>
    <row r="12" spans="1:11" x14ac:dyDescent="0.25">
      <c r="A12" t="s">
        <v>4</v>
      </c>
      <c r="B12" s="1">
        <f>+B9+B11</f>
        <v>10070206.650881667</v>
      </c>
      <c r="C12" s="1">
        <f t="shared" ref="C12:J12" si="1">+C9+C11</f>
        <v>0</v>
      </c>
      <c r="D12" s="1">
        <f t="shared" si="1"/>
        <v>0</v>
      </c>
      <c r="E12" s="1">
        <f t="shared" si="1"/>
        <v>28020.277566221728</v>
      </c>
      <c r="G12" s="1">
        <f t="shared" si="1"/>
        <v>1780977.5583995748</v>
      </c>
      <c r="H12" s="1">
        <f t="shared" si="1"/>
        <v>1926230.3963069224</v>
      </c>
      <c r="I12" s="1">
        <f t="shared" si="1"/>
        <v>2516221.4768456151</v>
      </c>
      <c r="J12" s="1">
        <f t="shared" si="1"/>
        <v>0</v>
      </c>
      <c r="K12" s="1">
        <f>SUM(B12:J12)</f>
        <v>16321656.360000001</v>
      </c>
    </row>
    <row r="14" spans="1:11" x14ac:dyDescent="0.25">
      <c r="A14" t="s">
        <v>5</v>
      </c>
      <c r="B14" s="1">
        <f>B$9/($K$9-$J$9-$I$9)*-I14</f>
        <v>1835427.1680453115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5107.0628919726478</v>
      </c>
      <c r="G14" s="1">
        <f t="shared" si="2"/>
        <v>324606.5060719871</v>
      </c>
      <c r="H14" s="1">
        <f t="shared" si="2"/>
        <v>351080.7398363445</v>
      </c>
      <c r="I14" s="1">
        <f>-I12</f>
        <v>-2516221.4768456151</v>
      </c>
      <c r="K14" s="1">
        <v>0</v>
      </c>
    </row>
    <row r="15" spans="1:11" x14ac:dyDescent="0.25">
      <c r="A15" t="s">
        <v>4</v>
      </c>
      <c r="B15" s="1">
        <f>+B12+B14</f>
        <v>11905633.818926979</v>
      </c>
      <c r="C15" s="1">
        <f>+C12+C14</f>
        <v>0</v>
      </c>
      <c r="D15" s="1">
        <f>+D12+D14</f>
        <v>0</v>
      </c>
      <c r="E15" s="1">
        <f>+E12+E14</f>
        <v>33127.340458194376</v>
      </c>
      <c r="G15" s="1">
        <f>+G12+G14</f>
        <v>2105584.0644715619</v>
      </c>
      <c r="H15" s="1">
        <f>+H12+H14</f>
        <v>2277311.1361432672</v>
      </c>
      <c r="I15" s="1">
        <f>+I12+I14</f>
        <v>0</v>
      </c>
      <c r="J15" s="1">
        <f>+J12+J14</f>
        <v>0</v>
      </c>
      <c r="K15" s="1">
        <f>SUM(B15:J15)</f>
        <v>16321656.360000001</v>
      </c>
    </row>
    <row r="17" spans="1:11" x14ac:dyDescent="0.25">
      <c r="A17" t="s">
        <v>6</v>
      </c>
      <c r="B17" s="1">
        <f>B$9/($K$9-$J$9-$I$9-$H$9)*-$H$17</f>
        <v>1930515.9511908393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5371.6467470555708</v>
      </c>
      <c r="G17" s="1">
        <f>G$9/($K$9-$J$9-$I$9-$H$9)*-$H$17</f>
        <v>341423.53820537258</v>
      </c>
      <c r="H17" s="1">
        <f>-H15</f>
        <v>-2277311.1361432672</v>
      </c>
      <c r="K17" s="1">
        <v>0</v>
      </c>
    </row>
    <row r="18" spans="1:11" x14ac:dyDescent="0.25">
      <c r="A18" t="s">
        <v>4</v>
      </c>
      <c r="B18" s="1">
        <f>+B15+B17</f>
        <v>13836149.770117817</v>
      </c>
      <c r="C18" s="1">
        <f>+C15+C17</f>
        <v>0</v>
      </c>
      <c r="D18" s="1">
        <f>+D15+D17</f>
        <v>0</v>
      </c>
      <c r="E18" s="1">
        <f>+E15+E17</f>
        <v>38498.987205249949</v>
      </c>
      <c r="G18" s="1">
        <f>+G15+G17</f>
        <v>2447007.6026769346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16321656.360000003</v>
      </c>
    </row>
    <row r="20" spans="1:11" x14ac:dyDescent="0.25">
      <c r="A20" t="s">
        <v>7</v>
      </c>
      <c r="B20" s="1">
        <f>B$9/($K$9-$J$9-$I$9-$H$9-$G$9)*-$G$20</f>
        <v>2440217.7144401688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6789.8882367660553</v>
      </c>
      <c r="G20" s="1">
        <f>-G18</f>
        <v>-2447007.6026769346</v>
      </c>
      <c r="K20" s="1">
        <f>SUM(B20:J20)</f>
        <v>0</v>
      </c>
    </row>
    <row r="22" spans="1:11" x14ac:dyDescent="0.25">
      <c r="A22" t="s">
        <v>8</v>
      </c>
      <c r="B22" s="1">
        <f>+B20+B18</f>
        <v>16276367.484557986</v>
      </c>
      <c r="C22" s="1">
        <f t="shared" ref="C22:K22" si="3">+C20+C18</f>
        <v>0</v>
      </c>
      <c r="D22" s="1">
        <f t="shared" si="3"/>
        <v>0</v>
      </c>
      <c r="E22" s="1">
        <f t="shared" si="3"/>
        <v>45288.875442016004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16321656.360000003</v>
      </c>
    </row>
    <row r="27" spans="1:11" x14ac:dyDescent="0.25">
      <c r="A27" t="s">
        <v>9</v>
      </c>
      <c r="B27" s="1">
        <f>+B9</f>
        <v>8656669.2799999993</v>
      </c>
    </row>
    <row r="28" spans="1:11" x14ac:dyDescent="0.25">
      <c r="A28" t="s">
        <v>10</v>
      </c>
      <c r="B28" s="1">
        <f>+B22-B27</f>
        <v>7619698.2045579869</v>
      </c>
    </row>
    <row r="29" spans="1:11" x14ac:dyDescent="0.25">
      <c r="A29" s="29" t="s">
        <v>164</v>
      </c>
      <c r="B29" s="1">
        <v>1270</v>
      </c>
    </row>
    <row r="30" spans="1:11" x14ac:dyDescent="0.25">
      <c r="A30" t="s">
        <v>11</v>
      </c>
      <c r="B30" s="1">
        <f>+B28/B29</f>
        <v>5999.7623657936902</v>
      </c>
    </row>
  </sheetData>
  <phoneticPr fontId="0" type="noConversion"/>
  <pageMargins left="0.46" right="0.55000000000000004" top="0.59" bottom="0.57999999999999996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0"/>
  <sheetViews>
    <sheetView zoomScale="90" zoomScaleNormal="90" workbookViewId="0">
      <selection activeCell="B29" sqref="B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1" style="1" customWidth="1"/>
    <col min="8" max="10" width="10.26953125" style="1" customWidth="1"/>
    <col min="11" max="11" width="10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58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Table'!B10</f>
        <v>27249603.57</v>
      </c>
      <c r="C9" s="1">
        <f>'Master Expend Table'!C10</f>
        <v>0</v>
      </c>
      <c r="D9" s="1">
        <f>'Master Expend Table'!D10</f>
        <v>199689.59000000003</v>
      </c>
      <c r="E9" s="1">
        <f>'Master Expend Table'!E10</f>
        <v>4686435.0599999996</v>
      </c>
      <c r="G9" s="1">
        <f>'Master Expend Table'!G10</f>
        <v>7861543.5</v>
      </c>
      <c r="H9" s="1">
        <f>'Master Expend Table'!H10</f>
        <v>6224628.9100000001</v>
      </c>
      <c r="I9" s="1">
        <f>'Master Expend Table'!I10</f>
        <v>10791743.890000001</v>
      </c>
      <c r="J9" s="1">
        <f>'Master Expend Table'!J10</f>
        <v>7124530.54</v>
      </c>
      <c r="K9" s="1">
        <f>SUM(B9:J9)</f>
        <v>64138175.059999995</v>
      </c>
    </row>
    <row r="11" spans="1:11" x14ac:dyDescent="0.25">
      <c r="A11" t="s">
        <v>3</v>
      </c>
      <c r="B11" s="1">
        <f>(B9/($K9-$J9))*-$J$11</f>
        <v>3405160.8956388468</v>
      </c>
      <c r="C11" s="1">
        <f t="shared" ref="C11:I11" si="0">(C9/($K9-$J9))*-$J$11</f>
        <v>0</v>
      </c>
      <c r="D11" s="1">
        <f t="shared" si="0"/>
        <v>24953.580751639325</v>
      </c>
      <c r="E11" s="1">
        <f t="shared" si="0"/>
        <v>585625.59874565154</v>
      </c>
      <c r="G11" s="1">
        <f t="shared" si="0"/>
        <v>982393.02589471603</v>
      </c>
      <c r="H11" s="1">
        <f t="shared" si="0"/>
        <v>777841.14912887372</v>
      </c>
      <c r="I11" s="1">
        <f t="shared" si="0"/>
        <v>1348556.2898402729</v>
      </c>
      <c r="J11" s="1">
        <f>-J9</f>
        <v>-7124530.54</v>
      </c>
      <c r="K11" s="1">
        <v>0</v>
      </c>
    </row>
    <row r="12" spans="1:11" x14ac:dyDescent="0.25">
      <c r="A12" t="s">
        <v>4</v>
      </c>
      <c r="B12" s="1">
        <f>+B9+B11</f>
        <v>30654764.465638846</v>
      </c>
      <c r="C12" s="1">
        <f t="shared" ref="C12:J12" si="1">+C9+C11</f>
        <v>0</v>
      </c>
      <c r="D12" s="1">
        <f t="shared" si="1"/>
        <v>224643.17075163935</v>
      </c>
      <c r="E12" s="1">
        <f t="shared" si="1"/>
        <v>5272060.6587456511</v>
      </c>
      <c r="G12" s="1">
        <f t="shared" si="1"/>
        <v>8843936.5258947164</v>
      </c>
      <c r="H12" s="1">
        <f t="shared" si="1"/>
        <v>7002470.059128874</v>
      </c>
      <c r="I12" s="1">
        <f t="shared" si="1"/>
        <v>12140300.179840274</v>
      </c>
      <c r="J12" s="1">
        <f t="shared" si="1"/>
        <v>0</v>
      </c>
      <c r="K12" s="1">
        <f>SUM(B12:J12)</f>
        <v>64138175.060000002</v>
      </c>
    </row>
    <row r="14" spans="1:11" x14ac:dyDescent="0.25">
      <c r="A14" t="s">
        <v>5</v>
      </c>
      <c r="B14" s="1">
        <f>B$9/($K$9-$J$9-$I$9)*-I14</f>
        <v>7157177.9310765052</v>
      </c>
      <c r="C14" s="1">
        <f t="shared" ref="C14:H14" si="2">C$9/($K$9-$J$9-$I$9)*-$I$14</f>
        <v>0</v>
      </c>
      <c r="D14" s="1">
        <f t="shared" si="2"/>
        <v>52448.980512405877</v>
      </c>
      <c r="E14" s="1">
        <f t="shared" si="2"/>
        <v>1230904.1304286099</v>
      </c>
      <c r="G14" s="1">
        <f t="shared" si="2"/>
        <v>2064854.466519417</v>
      </c>
      <c r="H14" s="1">
        <f t="shared" si="2"/>
        <v>1634914.6713033374</v>
      </c>
      <c r="I14" s="1">
        <f>-I12</f>
        <v>-12140300.179840274</v>
      </c>
      <c r="K14" s="1">
        <v>0</v>
      </c>
    </row>
    <row r="15" spans="1:11" x14ac:dyDescent="0.25">
      <c r="A15" t="s">
        <v>4</v>
      </c>
      <c r="B15" s="1">
        <f>+B12+B14</f>
        <v>37811942.39671535</v>
      </c>
      <c r="C15" s="1">
        <f>+C12+C14</f>
        <v>0</v>
      </c>
      <c r="D15" s="1">
        <f>+D12+D14</f>
        <v>277092.15126404521</v>
      </c>
      <c r="E15" s="1">
        <f>+E12+E14</f>
        <v>6502964.7891742606</v>
      </c>
      <c r="G15" s="1">
        <f>+G12+G14</f>
        <v>10908790.992414134</v>
      </c>
      <c r="H15" s="1">
        <f>+H12+H14</f>
        <v>8637384.7304322124</v>
      </c>
      <c r="I15" s="1">
        <f>+I12+I14</f>
        <v>0</v>
      </c>
      <c r="J15" s="1">
        <f>+J12+J14</f>
        <v>0</v>
      </c>
      <c r="K15" s="1">
        <f>SUM(B15:J15)</f>
        <v>64138175.059999995</v>
      </c>
    </row>
    <row r="17" spans="1:11" x14ac:dyDescent="0.25">
      <c r="A17" t="s">
        <v>6</v>
      </c>
      <c r="B17" s="1">
        <f>B$9/($K$9-$J$9-$I$9-$H$9)*-$H$17</f>
        <v>5884534.1110643409</v>
      </c>
      <c r="C17" s="1">
        <f>C$9/($K$9-$J$9-$I$9-$H$9)*-$H$17</f>
        <v>0</v>
      </c>
      <c r="D17" s="1">
        <f>D$9/($K$9-$J$9-$I$9-$H$9)*-$H$17</f>
        <v>43122.836666627249</v>
      </c>
      <c r="E17" s="1">
        <f>E$9/($K$9-$J$9-$I$9-$H$9)*-$H$17</f>
        <v>1012032.5933922516</v>
      </c>
      <c r="G17" s="1">
        <f>G$9/($K$9-$J$9-$I$9-$H$9)*-$H$17</f>
        <v>1697695.1893089926</v>
      </c>
      <c r="H17" s="1">
        <f>-H15</f>
        <v>-8637384.7304322124</v>
      </c>
      <c r="K17" s="1">
        <v>0</v>
      </c>
    </row>
    <row r="18" spans="1:11" x14ac:dyDescent="0.25">
      <c r="A18" t="s">
        <v>4</v>
      </c>
      <c r="B18" s="1">
        <f>+B15+B17</f>
        <v>43696476.507779688</v>
      </c>
      <c r="C18" s="1">
        <f>+C15+C17</f>
        <v>0</v>
      </c>
      <c r="D18" s="1">
        <f>+D15+D17</f>
        <v>320214.98793067248</v>
      </c>
      <c r="E18" s="1">
        <f>+E15+E17</f>
        <v>7514997.3825665126</v>
      </c>
      <c r="G18" s="1">
        <f>+G15+G17</f>
        <v>12606486.181723125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64138175.059999995</v>
      </c>
    </row>
    <row r="20" spans="1:11" x14ac:dyDescent="0.25">
      <c r="A20" t="s">
        <v>7</v>
      </c>
      <c r="B20" s="1">
        <f>B$9/($K$9-$J$9-$I$9-$H$9-$G$9)*-$G$20</f>
        <v>10689714.218109544</v>
      </c>
      <c r="C20" s="1">
        <f>C$9/($K$9-$J$9-$I$9-$H$9-$G$9)*-$G$20</f>
        <v>0</v>
      </c>
      <c r="D20" s="1">
        <f>D$9/($K$9-$J$9-$I$9-$H$9-$G$9)*-$G$20</f>
        <v>78335.989143766696</v>
      </c>
      <c r="E20" s="1">
        <f>E$9/($K$9-$J$9-$I$9-$H$9-$G$9)*-$G$20</f>
        <v>1838435.9744698133</v>
      </c>
      <c r="G20" s="1">
        <f>-G18</f>
        <v>-12606486.181723125</v>
      </c>
      <c r="K20" s="1">
        <f>SUM(B20:J20)</f>
        <v>0</v>
      </c>
    </row>
    <row r="22" spans="1:11" x14ac:dyDescent="0.25">
      <c r="A22" t="s">
        <v>8</v>
      </c>
      <c r="B22" s="1">
        <f>+B20+B18</f>
        <v>54386190.725889236</v>
      </c>
      <c r="C22" s="1">
        <f t="shared" ref="C22:K22" si="3">+C20+C18</f>
        <v>0</v>
      </c>
      <c r="D22" s="1">
        <f t="shared" si="3"/>
        <v>398550.97707443917</v>
      </c>
      <c r="E22" s="1">
        <f t="shared" si="3"/>
        <v>9353433.3570363261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64138175.059999995</v>
      </c>
    </row>
    <row r="27" spans="1:11" x14ac:dyDescent="0.25">
      <c r="A27" t="s">
        <v>9</v>
      </c>
      <c r="B27" s="1">
        <f>+B9</f>
        <v>27249603.57</v>
      </c>
    </row>
    <row r="28" spans="1:11" x14ac:dyDescent="0.25">
      <c r="A28" t="s">
        <v>10</v>
      </c>
      <c r="B28" s="1">
        <f>+B22-B27</f>
        <v>27136587.155889235</v>
      </c>
    </row>
    <row r="29" spans="1:11" x14ac:dyDescent="0.25">
      <c r="A29" s="29" t="s">
        <v>164</v>
      </c>
      <c r="B29" s="1">
        <f>'BEMIDJI SU'!B29+'NTC-Bemidji'!B29</f>
        <v>4802</v>
      </c>
    </row>
    <row r="30" spans="1:11" x14ac:dyDescent="0.25">
      <c r="A30" t="s">
        <v>11</v>
      </c>
      <c r="B30" s="1">
        <f>+B28/B29</f>
        <v>5651.1010320469049</v>
      </c>
    </row>
  </sheetData>
  <phoneticPr fontId="11" type="noConversion"/>
  <pageMargins left="0.66" right="0.35" top="0.89" bottom="0.69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0"/>
  <sheetViews>
    <sheetView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1.1796875" style="1" customWidth="1"/>
    <col min="8" max="10" width="10.26953125" style="1" customWidth="1"/>
    <col min="11" max="11" width="10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19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Table'!B11</f>
        <v>23440885.989999998</v>
      </c>
      <c r="C9" s="1">
        <f>'Master Expend Table'!C11</f>
        <v>0</v>
      </c>
      <c r="D9" s="1">
        <f>'Master Expend Table'!D11</f>
        <v>137513.95000000001</v>
      </c>
      <c r="E9" s="1">
        <f>'Master Expend Table'!E11</f>
        <v>4600117.5</v>
      </c>
      <c r="G9" s="1">
        <f>'Master Expend Table'!G11</f>
        <v>7277997.1399999997</v>
      </c>
      <c r="H9" s="1">
        <f>'Master Expend Table'!H11</f>
        <v>4731071.08</v>
      </c>
      <c r="I9" s="1">
        <f>'Master Expend Table'!I11</f>
        <v>8915680.8000000007</v>
      </c>
      <c r="J9" s="1">
        <f>'Master Expend Table'!J11</f>
        <v>6500086.8700000001</v>
      </c>
      <c r="K9" s="1">
        <f>SUM(B9:J9)</f>
        <v>55603353.329999991</v>
      </c>
    </row>
    <row r="11" spans="1:11" x14ac:dyDescent="0.25">
      <c r="A11" t="s">
        <v>3</v>
      </c>
      <c r="B11" s="1">
        <f>(B9/($K9-$J9))*-$J$11</f>
        <v>3103007.3196634743</v>
      </c>
      <c r="C11" s="1">
        <f t="shared" ref="C11:I11" si="0">(C9/($K9-$J9))*-$J$11</f>
        <v>0</v>
      </c>
      <c r="D11" s="1">
        <f t="shared" si="0"/>
        <v>18203.526675052824</v>
      </c>
      <c r="E11" s="1">
        <f t="shared" si="0"/>
        <v>608944.48613851401</v>
      </c>
      <c r="G11" s="1">
        <f t="shared" si="0"/>
        <v>963431.09247424093</v>
      </c>
      <c r="H11" s="1">
        <f t="shared" si="0"/>
        <v>626279.57822716155</v>
      </c>
      <c r="I11" s="1">
        <f t="shared" si="0"/>
        <v>1180220.8668215575</v>
      </c>
      <c r="J11" s="1">
        <f>-J9</f>
        <v>-6500086.8700000001</v>
      </c>
      <c r="K11" s="1">
        <v>0</v>
      </c>
    </row>
    <row r="12" spans="1:11" x14ac:dyDescent="0.25">
      <c r="A12" t="s">
        <v>4</v>
      </c>
      <c r="B12" s="1">
        <f>+B9+B11</f>
        <v>26543893.309663475</v>
      </c>
      <c r="C12" s="1">
        <f t="shared" ref="C12:J12" si="1">+C9+C11</f>
        <v>0</v>
      </c>
      <c r="D12" s="1">
        <f t="shared" si="1"/>
        <v>155717.47667505284</v>
      </c>
      <c r="E12" s="1">
        <f t="shared" si="1"/>
        <v>5209061.9861385142</v>
      </c>
      <c r="G12" s="1">
        <f t="shared" si="1"/>
        <v>8241428.2324742405</v>
      </c>
      <c r="H12" s="1">
        <f t="shared" si="1"/>
        <v>5357350.6582271615</v>
      </c>
      <c r="I12" s="1">
        <f t="shared" si="1"/>
        <v>10095901.666821558</v>
      </c>
      <c r="J12" s="1">
        <f t="shared" si="1"/>
        <v>0</v>
      </c>
      <c r="K12" s="1">
        <f>SUM(B12:J12)</f>
        <v>55603353.329999998</v>
      </c>
    </row>
    <row r="14" spans="1:11" x14ac:dyDescent="0.25">
      <c r="A14" t="s">
        <v>5</v>
      </c>
      <c r="B14" s="1">
        <f>B$9/($K$9-$J$9-$I$9)*-I14</f>
        <v>5888805.6112753078</v>
      </c>
      <c r="C14" s="1">
        <f t="shared" ref="C14:H14" si="2">C$9/($K$9-$J$9-$I$9)*-$I$14</f>
        <v>0</v>
      </c>
      <c r="D14" s="1">
        <f t="shared" si="2"/>
        <v>34546.173755296368</v>
      </c>
      <c r="E14" s="1">
        <f t="shared" si="2"/>
        <v>1155638.81664209</v>
      </c>
      <c r="G14" s="1">
        <f t="shared" si="2"/>
        <v>1828374.1670498885</v>
      </c>
      <c r="H14" s="1">
        <f t="shared" si="2"/>
        <v>1188536.8980989757</v>
      </c>
      <c r="I14" s="1">
        <f>-I12</f>
        <v>-10095901.666821558</v>
      </c>
      <c r="K14" s="1">
        <v>0</v>
      </c>
    </row>
    <row r="15" spans="1:11" x14ac:dyDescent="0.25">
      <c r="A15" t="s">
        <v>4</v>
      </c>
      <c r="B15" s="1">
        <f>+B12+B14</f>
        <v>32432698.920938782</v>
      </c>
      <c r="C15" s="1">
        <f>+C12+C14</f>
        <v>0</v>
      </c>
      <c r="D15" s="1">
        <f>+D12+D14</f>
        <v>190263.6504303492</v>
      </c>
      <c r="E15" s="1">
        <f>+E12+E14</f>
        <v>6364700.802780604</v>
      </c>
      <c r="G15" s="1">
        <f>+G12+G14</f>
        <v>10069802.39952413</v>
      </c>
      <c r="H15" s="1">
        <f>+H12+H14</f>
        <v>6545887.5563261369</v>
      </c>
      <c r="I15" s="1">
        <f>+I12+I14</f>
        <v>0</v>
      </c>
      <c r="J15" s="1">
        <f>+J12+J14</f>
        <v>0</v>
      </c>
      <c r="K15" s="1">
        <f>SUM(B15:J15)</f>
        <v>55603353.329999998</v>
      </c>
    </row>
    <row r="17" spans="1:11" x14ac:dyDescent="0.25">
      <c r="A17" t="s">
        <v>6</v>
      </c>
      <c r="B17" s="1">
        <f>B$9/($K$9-$J$9-$I$9-$H$9)*-$H$17</f>
        <v>4327594.1171542155</v>
      </c>
      <c r="C17" s="1">
        <f>C$9/($K$9-$J$9-$I$9-$H$9)*-$H$17</f>
        <v>0</v>
      </c>
      <c r="D17" s="1">
        <f>D$9/($K$9-$J$9-$I$9-$H$9)*-$H$17</f>
        <v>25387.460239366108</v>
      </c>
      <c r="E17" s="1">
        <f>E$9/($K$9-$J$9-$I$9-$H$9)*-$H$17</f>
        <v>849261.4758550839</v>
      </c>
      <c r="G17" s="1">
        <f>G$9/($K$9-$J$9-$I$9-$H$9)*-$H$17</f>
        <v>1343644.5030774712</v>
      </c>
      <c r="H17" s="1">
        <f>-H15</f>
        <v>-6545887.5563261369</v>
      </c>
      <c r="K17" s="1">
        <v>0</v>
      </c>
    </row>
    <row r="18" spans="1:11" x14ac:dyDescent="0.25">
      <c r="A18" t="s">
        <v>4</v>
      </c>
      <c r="B18" s="1">
        <f>+B15+B17</f>
        <v>36760293.038093001</v>
      </c>
      <c r="C18" s="1">
        <f>+C15+C17</f>
        <v>0</v>
      </c>
      <c r="D18" s="1">
        <f>+D15+D17</f>
        <v>215651.1106697153</v>
      </c>
      <c r="E18" s="1">
        <f>+E15+E17</f>
        <v>7213962.2786356881</v>
      </c>
      <c r="G18" s="1">
        <f>+G15+G17</f>
        <v>11413446.902601602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55603353.330000006</v>
      </c>
    </row>
    <row r="20" spans="1:11" x14ac:dyDescent="0.25">
      <c r="A20" t="s">
        <v>7</v>
      </c>
      <c r="B20" s="1">
        <f>B$9/($K$9-$J$9-$I$9-$H$9-$G$9)*-$G$20</f>
        <v>9494513.2641017605</v>
      </c>
      <c r="C20" s="1">
        <f>C$9/($K$9-$J$9-$I$9-$H$9-$G$9)*-$G$20</f>
        <v>0</v>
      </c>
      <c r="D20" s="1">
        <f>D$9/($K$9-$J$9-$I$9-$H$9-$G$9)*-$G$20</f>
        <v>55698.748879671781</v>
      </c>
      <c r="E20" s="1">
        <f>E$9/($K$9-$J$9-$I$9-$H$9-$G$9)*-$G$20</f>
        <v>1863234.8896201698</v>
      </c>
      <c r="G20" s="1">
        <f>-G18</f>
        <v>-11413446.902601602</v>
      </c>
      <c r="K20" s="1">
        <f>SUM(B20:J20)</f>
        <v>0</v>
      </c>
    </row>
    <row r="22" spans="1:11" x14ac:dyDescent="0.25">
      <c r="A22" t="s">
        <v>8</v>
      </c>
      <c r="B22" s="1">
        <f>+B20+B18</f>
        <v>46254806.302194759</v>
      </c>
      <c r="C22" s="1">
        <f t="shared" ref="C22:K22" si="3">+C20+C18</f>
        <v>0</v>
      </c>
      <c r="D22" s="1">
        <f t="shared" si="3"/>
        <v>271349.85954938707</v>
      </c>
      <c r="E22" s="1">
        <f t="shared" si="3"/>
        <v>9077197.1682558581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55603353.330000006</v>
      </c>
    </row>
    <row r="27" spans="1:11" x14ac:dyDescent="0.25">
      <c r="A27" t="s">
        <v>9</v>
      </c>
      <c r="B27" s="1">
        <f>+B9</f>
        <v>23440885.989999998</v>
      </c>
    </row>
    <row r="28" spans="1:11" x14ac:dyDescent="0.25">
      <c r="A28" t="s">
        <v>10</v>
      </c>
      <c r="B28" s="1">
        <f>+B22-B27</f>
        <v>22813920.312194761</v>
      </c>
    </row>
    <row r="29" spans="1:11" x14ac:dyDescent="0.25">
      <c r="A29" s="29" t="s">
        <v>164</v>
      </c>
      <c r="B29" s="1">
        <v>4214</v>
      </c>
    </row>
    <row r="30" spans="1:11" x14ac:dyDescent="0.25">
      <c r="A30" t="s">
        <v>11</v>
      </c>
      <c r="B30" s="1">
        <f>+B28/B29</f>
        <v>5413.8396564297009</v>
      </c>
    </row>
  </sheetData>
  <phoneticPr fontId="0" type="noConversion"/>
  <pageMargins left="0.52" right="0.55000000000000004" top="1" bottom="0.55000000000000004" header="0.5" footer="0.5"/>
  <pageSetup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0"/>
  <sheetViews>
    <sheetView zoomScale="80" workbookViewId="0">
      <selection activeCell="A29" sqref="A29"/>
    </sheetView>
  </sheetViews>
  <sheetFormatPr defaultRowHeight="12.5" x14ac:dyDescent="0.25"/>
  <cols>
    <col min="1" max="1" width="25" customWidth="1"/>
    <col min="2" max="2" width="14.26953125" style="1" customWidth="1"/>
    <col min="3" max="3" width="11.26953125" style="1" customWidth="1"/>
    <col min="4" max="4" width="10.1796875" style="1" customWidth="1"/>
    <col min="5" max="5" width="10.453125" style="1" customWidth="1"/>
    <col min="6" max="6" width="2.7265625" style="3" customWidth="1"/>
    <col min="7" max="7" width="10.81640625" style="1" customWidth="1"/>
    <col min="8" max="8" width="11.453125" style="1" customWidth="1"/>
    <col min="9" max="10" width="10.26953125" style="1" customWidth="1"/>
    <col min="11" max="11" width="10.7265625" style="1" customWidth="1"/>
  </cols>
  <sheetData>
    <row r="1" spans="1:11" ht="15.5" x14ac:dyDescent="0.35">
      <c r="A1" s="5" t="str">
        <f>+System!$A$1</f>
        <v>MINNESOTA STATE - F.Y. 2019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5">
      <c r="A2" s="1"/>
    </row>
    <row r="3" spans="1:11" ht="13" x14ac:dyDescent="0.3">
      <c r="A3" s="7" t="s">
        <v>57</v>
      </c>
    </row>
    <row r="4" spans="1:11" x14ac:dyDescent="0.25">
      <c r="B4" s="2"/>
      <c r="C4" s="2"/>
      <c r="D4" s="2"/>
      <c r="E4" s="2"/>
      <c r="G4" s="2"/>
      <c r="H4" s="2"/>
      <c r="I4" s="2"/>
      <c r="J4" s="2"/>
      <c r="K4" s="2"/>
    </row>
    <row r="5" spans="1:11" ht="13" x14ac:dyDescent="0.3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5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5">
      <c r="A9" t="s">
        <v>2</v>
      </c>
      <c r="B9" s="1">
        <f>'Master Expend Table'!B12</f>
        <v>3808717.58</v>
      </c>
      <c r="C9" s="1">
        <f>'Master Expend Table'!C12</f>
        <v>0</v>
      </c>
      <c r="D9" s="1">
        <f>'Master Expend Table'!D12</f>
        <v>62175.64</v>
      </c>
      <c r="E9" s="1">
        <f>'Master Expend Table'!E12</f>
        <v>86317.56</v>
      </c>
      <c r="G9" s="1">
        <f>'Master Expend Table'!G12</f>
        <v>583546.36</v>
      </c>
      <c r="H9" s="1">
        <f>'Master Expend Table'!H12</f>
        <v>1493557.83</v>
      </c>
      <c r="I9" s="1">
        <f>'Master Expend Table'!I12</f>
        <v>1876063.09</v>
      </c>
      <c r="J9" s="1">
        <f>'Master Expend Table'!J12</f>
        <v>624443.67000000004</v>
      </c>
      <c r="K9" s="1">
        <f>SUM(B9:J9)</f>
        <v>8534821.7300000004</v>
      </c>
    </row>
    <row r="11" spans="1:11" x14ac:dyDescent="0.25">
      <c r="A11" t="s">
        <v>3</v>
      </c>
      <c r="B11" s="1">
        <f>(B9/($K9-$J9))*-$J$11</f>
        <v>300659.40788280335</v>
      </c>
      <c r="C11" s="1">
        <f t="shared" ref="C11:I11" si="0">(C9/($K9-$J9))*-$J$11</f>
        <v>0</v>
      </c>
      <c r="D11" s="1">
        <f t="shared" si="0"/>
        <v>4908.1326495030753</v>
      </c>
      <c r="E11" s="1">
        <f t="shared" si="0"/>
        <v>6813.8910103931494</v>
      </c>
      <c r="G11" s="1">
        <f t="shared" si="0"/>
        <v>46065.033540703007</v>
      </c>
      <c r="H11" s="1">
        <f t="shared" si="0"/>
        <v>117901.15790274076</v>
      </c>
      <c r="I11" s="1">
        <f t="shared" si="0"/>
        <v>148096.04701385667</v>
      </c>
      <c r="J11" s="1">
        <f>-J9</f>
        <v>-624443.67000000004</v>
      </c>
      <c r="K11" s="1">
        <v>0</v>
      </c>
    </row>
    <row r="12" spans="1:11" x14ac:dyDescent="0.25">
      <c r="A12" t="s">
        <v>4</v>
      </c>
      <c r="B12" s="1">
        <f>+B9+B11</f>
        <v>4109376.9878828032</v>
      </c>
      <c r="C12" s="1">
        <f t="shared" ref="C12:J12" si="1">+C9+C11</f>
        <v>0</v>
      </c>
      <c r="D12" s="1">
        <f t="shared" si="1"/>
        <v>67083.77264950308</v>
      </c>
      <c r="E12" s="1">
        <f t="shared" si="1"/>
        <v>93131.451010393153</v>
      </c>
      <c r="G12" s="1">
        <f t="shared" si="1"/>
        <v>629611.39354070299</v>
      </c>
      <c r="H12" s="1">
        <f t="shared" si="1"/>
        <v>1611458.9879027409</v>
      </c>
      <c r="I12" s="1">
        <f t="shared" si="1"/>
        <v>2024159.1370138568</v>
      </c>
      <c r="J12" s="1">
        <f t="shared" si="1"/>
        <v>0</v>
      </c>
      <c r="K12" s="1">
        <f>SUM(B12:J12)</f>
        <v>8534821.7300000004</v>
      </c>
    </row>
    <row r="14" spans="1:11" x14ac:dyDescent="0.25">
      <c r="A14" t="s">
        <v>5</v>
      </c>
      <c r="B14" s="1">
        <f>B$9/($K$9-$J$9-$I$9)*-I14</f>
        <v>1277601.6048533018</v>
      </c>
      <c r="C14" s="1">
        <f t="shared" ref="C14:H14" si="2">C$9/($K$9-$J$9-$I$9)*-$I$14</f>
        <v>0</v>
      </c>
      <c r="D14" s="1">
        <f t="shared" si="2"/>
        <v>20856.284504765288</v>
      </c>
      <c r="E14" s="1">
        <f t="shared" si="2"/>
        <v>28954.484250055939</v>
      </c>
      <c r="G14" s="1">
        <f t="shared" si="2"/>
        <v>195745.61525832603</v>
      </c>
      <c r="H14" s="1">
        <f t="shared" si="2"/>
        <v>501001.14814740745</v>
      </c>
      <c r="I14" s="1">
        <f>-I12</f>
        <v>-2024159.1370138568</v>
      </c>
      <c r="K14" s="1">
        <v>0</v>
      </c>
    </row>
    <row r="15" spans="1:11" x14ac:dyDescent="0.25">
      <c r="A15" t="s">
        <v>4</v>
      </c>
      <c r="B15" s="1">
        <f>+B12+B14</f>
        <v>5386978.5927361045</v>
      </c>
      <c r="C15" s="1">
        <f>+C12+C14</f>
        <v>0</v>
      </c>
      <c r="D15" s="1">
        <f>+D12+D14</f>
        <v>87940.057154268376</v>
      </c>
      <c r="E15" s="1">
        <f>+E12+E14</f>
        <v>122085.9352604491</v>
      </c>
      <c r="G15" s="1">
        <f>+G12+G14</f>
        <v>825357.00879902905</v>
      </c>
      <c r="H15" s="1">
        <f>+H12+H14</f>
        <v>2112460.1360501484</v>
      </c>
      <c r="I15" s="1">
        <f>+I12+I14</f>
        <v>0</v>
      </c>
      <c r="J15" s="1">
        <f>+J12+J14</f>
        <v>0</v>
      </c>
      <c r="K15" s="1">
        <f>SUM(B15:J15)</f>
        <v>8534821.7299999986</v>
      </c>
    </row>
    <row r="17" spans="1:11" x14ac:dyDescent="0.25">
      <c r="A17" t="s">
        <v>6</v>
      </c>
      <c r="B17" s="1">
        <f>B$9/($K$9-$J$9-$I$9-$H$9)*-$H$17</f>
        <v>1771899.2249877057</v>
      </c>
      <c r="C17" s="1">
        <f>C$9/($K$9-$J$9-$I$9-$H$9)*-$H$17</f>
        <v>0</v>
      </c>
      <c r="D17" s="1">
        <f>D$9/($K$9-$J$9-$I$9-$H$9)*-$H$17</f>
        <v>28925.475836702652</v>
      </c>
      <c r="E17" s="1">
        <f>E$9/($K$9-$J$9-$I$9-$H$9)*-$H$17</f>
        <v>40156.828237926158</v>
      </c>
      <c r="G17" s="1">
        <f>G$9/($K$9-$J$9-$I$9-$H$9)*-$H$17</f>
        <v>271478.6069878136</v>
      </c>
      <c r="H17" s="1">
        <f>-H15</f>
        <v>-2112460.1360501484</v>
      </c>
      <c r="K17" s="1">
        <v>0</v>
      </c>
    </row>
    <row r="18" spans="1:11" x14ac:dyDescent="0.25">
      <c r="A18" t="s">
        <v>4</v>
      </c>
      <c r="B18" s="1">
        <f>+B15+B17</f>
        <v>7158877.8177238107</v>
      </c>
      <c r="C18" s="1">
        <f>+C15+C17</f>
        <v>0</v>
      </c>
      <c r="D18" s="1">
        <f>+D15+D17</f>
        <v>116865.53299097103</v>
      </c>
      <c r="E18" s="1">
        <f>+E15+E17</f>
        <v>162242.76349837525</v>
      </c>
      <c r="G18" s="1">
        <f>+G15+G17</f>
        <v>1096835.6157868425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8534821.7299999986</v>
      </c>
    </row>
    <row r="20" spans="1:11" x14ac:dyDescent="0.25">
      <c r="A20" t="s">
        <v>7</v>
      </c>
      <c r="B20" s="1">
        <f>B$9/($K$9-$J$9-$I$9-$H$9-$G$9)*-$G$20</f>
        <v>1055677.1737636558</v>
      </c>
      <c r="C20" s="1">
        <f>C$9/($K$9-$J$9-$I$9-$H$9-$G$9)*-$G$20</f>
        <v>0</v>
      </c>
      <c r="D20" s="1">
        <f>D$9/($K$9-$J$9-$I$9-$H$9-$G$9)*-$G$20</f>
        <v>17233.465735767815</v>
      </c>
      <c r="E20" s="1">
        <f>E$9/($K$9-$J$9-$I$9-$H$9-$G$9)*-$G$20</f>
        <v>23924.976287418711</v>
      </c>
      <c r="G20" s="1">
        <f>-G18</f>
        <v>-1096835.6157868425</v>
      </c>
      <c r="K20" s="1">
        <f>SUM(B20:J20)</f>
        <v>0</v>
      </c>
    </row>
    <row r="22" spans="1:11" x14ac:dyDescent="0.25">
      <c r="A22" t="s">
        <v>8</v>
      </c>
      <c r="B22" s="1">
        <f>+B20+B18</f>
        <v>8214554.9914874667</v>
      </c>
      <c r="C22" s="1">
        <f t="shared" ref="C22:K22" si="3">+C20+C18</f>
        <v>0</v>
      </c>
      <c r="D22" s="1">
        <f t="shared" si="3"/>
        <v>134098.99872673885</v>
      </c>
      <c r="E22" s="1">
        <f t="shared" si="3"/>
        <v>186167.73978579396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8534821.7299999986</v>
      </c>
    </row>
    <row r="27" spans="1:11" x14ac:dyDescent="0.25">
      <c r="A27" t="s">
        <v>9</v>
      </c>
      <c r="B27" s="1">
        <f>+B9</f>
        <v>3808717.58</v>
      </c>
    </row>
    <row r="28" spans="1:11" x14ac:dyDescent="0.25">
      <c r="A28" t="s">
        <v>10</v>
      </c>
      <c r="B28" s="1">
        <f>+B22-B27</f>
        <v>4405837.4114874667</v>
      </c>
    </row>
    <row r="29" spans="1:11" x14ac:dyDescent="0.25">
      <c r="A29" s="29" t="s">
        <v>164</v>
      </c>
      <c r="B29" s="1">
        <v>588</v>
      </c>
    </row>
    <row r="30" spans="1:11" x14ac:dyDescent="0.25">
      <c r="A30" t="s">
        <v>11</v>
      </c>
      <c r="B30" s="1">
        <f>+B28/B29</f>
        <v>7492.920767835828</v>
      </c>
    </row>
  </sheetData>
  <phoneticPr fontId="11" type="noConversion"/>
  <pageMargins left="0.75" right="0.75" top="1" bottom="1" header="0.5" footer="0.5"/>
  <pageSetup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Master Expend Table</vt:lpstr>
      <vt:lpstr>System</vt:lpstr>
      <vt:lpstr>ALEX TC</vt:lpstr>
      <vt:lpstr>ARCCATC</vt:lpstr>
      <vt:lpstr>ANOKARAM CC</vt:lpstr>
      <vt:lpstr>ANOKA TC</vt:lpstr>
      <vt:lpstr>BSU &amp; TC</vt:lpstr>
      <vt:lpstr>BEMIDJI SU</vt:lpstr>
      <vt:lpstr>NTC-Bemidji</vt:lpstr>
      <vt:lpstr>CENTRAL LAKES</vt:lpstr>
      <vt:lpstr>CENTURY</vt:lpstr>
      <vt:lpstr>Sheet2</vt:lpstr>
      <vt:lpstr>DAKCTY TC</vt:lpstr>
      <vt:lpstr>INVER HILLS</vt:lpstr>
      <vt:lpstr>FDL CC</vt:lpstr>
      <vt:lpstr>HENN TC</vt:lpstr>
      <vt:lpstr>LAKE SUPERIOR</vt:lpstr>
      <vt:lpstr>METRO SU</vt:lpstr>
      <vt:lpstr>MPLS COLLEGE</vt:lpstr>
      <vt:lpstr>MN SC-SOUTHEAST</vt:lpstr>
      <vt:lpstr>MINNESOTA STATE COLLEGE</vt:lpstr>
      <vt:lpstr>MSU MOORHEAD</vt:lpstr>
      <vt:lpstr>MSU MANKATO</vt:lpstr>
      <vt:lpstr>MN WEST</vt:lpstr>
      <vt:lpstr>NORMANDALE</vt:lpstr>
      <vt:lpstr>NO HENN CC</vt:lpstr>
      <vt:lpstr>NHED</vt:lpstr>
      <vt:lpstr>HIBBING</vt:lpstr>
      <vt:lpstr>ITASCA CC</vt:lpstr>
      <vt:lpstr>MESABI RANGE</vt:lpstr>
      <vt:lpstr>RAINY RIVER</vt:lpstr>
      <vt:lpstr>VERMILION</vt:lpstr>
      <vt:lpstr>NORTHLAND</vt:lpstr>
      <vt:lpstr>PINE TC</vt:lpstr>
      <vt:lpstr>RIDGEWATER</vt:lpstr>
      <vt:lpstr>RIVERLAND</vt:lpstr>
      <vt:lpstr>ROCHESTER</vt:lpstr>
      <vt:lpstr>SAINT PAUL</vt:lpstr>
      <vt:lpstr>SOUTH CENTRAL</vt:lpstr>
      <vt:lpstr>SOUTHWEST MN SU</vt:lpstr>
      <vt:lpstr>ST CLOUD SU</vt:lpstr>
      <vt:lpstr>ST CLOUD TCC</vt:lpstr>
      <vt:lpstr>WINONA SU</vt:lpstr>
      <vt:lpstr>Sheet1</vt:lpstr>
      <vt:lpstr>Indirect Combined</vt:lpstr>
      <vt:lpstr>Indirect SPlit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2014-04-15T15:36:16Z</cp:lastPrinted>
  <dcterms:created xsi:type="dcterms:W3CDTF">2000-03-31T14:58:40Z</dcterms:created>
  <dcterms:modified xsi:type="dcterms:W3CDTF">2020-03-31T20:30:00Z</dcterms:modified>
</cp:coreProperties>
</file>