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mc:AlternateContent xmlns:mc="http://schemas.openxmlformats.org/markup-compatibility/2006">
    <mc:Choice Requires="x15">
      <x15ac:absPath xmlns:x15ac="http://schemas.microsoft.com/office/spreadsheetml/2010/11/ac" url="C:\Users\aeste\Desktop\POLICY\Equity\Equity Gap Analysis\Data Dashboard Template\"/>
    </mc:Choice>
  </mc:AlternateContent>
  <xr:revisionPtr revIDLastSave="0" documentId="13_ncr:1_{5D6A6A52-F126-4FEE-8CFC-96A935627100}" xr6:coauthVersionLast="45" xr6:coauthVersionMax="45" xr10:uidLastSave="{00000000-0000-0000-0000-000000000000}"/>
  <bookViews>
    <workbookView xWindow="20370" yWindow="-120" windowWidth="24240" windowHeight="13290" tabRatio="826" activeTab="1" xr2:uid="{00000000-000D-0000-FFFF-FFFF00000000}"/>
  </bookViews>
  <sheets>
    <sheet name="Instructions" sheetId="18" r:id="rId1"/>
    <sheet name="Dashboard" sheetId="7" r:id="rId2"/>
    <sheet name="Comparison Population" sheetId="6" r:id="rId3"/>
    <sheet name="Sec Enrollment" sheetId="15" r:id="rId4"/>
    <sheet name="PS Enrollment" sheetId="19" state="hidden" r:id="rId5"/>
    <sheet name="Heatmap (Sec)" sheetId="16" r:id="rId6"/>
    <sheet name="Heatmap (PS)" sheetId="20" state="hidden" r:id="rId7"/>
    <sheet name="Dashboard Data" sheetId="21"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5" i="21" l="1"/>
  <c r="I15" i="21"/>
  <c r="J14" i="21"/>
  <c r="I14" i="21"/>
  <c r="J13" i="21"/>
  <c r="I13" i="21"/>
  <c r="J12" i="21"/>
  <c r="I12" i="21"/>
  <c r="J11" i="21"/>
  <c r="I11" i="21"/>
  <c r="J10" i="21"/>
  <c r="I10" i="21"/>
  <c r="J9" i="21"/>
  <c r="I9" i="21"/>
  <c r="J8" i="21"/>
  <c r="I8" i="21"/>
  <c r="C18" i="16" l="1"/>
  <c r="C15" i="16"/>
  <c r="C22" i="16"/>
  <c r="C26" i="16"/>
  <c r="C31" i="16"/>
  <c r="C12" i="16"/>
  <c r="C14" i="16"/>
  <c r="B12" i="16"/>
  <c r="O33" i="15"/>
  <c r="O35" i="15" s="1"/>
  <c r="AL11" i="15"/>
  <c r="AI11" i="15"/>
  <c r="M33" i="15"/>
  <c r="M35" i="15" s="1"/>
  <c r="AB41" i="21" l="1"/>
  <c r="AT41" i="21" s="1"/>
  <c r="AA41" i="21"/>
  <c r="AS41" i="21" s="1"/>
  <c r="Z41" i="21"/>
  <c r="AR41" i="21" s="1"/>
  <c r="Y41" i="21"/>
  <c r="AQ41" i="21" s="1"/>
  <c r="X41" i="21"/>
  <c r="AP41" i="21" s="1"/>
  <c r="W41" i="21"/>
  <c r="AO41" i="21" s="1"/>
  <c r="V41" i="21"/>
  <c r="AN41" i="21" s="1"/>
  <c r="U41" i="21"/>
  <c r="AM41" i="21" s="1"/>
  <c r="T41" i="21"/>
  <c r="AL41" i="21" s="1"/>
  <c r="S41" i="21"/>
  <c r="AK41" i="21" s="1"/>
  <c r="R41" i="21"/>
  <c r="AJ41" i="21" s="1"/>
  <c r="Q41" i="21"/>
  <c r="AI41" i="21" s="1"/>
  <c r="P41" i="21"/>
  <c r="AH41" i="21" s="1"/>
  <c r="O41" i="21"/>
  <c r="AG41" i="21" s="1"/>
  <c r="N41" i="21"/>
  <c r="AF41" i="21" s="1"/>
  <c r="M41" i="21"/>
  <c r="AE41" i="21" s="1"/>
  <c r="AB40" i="21"/>
  <c r="AT40" i="21" s="1"/>
  <c r="AA40" i="21"/>
  <c r="AS40" i="21" s="1"/>
  <c r="Z40" i="21"/>
  <c r="AR40" i="21" s="1"/>
  <c r="Y40" i="21"/>
  <c r="AQ40" i="21" s="1"/>
  <c r="X40" i="21"/>
  <c r="AP40" i="21" s="1"/>
  <c r="W40" i="21"/>
  <c r="AO40" i="21" s="1"/>
  <c r="V40" i="21"/>
  <c r="AN40" i="21" s="1"/>
  <c r="U40" i="21"/>
  <c r="AM40" i="21" s="1"/>
  <c r="T40" i="21"/>
  <c r="AL40" i="21" s="1"/>
  <c r="S40" i="21"/>
  <c r="AK40" i="21" s="1"/>
  <c r="R40" i="21"/>
  <c r="AJ40" i="21" s="1"/>
  <c r="Q40" i="21"/>
  <c r="AI40" i="21" s="1"/>
  <c r="P40" i="21"/>
  <c r="AH40" i="21" s="1"/>
  <c r="O40" i="21"/>
  <c r="AG40" i="21" s="1"/>
  <c r="N40" i="21"/>
  <c r="AF40" i="21" s="1"/>
  <c r="M40" i="21"/>
  <c r="AE40" i="21" s="1"/>
  <c r="AB39" i="21"/>
  <c r="AT39" i="21" s="1"/>
  <c r="AA39" i="21"/>
  <c r="AS39" i="21" s="1"/>
  <c r="Z39" i="21"/>
  <c r="AR39" i="21" s="1"/>
  <c r="Y39" i="21"/>
  <c r="AQ39" i="21" s="1"/>
  <c r="X39" i="21"/>
  <c r="AP39" i="21" s="1"/>
  <c r="W39" i="21"/>
  <c r="AO39" i="21" s="1"/>
  <c r="V39" i="21"/>
  <c r="AN39" i="21" s="1"/>
  <c r="U39" i="21"/>
  <c r="AM39" i="21" s="1"/>
  <c r="T39" i="21"/>
  <c r="AL39" i="21" s="1"/>
  <c r="S39" i="21"/>
  <c r="AK39" i="21" s="1"/>
  <c r="R39" i="21"/>
  <c r="AJ39" i="21" s="1"/>
  <c r="Q39" i="21"/>
  <c r="AI39" i="21" s="1"/>
  <c r="P39" i="21"/>
  <c r="AH39" i="21" s="1"/>
  <c r="O39" i="21"/>
  <c r="AG39" i="21" s="1"/>
  <c r="N39" i="21"/>
  <c r="AF39" i="21" s="1"/>
  <c r="M39" i="21"/>
  <c r="AE39" i="21" s="1"/>
  <c r="AB38" i="21"/>
  <c r="AT38" i="21" s="1"/>
  <c r="AA38" i="21"/>
  <c r="AS38" i="21" s="1"/>
  <c r="Z38" i="21"/>
  <c r="AR38" i="21" s="1"/>
  <c r="Y38" i="21"/>
  <c r="AQ38" i="21" s="1"/>
  <c r="X38" i="21"/>
  <c r="AP38" i="21" s="1"/>
  <c r="W38" i="21"/>
  <c r="AO38" i="21" s="1"/>
  <c r="V38" i="21"/>
  <c r="AN38" i="21" s="1"/>
  <c r="U38" i="21"/>
  <c r="AM38" i="21" s="1"/>
  <c r="T38" i="21"/>
  <c r="AL38" i="21" s="1"/>
  <c r="S38" i="21"/>
  <c r="AK38" i="21" s="1"/>
  <c r="R38" i="21"/>
  <c r="AJ38" i="21" s="1"/>
  <c r="Q38" i="21"/>
  <c r="AI38" i="21" s="1"/>
  <c r="P38" i="21"/>
  <c r="AH38" i="21" s="1"/>
  <c r="O38" i="21"/>
  <c r="AG38" i="21" s="1"/>
  <c r="N38" i="21"/>
  <c r="AF38" i="21" s="1"/>
  <c r="M38" i="21"/>
  <c r="AE38" i="21" s="1"/>
  <c r="AB37" i="21"/>
  <c r="AT37" i="21" s="1"/>
  <c r="AA37" i="21"/>
  <c r="AS37" i="21" s="1"/>
  <c r="Z37" i="21"/>
  <c r="AR37" i="21" s="1"/>
  <c r="Y37" i="21"/>
  <c r="AQ37" i="21" s="1"/>
  <c r="X37" i="21"/>
  <c r="AP37" i="21" s="1"/>
  <c r="W37" i="21"/>
  <c r="AO37" i="21" s="1"/>
  <c r="V37" i="21"/>
  <c r="AN37" i="21" s="1"/>
  <c r="U37" i="21"/>
  <c r="AM37" i="21" s="1"/>
  <c r="T37" i="21"/>
  <c r="AL37" i="21" s="1"/>
  <c r="S37" i="21"/>
  <c r="AK37" i="21" s="1"/>
  <c r="R37" i="21"/>
  <c r="AJ37" i="21" s="1"/>
  <c r="Q37" i="21"/>
  <c r="AI37" i="21" s="1"/>
  <c r="P37" i="21"/>
  <c r="AH37" i="21" s="1"/>
  <c r="O37" i="21"/>
  <c r="AG37" i="21" s="1"/>
  <c r="N37" i="21"/>
  <c r="AF37" i="21" s="1"/>
  <c r="M37" i="21"/>
  <c r="AE37" i="21" s="1"/>
  <c r="AB36" i="21"/>
  <c r="AT36" i="21" s="1"/>
  <c r="AA36" i="21"/>
  <c r="AS36" i="21" s="1"/>
  <c r="Z36" i="21"/>
  <c r="AR36" i="21" s="1"/>
  <c r="Y36" i="21"/>
  <c r="AQ36" i="21" s="1"/>
  <c r="X36" i="21"/>
  <c r="AP36" i="21" s="1"/>
  <c r="W36" i="21"/>
  <c r="AO36" i="21" s="1"/>
  <c r="V36" i="21"/>
  <c r="AN36" i="21" s="1"/>
  <c r="U36" i="21"/>
  <c r="AM36" i="21" s="1"/>
  <c r="T36" i="21"/>
  <c r="AL36" i="21" s="1"/>
  <c r="S36" i="21"/>
  <c r="AK36" i="21" s="1"/>
  <c r="R36" i="21"/>
  <c r="AJ36" i="21" s="1"/>
  <c r="Q36" i="21"/>
  <c r="AI36" i="21" s="1"/>
  <c r="P36" i="21"/>
  <c r="AH36" i="21" s="1"/>
  <c r="O36" i="21"/>
  <c r="AG36" i="21" s="1"/>
  <c r="N36" i="21"/>
  <c r="AF36" i="21" s="1"/>
  <c r="M36" i="21"/>
  <c r="AE36" i="21" s="1"/>
  <c r="AB35" i="21"/>
  <c r="AT35" i="21" s="1"/>
  <c r="AA35" i="21"/>
  <c r="AS35" i="21" s="1"/>
  <c r="Z35" i="21"/>
  <c r="AR35" i="21" s="1"/>
  <c r="Y35" i="21"/>
  <c r="AQ35" i="21" s="1"/>
  <c r="X35" i="21"/>
  <c r="AP35" i="21" s="1"/>
  <c r="W35" i="21"/>
  <c r="AO35" i="21" s="1"/>
  <c r="V35" i="21"/>
  <c r="AN35" i="21" s="1"/>
  <c r="U35" i="21"/>
  <c r="AM35" i="21" s="1"/>
  <c r="T35" i="21"/>
  <c r="AL35" i="21" s="1"/>
  <c r="S35" i="21"/>
  <c r="AK35" i="21" s="1"/>
  <c r="R35" i="21"/>
  <c r="AJ35" i="21" s="1"/>
  <c r="Q35" i="21"/>
  <c r="AI35" i="21" s="1"/>
  <c r="P35" i="21"/>
  <c r="AH35" i="21" s="1"/>
  <c r="O35" i="21"/>
  <c r="AG35" i="21" s="1"/>
  <c r="N35" i="21"/>
  <c r="AF35" i="21" s="1"/>
  <c r="M35" i="21"/>
  <c r="AE35" i="21" s="1"/>
  <c r="AB34" i="21"/>
  <c r="AT34" i="21" s="1"/>
  <c r="AA34" i="21"/>
  <c r="AS34" i="21" s="1"/>
  <c r="Z34" i="21"/>
  <c r="AR34" i="21" s="1"/>
  <c r="Y34" i="21"/>
  <c r="AQ34" i="21" s="1"/>
  <c r="X34" i="21"/>
  <c r="AP34" i="21" s="1"/>
  <c r="W34" i="21"/>
  <c r="AO34" i="21" s="1"/>
  <c r="V34" i="21"/>
  <c r="AN34" i="21" s="1"/>
  <c r="U34" i="21"/>
  <c r="AM34" i="21" s="1"/>
  <c r="T34" i="21"/>
  <c r="AL34" i="21" s="1"/>
  <c r="S34" i="21"/>
  <c r="AK34" i="21" s="1"/>
  <c r="R34" i="21"/>
  <c r="AJ34" i="21" s="1"/>
  <c r="Q34" i="21"/>
  <c r="AI34" i="21" s="1"/>
  <c r="P34" i="21"/>
  <c r="AH34" i="21" s="1"/>
  <c r="O34" i="21"/>
  <c r="AG34" i="21" s="1"/>
  <c r="N34" i="21"/>
  <c r="AF34" i="21" s="1"/>
  <c r="M34" i="21"/>
  <c r="AE34" i="21" s="1"/>
  <c r="AB51" i="21"/>
  <c r="AT51" i="21" s="1"/>
  <c r="AA51" i="21"/>
  <c r="AS51" i="21" s="1"/>
  <c r="Z51" i="21"/>
  <c r="AR51" i="21" s="1"/>
  <c r="Y51" i="21"/>
  <c r="AQ51" i="21" s="1"/>
  <c r="X51" i="21"/>
  <c r="AP51" i="21" s="1"/>
  <c r="W51" i="21"/>
  <c r="AO51" i="21" s="1"/>
  <c r="V51" i="21"/>
  <c r="AN51" i="21" s="1"/>
  <c r="U51" i="21"/>
  <c r="AM51" i="21" s="1"/>
  <c r="T51" i="21"/>
  <c r="AL51" i="21" s="1"/>
  <c r="S51" i="21"/>
  <c r="AK51" i="21" s="1"/>
  <c r="R51" i="21"/>
  <c r="AJ51" i="21" s="1"/>
  <c r="Q51" i="21"/>
  <c r="AI51" i="21" s="1"/>
  <c r="P51" i="21"/>
  <c r="AH51" i="21" s="1"/>
  <c r="O51" i="21"/>
  <c r="AG51" i="21" s="1"/>
  <c r="N51" i="21"/>
  <c r="AF51" i="21" s="1"/>
  <c r="M51" i="21"/>
  <c r="AE51" i="21" s="1"/>
  <c r="AB50" i="21"/>
  <c r="AT50" i="21" s="1"/>
  <c r="AA50" i="21"/>
  <c r="AS50" i="21" s="1"/>
  <c r="Z50" i="21"/>
  <c r="AR50" i="21" s="1"/>
  <c r="Y50" i="21"/>
  <c r="AQ50" i="21" s="1"/>
  <c r="X50" i="21"/>
  <c r="AP50" i="21" s="1"/>
  <c r="W50" i="21"/>
  <c r="AO50" i="21" s="1"/>
  <c r="V50" i="21"/>
  <c r="AN50" i="21" s="1"/>
  <c r="U50" i="21"/>
  <c r="AM50" i="21" s="1"/>
  <c r="T50" i="21"/>
  <c r="AL50" i="21" s="1"/>
  <c r="S50" i="21"/>
  <c r="AK50" i="21" s="1"/>
  <c r="R50" i="21"/>
  <c r="AJ50" i="21" s="1"/>
  <c r="Q50" i="21"/>
  <c r="AI50" i="21" s="1"/>
  <c r="P50" i="21"/>
  <c r="AH50" i="21" s="1"/>
  <c r="O50" i="21"/>
  <c r="AG50" i="21" s="1"/>
  <c r="N50" i="21"/>
  <c r="AF50" i="21" s="1"/>
  <c r="M50" i="21"/>
  <c r="AE50" i="21" s="1"/>
  <c r="AB49" i="21"/>
  <c r="AT49" i="21" s="1"/>
  <c r="AA49" i="21"/>
  <c r="AS49" i="21" s="1"/>
  <c r="Z49" i="21"/>
  <c r="AR49" i="21" s="1"/>
  <c r="Y49" i="21"/>
  <c r="AQ49" i="21" s="1"/>
  <c r="X49" i="21"/>
  <c r="AP49" i="21" s="1"/>
  <c r="W49" i="21"/>
  <c r="AO49" i="21" s="1"/>
  <c r="V49" i="21"/>
  <c r="AN49" i="21" s="1"/>
  <c r="U49" i="21"/>
  <c r="AM49" i="21" s="1"/>
  <c r="T49" i="21"/>
  <c r="AL49" i="21" s="1"/>
  <c r="S49" i="21"/>
  <c r="AK49" i="21" s="1"/>
  <c r="R49" i="21"/>
  <c r="AJ49" i="21" s="1"/>
  <c r="Q49" i="21"/>
  <c r="AI49" i="21" s="1"/>
  <c r="P49" i="21"/>
  <c r="AH49" i="21" s="1"/>
  <c r="O49" i="21"/>
  <c r="AG49" i="21" s="1"/>
  <c r="N49" i="21"/>
  <c r="AF49" i="21" s="1"/>
  <c r="M49" i="21"/>
  <c r="AE49" i="21" s="1"/>
  <c r="AB48" i="21"/>
  <c r="AT48" i="21" s="1"/>
  <c r="AA48" i="21"/>
  <c r="AS48" i="21" s="1"/>
  <c r="Z48" i="21"/>
  <c r="AR48" i="21" s="1"/>
  <c r="Y48" i="21"/>
  <c r="AQ48" i="21" s="1"/>
  <c r="X48" i="21"/>
  <c r="AP48" i="21" s="1"/>
  <c r="W48" i="21"/>
  <c r="AO48" i="21" s="1"/>
  <c r="V48" i="21"/>
  <c r="AN48" i="21" s="1"/>
  <c r="U48" i="21"/>
  <c r="AM48" i="21" s="1"/>
  <c r="T48" i="21"/>
  <c r="AL48" i="21" s="1"/>
  <c r="S48" i="21"/>
  <c r="AK48" i="21" s="1"/>
  <c r="R48" i="21"/>
  <c r="AJ48" i="21" s="1"/>
  <c r="Q48" i="21"/>
  <c r="AI48" i="21" s="1"/>
  <c r="P48" i="21"/>
  <c r="AH48" i="21" s="1"/>
  <c r="O48" i="21"/>
  <c r="AG48" i="21" s="1"/>
  <c r="N48" i="21"/>
  <c r="AF48" i="21" s="1"/>
  <c r="M48" i="21"/>
  <c r="AE48" i="21" s="1"/>
  <c r="AB47" i="21"/>
  <c r="AT47" i="21" s="1"/>
  <c r="AA47" i="21"/>
  <c r="AS47" i="21" s="1"/>
  <c r="Z47" i="21"/>
  <c r="AR47" i="21" s="1"/>
  <c r="Y47" i="21"/>
  <c r="AQ47" i="21" s="1"/>
  <c r="X47" i="21"/>
  <c r="AP47" i="21" s="1"/>
  <c r="W47" i="21"/>
  <c r="AO47" i="21" s="1"/>
  <c r="V47" i="21"/>
  <c r="AN47" i="21" s="1"/>
  <c r="U47" i="21"/>
  <c r="AM47" i="21" s="1"/>
  <c r="T47" i="21"/>
  <c r="AL47" i="21" s="1"/>
  <c r="S47" i="21"/>
  <c r="AK47" i="21" s="1"/>
  <c r="R47" i="21"/>
  <c r="AJ47" i="21" s="1"/>
  <c r="Q47" i="21"/>
  <c r="AI47" i="21" s="1"/>
  <c r="P47" i="21"/>
  <c r="AH47" i="21" s="1"/>
  <c r="O47" i="21"/>
  <c r="AG47" i="21" s="1"/>
  <c r="N47" i="21"/>
  <c r="AF47" i="21" s="1"/>
  <c r="M47" i="21"/>
  <c r="AE47" i="21" s="1"/>
  <c r="AB46" i="21"/>
  <c r="AT46" i="21" s="1"/>
  <c r="AA46" i="21"/>
  <c r="AS46" i="21" s="1"/>
  <c r="Z46" i="21"/>
  <c r="AR46" i="21" s="1"/>
  <c r="Y46" i="21"/>
  <c r="AQ46" i="21" s="1"/>
  <c r="X46" i="21"/>
  <c r="AP46" i="21" s="1"/>
  <c r="W46" i="21"/>
  <c r="AO46" i="21" s="1"/>
  <c r="V46" i="21"/>
  <c r="AN46" i="21" s="1"/>
  <c r="U46" i="21"/>
  <c r="AM46" i="21" s="1"/>
  <c r="T46" i="21"/>
  <c r="AL46" i="21" s="1"/>
  <c r="S46" i="21"/>
  <c r="AK46" i="21" s="1"/>
  <c r="R46" i="21"/>
  <c r="AJ46" i="21" s="1"/>
  <c r="Q46" i="21"/>
  <c r="AI46" i="21" s="1"/>
  <c r="P46" i="21"/>
  <c r="AH46" i="21" s="1"/>
  <c r="O46" i="21"/>
  <c r="AG46" i="21" s="1"/>
  <c r="N46" i="21"/>
  <c r="AF46" i="21" s="1"/>
  <c r="M46" i="21"/>
  <c r="AE46" i="21" s="1"/>
  <c r="AB45" i="21"/>
  <c r="AT45" i="21" s="1"/>
  <c r="AA45" i="21"/>
  <c r="AS45" i="21" s="1"/>
  <c r="Z45" i="21"/>
  <c r="AR45" i="21" s="1"/>
  <c r="Y45" i="21"/>
  <c r="AQ45" i="21" s="1"/>
  <c r="X45" i="21"/>
  <c r="AP45" i="21" s="1"/>
  <c r="W45" i="21"/>
  <c r="AO45" i="21" s="1"/>
  <c r="V45" i="21"/>
  <c r="AN45" i="21" s="1"/>
  <c r="U45" i="21"/>
  <c r="AM45" i="21" s="1"/>
  <c r="T45" i="21"/>
  <c r="AL45" i="21" s="1"/>
  <c r="S45" i="21"/>
  <c r="AK45" i="21" s="1"/>
  <c r="R45" i="21"/>
  <c r="AJ45" i="21" s="1"/>
  <c r="Q45" i="21"/>
  <c r="AI45" i="21" s="1"/>
  <c r="P45" i="21"/>
  <c r="AH45" i="21" s="1"/>
  <c r="O45" i="21"/>
  <c r="AG45" i="21" s="1"/>
  <c r="N45" i="21"/>
  <c r="AF45" i="21" s="1"/>
  <c r="M45" i="21"/>
  <c r="AE45" i="21" s="1"/>
  <c r="AB44" i="21"/>
  <c r="AT44" i="21" s="1"/>
  <c r="AA44" i="21"/>
  <c r="AS44" i="21" s="1"/>
  <c r="Z44" i="21"/>
  <c r="AR44" i="21" s="1"/>
  <c r="Y44" i="21"/>
  <c r="AQ44" i="21" s="1"/>
  <c r="X44" i="21"/>
  <c r="AP44" i="21" s="1"/>
  <c r="W44" i="21"/>
  <c r="AO44" i="21" s="1"/>
  <c r="V44" i="21"/>
  <c r="AN44" i="21" s="1"/>
  <c r="U44" i="21"/>
  <c r="AM44" i="21" s="1"/>
  <c r="T44" i="21"/>
  <c r="AL44" i="21" s="1"/>
  <c r="S44" i="21"/>
  <c r="AK44" i="21" s="1"/>
  <c r="R44" i="21"/>
  <c r="AJ44" i="21" s="1"/>
  <c r="Q44" i="21"/>
  <c r="AI44" i="21" s="1"/>
  <c r="P44" i="21"/>
  <c r="AH44" i="21" s="1"/>
  <c r="O44" i="21"/>
  <c r="AG44" i="21" s="1"/>
  <c r="N44" i="21"/>
  <c r="AF44" i="21" s="1"/>
  <c r="M44" i="21"/>
  <c r="AE44" i="21" s="1"/>
  <c r="AB43" i="21"/>
  <c r="AT43" i="21" s="1"/>
  <c r="AA43" i="21"/>
  <c r="AS43" i="21" s="1"/>
  <c r="Z43" i="21"/>
  <c r="AR43" i="21" s="1"/>
  <c r="Y43" i="21"/>
  <c r="AQ43" i="21" s="1"/>
  <c r="X43" i="21"/>
  <c r="AP43" i="21" s="1"/>
  <c r="W43" i="21"/>
  <c r="AO43" i="21" s="1"/>
  <c r="V43" i="21"/>
  <c r="AN43" i="21" s="1"/>
  <c r="U43" i="21"/>
  <c r="AM43" i="21" s="1"/>
  <c r="T43" i="21"/>
  <c r="AL43" i="21" s="1"/>
  <c r="S43" i="21"/>
  <c r="AK43" i="21" s="1"/>
  <c r="R43" i="21"/>
  <c r="AJ43" i="21" s="1"/>
  <c r="Q43" i="21"/>
  <c r="AI43" i="21" s="1"/>
  <c r="P43" i="21"/>
  <c r="AH43" i="21" s="1"/>
  <c r="O43" i="21"/>
  <c r="AG43" i="21" s="1"/>
  <c r="N43" i="21"/>
  <c r="AF43" i="21" s="1"/>
  <c r="M43" i="21"/>
  <c r="AE43" i="21" s="1"/>
  <c r="AB32" i="21"/>
  <c r="AT32" i="21" s="1"/>
  <c r="AA32" i="21"/>
  <c r="AS32" i="21" s="1"/>
  <c r="Z32" i="21"/>
  <c r="AR32" i="21" s="1"/>
  <c r="Y32" i="21"/>
  <c r="AQ32" i="21" s="1"/>
  <c r="X32" i="21"/>
  <c r="AP32" i="21" s="1"/>
  <c r="W32" i="21"/>
  <c r="AO32" i="21" s="1"/>
  <c r="V32" i="21"/>
  <c r="AN32" i="21" s="1"/>
  <c r="U32" i="21"/>
  <c r="AM32" i="21" s="1"/>
  <c r="T32" i="21"/>
  <c r="AL32" i="21" s="1"/>
  <c r="S32" i="21"/>
  <c r="AK32" i="21" s="1"/>
  <c r="R32" i="21"/>
  <c r="AJ32" i="21" s="1"/>
  <c r="Q32" i="21"/>
  <c r="AI32" i="21" s="1"/>
  <c r="P32" i="21"/>
  <c r="AH32" i="21" s="1"/>
  <c r="O32" i="21"/>
  <c r="AG32" i="21" s="1"/>
  <c r="N32" i="21"/>
  <c r="AF32" i="21" s="1"/>
  <c r="M32" i="21"/>
  <c r="AE32" i="21" s="1"/>
  <c r="AB31" i="21"/>
  <c r="AT31" i="21" s="1"/>
  <c r="AA31" i="21"/>
  <c r="AS31" i="21" s="1"/>
  <c r="Z31" i="21"/>
  <c r="AR31" i="21" s="1"/>
  <c r="Y31" i="21"/>
  <c r="AQ31" i="21" s="1"/>
  <c r="X31" i="21"/>
  <c r="AP31" i="21" s="1"/>
  <c r="W31" i="21"/>
  <c r="AO31" i="21" s="1"/>
  <c r="V31" i="21"/>
  <c r="AN31" i="21" s="1"/>
  <c r="U31" i="21"/>
  <c r="AM31" i="21" s="1"/>
  <c r="T31" i="21"/>
  <c r="AL31" i="21" s="1"/>
  <c r="S31" i="21"/>
  <c r="AK31" i="21" s="1"/>
  <c r="R31" i="21"/>
  <c r="AJ31" i="21" s="1"/>
  <c r="Q31" i="21"/>
  <c r="AI31" i="21" s="1"/>
  <c r="P31" i="21"/>
  <c r="AH31" i="21" s="1"/>
  <c r="O31" i="21"/>
  <c r="AG31" i="21" s="1"/>
  <c r="N31" i="21"/>
  <c r="AF31" i="21" s="1"/>
  <c r="M31" i="21"/>
  <c r="AE31" i="21" s="1"/>
  <c r="AB30" i="21"/>
  <c r="AT30" i="21" s="1"/>
  <c r="AA30" i="21"/>
  <c r="AS30" i="21" s="1"/>
  <c r="Z30" i="21"/>
  <c r="AR30" i="21" s="1"/>
  <c r="Y30" i="21"/>
  <c r="AQ30" i="21" s="1"/>
  <c r="X30" i="21"/>
  <c r="AP30" i="21" s="1"/>
  <c r="W30" i="21"/>
  <c r="AO30" i="21" s="1"/>
  <c r="V30" i="21"/>
  <c r="AN30" i="21" s="1"/>
  <c r="U30" i="21"/>
  <c r="AM30" i="21" s="1"/>
  <c r="T30" i="21"/>
  <c r="AL30" i="21" s="1"/>
  <c r="S30" i="21"/>
  <c r="AK30" i="21" s="1"/>
  <c r="R30" i="21"/>
  <c r="AJ30" i="21" s="1"/>
  <c r="Q30" i="21"/>
  <c r="AI30" i="21" s="1"/>
  <c r="P30" i="21"/>
  <c r="AH30" i="21" s="1"/>
  <c r="O30" i="21"/>
  <c r="AG30" i="21" s="1"/>
  <c r="N30" i="21"/>
  <c r="AF30" i="21" s="1"/>
  <c r="M30" i="21"/>
  <c r="AE30" i="21" s="1"/>
  <c r="L56" i="21"/>
  <c r="M4" i="21"/>
  <c r="AE4" i="21" s="1"/>
  <c r="M5" i="21"/>
  <c r="AE5" i="21" s="1"/>
  <c r="M6" i="21"/>
  <c r="AE6" i="21" s="1"/>
  <c r="M8" i="21"/>
  <c r="AE8" i="21" s="1"/>
  <c r="M9" i="21"/>
  <c r="AE9" i="21" s="1"/>
  <c r="M10" i="21"/>
  <c r="AE10" i="21" s="1"/>
  <c r="M11" i="21"/>
  <c r="AE11" i="21" s="1"/>
  <c r="M12" i="21"/>
  <c r="AE12" i="21" s="1"/>
  <c r="M13" i="21"/>
  <c r="AE13" i="21" s="1"/>
  <c r="M14" i="21"/>
  <c r="AE14" i="21" s="1"/>
  <c r="M15" i="21"/>
  <c r="AE15" i="21" s="1"/>
  <c r="M17" i="21"/>
  <c r="AE17" i="21" s="1"/>
  <c r="M18" i="21"/>
  <c r="AE18" i="21" s="1"/>
  <c r="M19" i="21"/>
  <c r="AE19" i="21" s="1"/>
  <c r="M20" i="21"/>
  <c r="AE20" i="21" s="1"/>
  <c r="M21" i="21"/>
  <c r="AE21" i="21" s="1"/>
  <c r="M22" i="21"/>
  <c r="AE22" i="21" s="1"/>
  <c r="M23" i="21"/>
  <c r="AE23" i="21" s="1"/>
  <c r="M24" i="21"/>
  <c r="AE24" i="21" s="1"/>
  <c r="M25" i="21"/>
  <c r="AE25" i="21" s="1"/>
  <c r="AB25" i="21"/>
  <c r="AT25" i="21" s="1"/>
  <c r="AA25" i="21"/>
  <c r="AS25" i="21" s="1"/>
  <c r="Z25" i="21"/>
  <c r="AR25" i="21" s="1"/>
  <c r="Y25" i="21"/>
  <c r="AQ25" i="21" s="1"/>
  <c r="X25" i="21"/>
  <c r="AP25" i="21" s="1"/>
  <c r="W25" i="21"/>
  <c r="AO25" i="21" s="1"/>
  <c r="V25" i="21"/>
  <c r="AN25" i="21" s="1"/>
  <c r="U25" i="21"/>
  <c r="AM25" i="21" s="1"/>
  <c r="T25" i="21"/>
  <c r="AL25" i="21" s="1"/>
  <c r="S25" i="21"/>
  <c r="AK25" i="21" s="1"/>
  <c r="R25" i="21"/>
  <c r="AJ25" i="21" s="1"/>
  <c r="Q25" i="21"/>
  <c r="AI25" i="21" s="1"/>
  <c r="P25" i="21"/>
  <c r="AH25" i="21" s="1"/>
  <c r="O25" i="21"/>
  <c r="AG25" i="21" s="1"/>
  <c r="N25" i="21"/>
  <c r="AF25" i="21" s="1"/>
  <c r="AB24" i="21"/>
  <c r="AT24" i="21" s="1"/>
  <c r="AA24" i="21"/>
  <c r="AS24" i="21" s="1"/>
  <c r="Z24" i="21"/>
  <c r="AR24" i="21" s="1"/>
  <c r="Y24" i="21"/>
  <c r="AQ24" i="21" s="1"/>
  <c r="X24" i="21"/>
  <c r="AP24" i="21" s="1"/>
  <c r="W24" i="21"/>
  <c r="AO24" i="21" s="1"/>
  <c r="V24" i="21"/>
  <c r="AN24" i="21" s="1"/>
  <c r="U24" i="21"/>
  <c r="AM24" i="21" s="1"/>
  <c r="T24" i="21"/>
  <c r="AL24" i="21" s="1"/>
  <c r="S24" i="21"/>
  <c r="AK24" i="21" s="1"/>
  <c r="R24" i="21"/>
  <c r="AJ24" i="21" s="1"/>
  <c r="Q24" i="21"/>
  <c r="AI24" i="21" s="1"/>
  <c r="P24" i="21"/>
  <c r="AH24" i="21" s="1"/>
  <c r="O24" i="21"/>
  <c r="AG24" i="21" s="1"/>
  <c r="N24" i="21"/>
  <c r="AF24" i="21" s="1"/>
  <c r="AB23" i="21"/>
  <c r="AT23" i="21" s="1"/>
  <c r="AA23" i="21"/>
  <c r="AS23" i="21" s="1"/>
  <c r="Z23" i="21"/>
  <c r="AR23" i="21" s="1"/>
  <c r="Y23" i="21"/>
  <c r="AQ23" i="21" s="1"/>
  <c r="X23" i="21"/>
  <c r="AP23" i="21" s="1"/>
  <c r="W23" i="21"/>
  <c r="AO23" i="21" s="1"/>
  <c r="V23" i="21"/>
  <c r="AN23" i="21" s="1"/>
  <c r="U23" i="21"/>
  <c r="AM23" i="21" s="1"/>
  <c r="T23" i="21"/>
  <c r="AL23" i="21" s="1"/>
  <c r="S23" i="21"/>
  <c r="AK23" i="21" s="1"/>
  <c r="R23" i="21"/>
  <c r="AJ23" i="21" s="1"/>
  <c r="Q23" i="21"/>
  <c r="AI23" i="21" s="1"/>
  <c r="P23" i="21"/>
  <c r="AH23" i="21" s="1"/>
  <c r="O23" i="21"/>
  <c r="AG23" i="21" s="1"/>
  <c r="N23" i="21"/>
  <c r="AF23" i="21" s="1"/>
  <c r="AB22" i="21"/>
  <c r="AT22" i="21" s="1"/>
  <c r="AA22" i="21"/>
  <c r="AS22" i="21" s="1"/>
  <c r="Z22" i="21"/>
  <c r="AR22" i="21" s="1"/>
  <c r="Y22" i="21"/>
  <c r="AQ22" i="21" s="1"/>
  <c r="X22" i="21"/>
  <c r="AP22" i="21" s="1"/>
  <c r="W22" i="21"/>
  <c r="AO22" i="21" s="1"/>
  <c r="V22" i="21"/>
  <c r="AN22" i="21" s="1"/>
  <c r="U22" i="21"/>
  <c r="AM22" i="21" s="1"/>
  <c r="T22" i="21"/>
  <c r="AL22" i="21" s="1"/>
  <c r="S22" i="21"/>
  <c r="AK22" i="21" s="1"/>
  <c r="R22" i="21"/>
  <c r="AJ22" i="21" s="1"/>
  <c r="Q22" i="21"/>
  <c r="AI22" i="21" s="1"/>
  <c r="P22" i="21"/>
  <c r="AH22" i="21" s="1"/>
  <c r="O22" i="21"/>
  <c r="AG22" i="21" s="1"/>
  <c r="N22" i="21"/>
  <c r="AF22" i="21" s="1"/>
  <c r="AB21" i="21"/>
  <c r="AT21" i="21" s="1"/>
  <c r="AA21" i="21"/>
  <c r="AS21" i="21" s="1"/>
  <c r="Z21" i="21"/>
  <c r="AR21" i="21" s="1"/>
  <c r="Y21" i="21"/>
  <c r="AQ21" i="21" s="1"/>
  <c r="X21" i="21"/>
  <c r="AP21" i="21" s="1"/>
  <c r="W21" i="21"/>
  <c r="AO21" i="21" s="1"/>
  <c r="V21" i="21"/>
  <c r="AN21" i="21" s="1"/>
  <c r="U21" i="21"/>
  <c r="AM21" i="21" s="1"/>
  <c r="T21" i="21"/>
  <c r="AL21" i="21" s="1"/>
  <c r="S21" i="21"/>
  <c r="AK21" i="21" s="1"/>
  <c r="R21" i="21"/>
  <c r="AJ21" i="21" s="1"/>
  <c r="Q21" i="21"/>
  <c r="AI21" i="21" s="1"/>
  <c r="P21" i="21"/>
  <c r="AH21" i="21" s="1"/>
  <c r="O21" i="21"/>
  <c r="AG21" i="21" s="1"/>
  <c r="N21" i="21"/>
  <c r="AF21" i="21" s="1"/>
  <c r="AB20" i="21"/>
  <c r="AT20" i="21" s="1"/>
  <c r="AA20" i="21"/>
  <c r="AS20" i="21" s="1"/>
  <c r="Z20" i="21"/>
  <c r="AR20" i="21" s="1"/>
  <c r="Y20" i="21"/>
  <c r="AQ20" i="21" s="1"/>
  <c r="X20" i="21"/>
  <c r="AP20" i="21" s="1"/>
  <c r="W20" i="21"/>
  <c r="AO20" i="21" s="1"/>
  <c r="V20" i="21"/>
  <c r="AN20" i="21" s="1"/>
  <c r="U20" i="21"/>
  <c r="AM20" i="21" s="1"/>
  <c r="T20" i="21"/>
  <c r="AL20" i="21" s="1"/>
  <c r="S20" i="21"/>
  <c r="AK20" i="21" s="1"/>
  <c r="R20" i="21"/>
  <c r="AJ20" i="21" s="1"/>
  <c r="Q20" i="21"/>
  <c r="AI20" i="21" s="1"/>
  <c r="P20" i="21"/>
  <c r="AH20" i="21" s="1"/>
  <c r="O20" i="21"/>
  <c r="AG20" i="21" s="1"/>
  <c r="N20" i="21"/>
  <c r="AF20" i="21" s="1"/>
  <c r="AB19" i="21"/>
  <c r="AT19" i="21" s="1"/>
  <c r="AA19" i="21"/>
  <c r="AS19" i="21" s="1"/>
  <c r="Z19" i="21"/>
  <c r="AR19" i="21" s="1"/>
  <c r="Y19" i="21"/>
  <c r="AQ19" i="21" s="1"/>
  <c r="X19" i="21"/>
  <c r="AP19" i="21" s="1"/>
  <c r="W19" i="21"/>
  <c r="AO19" i="21" s="1"/>
  <c r="V19" i="21"/>
  <c r="AN19" i="21" s="1"/>
  <c r="U19" i="21"/>
  <c r="AM19" i="21" s="1"/>
  <c r="T19" i="21"/>
  <c r="AL19" i="21" s="1"/>
  <c r="S19" i="21"/>
  <c r="AK19" i="21" s="1"/>
  <c r="R19" i="21"/>
  <c r="AJ19" i="21" s="1"/>
  <c r="Q19" i="21"/>
  <c r="AI19" i="21" s="1"/>
  <c r="P19" i="21"/>
  <c r="AH19" i="21" s="1"/>
  <c r="O19" i="21"/>
  <c r="AG19" i="21" s="1"/>
  <c r="N19" i="21"/>
  <c r="AF19" i="21" s="1"/>
  <c r="AB18" i="21"/>
  <c r="AT18" i="21" s="1"/>
  <c r="AA18" i="21"/>
  <c r="AS18" i="21" s="1"/>
  <c r="Z18" i="21"/>
  <c r="AR18" i="21" s="1"/>
  <c r="Y18" i="21"/>
  <c r="AQ18" i="21" s="1"/>
  <c r="X18" i="21"/>
  <c r="AP18" i="21" s="1"/>
  <c r="W18" i="21"/>
  <c r="AO18" i="21" s="1"/>
  <c r="V18" i="21"/>
  <c r="AN18" i="21" s="1"/>
  <c r="U18" i="21"/>
  <c r="AM18" i="21" s="1"/>
  <c r="T18" i="21"/>
  <c r="AL18" i="21" s="1"/>
  <c r="S18" i="21"/>
  <c r="AK18" i="21" s="1"/>
  <c r="R18" i="21"/>
  <c r="AJ18" i="21" s="1"/>
  <c r="Q18" i="21"/>
  <c r="AI18" i="21" s="1"/>
  <c r="P18" i="21"/>
  <c r="AH18" i="21" s="1"/>
  <c r="O18" i="21"/>
  <c r="AG18" i="21" s="1"/>
  <c r="N18" i="21"/>
  <c r="AF18" i="21" s="1"/>
  <c r="AB17" i="21"/>
  <c r="AT17" i="21" s="1"/>
  <c r="AA17" i="21"/>
  <c r="AS17" i="21" s="1"/>
  <c r="Z17" i="21"/>
  <c r="AR17" i="21" s="1"/>
  <c r="Y17" i="21"/>
  <c r="AQ17" i="21" s="1"/>
  <c r="X17" i="21"/>
  <c r="AP17" i="21" s="1"/>
  <c r="W17" i="21"/>
  <c r="AO17" i="21" s="1"/>
  <c r="V17" i="21"/>
  <c r="AN17" i="21" s="1"/>
  <c r="U17" i="21"/>
  <c r="AM17" i="21" s="1"/>
  <c r="T17" i="21"/>
  <c r="AL17" i="21" s="1"/>
  <c r="S17" i="21"/>
  <c r="AK17" i="21" s="1"/>
  <c r="R17" i="21"/>
  <c r="AJ17" i="21" s="1"/>
  <c r="Q17" i="21"/>
  <c r="AI17" i="21" s="1"/>
  <c r="P17" i="21"/>
  <c r="AH17" i="21" s="1"/>
  <c r="O17" i="21"/>
  <c r="AG17" i="21" s="1"/>
  <c r="N17" i="21"/>
  <c r="AF17" i="21" s="1"/>
  <c r="AB15" i="21"/>
  <c r="AT15" i="21" s="1"/>
  <c r="AA15" i="21"/>
  <c r="AS15" i="21" s="1"/>
  <c r="Z15" i="21"/>
  <c r="AR15" i="21" s="1"/>
  <c r="Y15" i="21"/>
  <c r="AQ15" i="21" s="1"/>
  <c r="X15" i="21"/>
  <c r="AP15" i="21" s="1"/>
  <c r="W15" i="21"/>
  <c r="AO15" i="21" s="1"/>
  <c r="V15" i="21"/>
  <c r="AN15" i="21" s="1"/>
  <c r="U15" i="21"/>
  <c r="AM15" i="21" s="1"/>
  <c r="T15" i="21"/>
  <c r="AL15" i="21" s="1"/>
  <c r="S15" i="21"/>
  <c r="AK15" i="21" s="1"/>
  <c r="R15" i="21"/>
  <c r="AJ15" i="21" s="1"/>
  <c r="Q15" i="21"/>
  <c r="AI15" i="21" s="1"/>
  <c r="P15" i="21"/>
  <c r="AH15" i="21" s="1"/>
  <c r="O15" i="21"/>
  <c r="AG15" i="21" s="1"/>
  <c r="N15" i="21"/>
  <c r="AF15" i="21" s="1"/>
  <c r="AB14" i="21"/>
  <c r="AT14" i="21" s="1"/>
  <c r="AA14" i="21"/>
  <c r="AS14" i="21" s="1"/>
  <c r="Z14" i="21"/>
  <c r="AR14" i="21" s="1"/>
  <c r="Y14" i="21"/>
  <c r="AQ14" i="21" s="1"/>
  <c r="X14" i="21"/>
  <c r="AP14" i="21" s="1"/>
  <c r="W14" i="21"/>
  <c r="AO14" i="21" s="1"/>
  <c r="V14" i="21"/>
  <c r="AN14" i="21" s="1"/>
  <c r="U14" i="21"/>
  <c r="AM14" i="21" s="1"/>
  <c r="T14" i="21"/>
  <c r="AL14" i="21" s="1"/>
  <c r="S14" i="21"/>
  <c r="AK14" i="21" s="1"/>
  <c r="R14" i="21"/>
  <c r="AJ14" i="21" s="1"/>
  <c r="Q14" i="21"/>
  <c r="AI14" i="21" s="1"/>
  <c r="P14" i="21"/>
  <c r="AH14" i="21" s="1"/>
  <c r="O14" i="21"/>
  <c r="AG14" i="21" s="1"/>
  <c r="N14" i="21"/>
  <c r="AF14" i="21" s="1"/>
  <c r="AB13" i="21"/>
  <c r="AT13" i="21" s="1"/>
  <c r="AA13" i="21"/>
  <c r="AS13" i="21" s="1"/>
  <c r="Z13" i="21"/>
  <c r="AR13" i="21" s="1"/>
  <c r="Y13" i="21"/>
  <c r="AQ13" i="21" s="1"/>
  <c r="X13" i="21"/>
  <c r="AP13" i="21" s="1"/>
  <c r="W13" i="21"/>
  <c r="AO13" i="21" s="1"/>
  <c r="V13" i="21"/>
  <c r="AN13" i="21" s="1"/>
  <c r="U13" i="21"/>
  <c r="AM13" i="21" s="1"/>
  <c r="T13" i="21"/>
  <c r="AL13" i="21" s="1"/>
  <c r="S13" i="21"/>
  <c r="AK13" i="21" s="1"/>
  <c r="R13" i="21"/>
  <c r="AJ13" i="21" s="1"/>
  <c r="Q13" i="21"/>
  <c r="AI13" i="21" s="1"/>
  <c r="P13" i="21"/>
  <c r="AH13" i="21" s="1"/>
  <c r="O13" i="21"/>
  <c r="AG13" i="21" s="1"/>
  <c r="N13" i="21"/>
  <c r="AF13" i="21" s="1"/>
  <c r="AB12" i="21"/>
  <c r="AT12" i="21" s="1"/>
  <c r="AA12" i="21"/>
  <c r="AS12" i="21" s="1"/>
  <c r="Z12" i="21"/>
  <c r="AR12" i="21" s="1"/>
  <c r="Y12" i="21"/>
  <c r="AQ12" i="21" s="1"/>
  <c r="X12" i="21"/>
  <c r="AP12" i="21" s="1"/>
  <c r="W12" i="21"/>
  <c r="AO12" i="21" s="1"/>
  <c r="V12" i="21"/>
  <c r="AN12" i="21" s="1"/>
  <c r="U12" i="21"/>
  <c r="AM12" i="21" s="1"/>
  <c r="T12" i="21"/>
  <c r="AL12" i="21" s="1"/>
  <c r="S12" i="21"/>
  <c r="AK12" i="21" s="1"/>
  <c r="R12" i="21"/>
  <c r="AJ12" i="21" s="1"/>
  <c r="Q12" i="21"/>
  <c r="AI12" i="21" s="1"/>
  <c r="P12" i="21"/>
  <c r="AH12" i="21" s="1"/>
  <c r="O12" i="21"/>
  <c r="AG12" i="21" s="1"/>
  <c r="N12" i="21"/>
  <c r="AF12" i="21" s="1"/>
  <c r="AB11" i="21"/>
  <c r="AT11" i="21" s="1"/>
  <c r="AA11" i="21"/>
  <c r="AS11" i="21" s="1"/>
  <c r="Z11" i="21"/>
  <c r="AR11" i="21" s="1"/>
  <c r="Y11" i="21"/>
  <c r="AQ11" i="21" s="1"/>
  <c r="X11" i="21"/>
  <c r="AP11" i="21" s="1"/>
  <c r="W11" i="21"/>
  <c r="AO11" i="21" s="1"/>
  <c r="V11" i="21"/>
  <c r="AN11" i="21" s="1"/>
  <c r="U11" i="21"/>
  <c r="AM11" i="21" s="1"/>
  <c r="T11" i="21"/>
  <c r="AL11" i="21" s="1"/>
  <c r="S11" i="21"/>
  <c r="AK11" i="21" s="1"/>
  <c r="R11" i="21"/>
  <c r="AJ11" i="21" s="1"/>
  <c r="Q11" i="21"/>
  <c r="AI11" i="21" s="1"/>
  <c r="P11" i="21"/>
  <c r="AH11" i="21" s="1"/>
  <c r="O11" i="21"/>
  <c r="AG11" i="21" s="1"/>
  <c r="N11" i="21"/>
  <c r="AF11" i="21" s="1"/>
  <c r="AB10" i="21"/>
  <c r="AT10" i="21" s="1"/>
  <c r="AA10" i="21"/>
  <c r="AS10" i="21" s="1"/>
  <c r="Z10" i="21"/>
  <c r="AR10" i="21" s="1"/>
  <c r="Y10" i="21"/>
  <c r="AQ10" i="21" s="1"/>
  <c r="X10" i="21"/>
  <c r="AP10" i="21" s="1"/>
  <c r="W10" i="21"/>
  <c r="AO10" i="21" s="1"/>
  <c r="V10" i="21"/>
  <c r="AN10" i="21" s="1"/>
  <c r="U10" i="21"/>
  <c r="AM10" i="21" s="1"/>
  <c r="T10" i="21"/>
  <c r="AL10" i="21" s="1"/>
  <c r="S10" i="21"/>
  <c r="AK10" i="21" s="1"/>
  <c r="R10" i="21"/>
  <c r="AJ10" i="21" s="1"/>
  <c r="Q10" i="21"/>
  <c r="AI10" i="21" s="1"/>
  <c r="P10" i="21"/>
  <c r="AH10" i="21" s="1"/>
  <c r="O10" i="21"/>
  <c r="AG10" i="21" s="1"/>
  <c r="N10" i="21"/>
  <c r="AF10" i="21" s="1"/>
  <c r="AB9" i="21"/>
  <c r="AT9" i="21" s="1"/>
  <c r="AA9" i="21"/>
  <c r="AS9" i="21" s="1"/>
  <c r="Z9" i="21"/>
  <c r="AR9" i="21" s="1"/>
  <c r="Y9" i="21"/>
  <c r="AQ9" i="21" s="1"/>
  <c r="X9" i="21"/>
  <c r="AP9" i="21" s="1"/>
  <c r="W9" i="21"/>
  <c r="AO9" i="21" s="1"/>
  <c r="V9" i="21"/>
  <c r="AN9" i="21" s="1"/>
  <c r="U9" i="21"/>
  <c r="AM9" i="21" s="1"/>
  <c r="T9" i="21"/>
  <c r="AL9" i="21" s="1"/>
  <c r="S9" i="21"/>
  <c r="AK9" i="21" s="1"/>
  <c r="R9" i="21"/>
  <c r="AJ9" i="21" s="1"/>
  <c r="Q9" i="21"/>
  <c r="AI9" i="21" s="1"/>
  <c r="P9" i="21"/>
  <c r="AH9" i="21" s="1"/>
  <c r="O9" i="21"/>
  <c r="AG9" i="21" s="1"/>
  <c r="N9" i="21"/>
  <c r="AF9" i="21" s="1"/>
  <c r="AB8" i="21"/>
  <c r="AT8" i="21" s="1"/>
  <c r="AA8" i="21"/>
  <c r="AS8" i="21" s="1"/>
  <c r="Z8" i="21"/>
  <c r="AR8" i="21" s="1"/>
  <c r="Y8" i="21"/>
  <c r="AQ8" i="21" s="1"/>
  <c r="X8" i="21"/>
  <c r="AP8" i="21" s="1"/>
  <c r="W8" i="21"/>
  <c r="AO8" i="21" s="1"/>
  <c r="V8" i="21"/>
  <c r="AN8" i="21" s="1"/>
  <c r="U8" i="21"/>
  <c r="AM8" i="21" s="1"/>
  <c r="T8" i="21"/>
  <c r="AL8" i="21" s="1"/>
  <c r="S8" i="21"/>
  <c r="AK8" i="21" s="1"/>
  <c r="R8" i="21"/>
  <c r="AJ8" i="21" s="1"/>
  <c r="Q8" i="21"/>
  <c r="AI8" i="21" s="1"/>
  <c r="P8" i="21"/>
  <c r="AH8" i="21" s="1"/>
  <c r="O8" i="21"/>
  <c r="AG8" i="21" s="1"/>
  <c r="N8" i="21"/>
  <c r="AF8" i="21" s="1"/>
  <c r="AB6" i="21"/>
  <c r="AT6" i="21" s="1"/>
  <c r="AA6" i="21"/>
  <c r="AS6" i="21" s="1"/>
  <c r="Z6" i="21"/>
  <c r="AR6" i="21" s="1"/>
  <c r="Y6" i="21"/>
  <c r="AQ6" i="21" s="1"/>
  <c r="X6" i="21"/>
  <c r="AP6" i="21" s="1"/>
  <c r="W6" i="21"/>
  <c r="AO6" i="21" s="1"/>
  <c r="V6" i="21"/>
  <c r="AN6" i="21" s="1"/>
  <c r="U6" i="21"/>
  <c r="AM6" i="21" s="1"/>
  <c r="T6" i="21"/>
  <c r="AL6" i="21" s="1"/>
  <c r="S6" i="21"/>
  <c r="AK6" i="21" s="1"/>
  <c r="R6" i="21"/>
  <c r="AJ6" i="21" s="1"/>
  <c r="Q6" i="21"/>
  <c r="AI6" i="21" s="1"/>
  <c r="P6" i="21"/>
  <c r="AH6" i="21" s="1"/>
  <c r="O6" i="21"/>
  <c r="AG6" i="21" s="1"/>
  <c r="N6" i="21"/>
  <c r="AF6" i="21" s="1"/>
  <c r="AB5" i="21"/>
  <c r="AT5" i="21" s="1"/>
  <c r="AA5" i="21"/>
  <c r="AS5" i="21" s="1"/>
  <c r="Z5" i="21"/>
  <c r="AR5" i="21" s="1"/>
  <c r="Y5" i="21"/>
  <c r="AQ5" i="21" s="1"/>
  <c r="X5" i="21"/>
  <c r="AP5" i="21" s="1"/>
  <c r="W5" i="21"/>
  <c r="AO5" i="21" s="1"/>
  <c r="V5" i="21"/>
  <c r="AN5" i="21" s="1"/>
  <c r="U5" i="21"/>
  <c r="AM5" i="21" s="1"/>
  <c r="T5" i="21"/>
  <c r="AL5" i="21" s="1"/>
  <c r="S5" i="21"/>
  <c r="AK5" i="21" s="1"/>
  <c r="R5" i="21"/>
  <c r="AJ5" i="21" s="1"/>
  <c r="Q5" i="21"/>
  <c r="AI5" i="21" s="1"/>
  <c r="P5" i="21"/>
  <c r="AH5" i="21" s="1"/>
  <c r="O5" i="21"/>
  <c r="AG5" i="21" s="1"/>
  <c r="N5" i="21"/>
  <c r="AF5" i="21" s="1"/>
  <c r="AB4" i="21"/>
  <c r="AT4" i="21" s="1"/>
  <c r="AA4" i="21"/>
  <c r="AS4" i="21" s="1"/>
  <c r="Z4" i="21"/>
  <c r="AR4" i="21" s="1"/>
  <c r="Y4" i="21"/>
  <c r="AQ4" i="21" s="1"/>
  <c r="X4" i="21"/>
  <c r="AP4" i="21" s="1"/>
  <c r="W4" i="21"/>
  <c r="AO4" i="21" s="1"/>
  <c r="V4" i="21"/>
  <c r="AN4" i="21" s="1"/>
  <c r="U4" i="21"/>
  <c r="AM4" i="21" s="1"/>
  <c r="T4" i="21"/>
  <c r="AL4" i="21" s="1"/>
  <c r="S4" i="21"/>
  <c r="AK4" i="21" s="1"/>
  <c r="R4" i="21"/>
  <c r="AJ4" i="21" s="1"/>
  <c r="Q4" i="21"/>
  <c r="AI4" i="21" s="1"/>
  <c r="P4" i="21"/>
  <c r="AH4" i="21" s="1"/>
  <c r="O4" i="21"/>
  <c r="AG4" i="21" s="1"/>
  <c r="N4" i="21"/>
  <c r="AF4" i="21" s="1"/>
  <c r="E25" i="21"/>
  <c r="E24" i="21"/>
  <c r="E23" i="21"/>
  <c r="E22" i="21"/>
  <c r="E21" i="21"/>
  <c r="E20" i="21"/>
  <c r="E19" i="21"/>
  <c r="E18" i="21"/>
  <c r="E17" i="21"/>
  <c r="E15" i="21"/>
  <c r="E14" i="21"/>
  <c r="E13" i="21"/>
  <c r="E12" i="21"/>
  <c r="E11" i="21"/>
  <c r="E10" i="21"/>
  <c r="E9" i="21"/>
  <c r="E8" i="21"/>
  <c r="E6" i="21"/>
  <c r="E5" i="21"/>
  <c r="E4" i="21"/>
  <c r="Q66" i="21" l="1"/>
  <c r="M59" i="21"/>
  <c r="Q74" i="21"/>
  <c r="Q65" i="21"/>
  <c r="Q59" i="21"/>
  <c r="Q73" i="21"/>
  <c r="Q64" i="21"/>
  <c r="Q80" i="21"/>
  <c r="Q72" i="21"/>
  <c r="Q63" i="21"/>
  <c r="Q79" i="21"/>
  <c r="Q70" i="21"/>
  <c r="Q61" i="21"/>
  <c r="Q78" i="21"/>
  <c r="Q69" i="21"/>
  <c r="Q60" i="21"/>
  <c r="Q77" i="21"/>
  <c r="Q68" i="21"/>
  <c r="Q76" i="21"/>
  <c r="Q67" i="21"/>
  <c r="Q75" i="21"/>
  <c r="M60" i="21"/>
  <c r="M68" i="21"/>
  <c r="M73" i="21"/>
  <c r="M77" i="21"/>
  <c r="M64" i="21"/>
  <c r="M76" i="21"/>
  <c r="M67" i="21"/>
  <c r="M75" i="21"/>
  <c r="M66" i="21"/>
  <c r="M74" i="21"/>
  <c r="M65" i="21"/>
  <c r="M80" i="21"/>
  <c r="M72" i="21"/>
  <c r="M63" i="21"/>
  <c r="M79" i="21"/>
  <c r="M70" i="21"/>
  <c r="M61" i="21"/>
  <c r="M78" i="21"/>
  <c r="M69" i="21"/>
  <c r="F105" i="20" l="1"/>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18" i="20"/>
  <c r="F9" i="20"/>
  <c r="C6" i="20"/>
  <c r="E105" i="20"/>
  <c r="D105" i="20"/>
  <c r="C105" i="20"/>
  <c r="B105" i="20"/>
  <c r="A105" i="20"/>
  <c r="E104" i="20"/>
  <c r="D104" i="20"/>
  <c r="C104" i="20"/>
  <c r="B104" i="20"/>
  <c r="A104" i="20"/>
  <c r="E103" i="20"/>
  <c r="D103" i="20"/>
  <c r="C103" i="20"/>
  <c r="B103" i="20"/>
  <c r="A103" i="20"/>
  <c r="E102" i="20"/>
  <c r="D102" i="20"/>
  <c r="C102" i="20"/>
  <c r="B102" i="20"/>
  <c r="A102" i="20"/>
  <c r="E101" i="20"/>
  <c r="D101" i="20"/>
  <c r="C101" i="20"/>
  <c r="B101" i="20"/>
  <c r="A101" i="20"/>
  <c r="E100" i="20"/>
  <c r="D100" i="20"/>
  <c r="C100" i="20"/>
  <c r="B100" i="20"/>
  <c r="A100" i="20"/>
  <c r="E99" i="20"/>
  <c r="D99" i="20"/>
  <c r="C99" i="20"/>
  <c r="B99" i="20"/>
  <c r="A99" i="20"/>
  <c r="E98" i="20"/>
  <c r="D98" i="20"/>
  <c r="C98" i="20"/>
  <c r="B98" i="20"/>
  <c r="A98" i="20"/>
  <c r="E97" i="20"/>
  <c r="D97" i="20"/>
  <c r="C97" i="20"/>
  <c r="B97" i="20"/>
  <c r="A97" i="20"/>
  <c r="E96" i="20"/>
  <c r="D96" i="20"/>
  <c r="C96" i="20"/>
  <c r="B96" i="20"/>
  <c r="A96" i="20"/>
  <c r="E95" i="20"/>
  <c r="D95" i="20"/>
  <c r="C95" i="20"/>
  <c r="B95" i="20"/>
  <c r="A95" i="20"/>
  <c r="E94" i="20"/>
  <c r="D94" i="20"/>
  <c r="C94" i="20"/>
  <c r="B94" i="20"/>
  <c r="A94" i="20"/>
  <c r="E93" i="20"/>
  <c r="D93" i="20"/>
  <c r="C93" i="20"/>
  <c r="B93" i="20"/>
  <c r="A93" i="20"/>
  <c r="E92" i="20"/>
  <c r="D92" i="20"/>
  <c r="C92" i="20"/>
  <c r="B92" i="20"/>
  <c r="A92" i="20"/>
  <c r="E91" i="20"/>
  <c r="D91" i="20"/>
  <c r="C91" i="20"/>
  <c r="B91" i="20"/>
  <c r="A91" i="20"/>
  <c r="E90" i="20"/>
  <c r="D90" i="20"/>
  <c r="C90" i="20"/>
  <c r="B90" i="20"/>
  <c r="A90" i="20"/>
  <c r="E89" i="20"/>
  <c r="D89" i="20"/>
  <c r="C89" i="20"/>
  <c r="B89" i="20"/>
  <c r="A89" i="20"/>
  <c r="E88" i="20"/>
  <c r="D88" i="20"/>
  <c r="C88" i="20"/>
  <c r="B88" i="20"/>
  <c r="A88" i="20"/>
  <c r="E87" i="20"/>
  <c r="D87" i="20"/>
  <c r="C87" i="20"/>
  <c r="B87" i="20"/>
  <c r="A87" i="20"/>
  <c r="E86" i="20"/>
  <c r="D86" i="20"/>
  <c r="C86" i="20"/>
  <c r="B86" i="20"/>
  <c r="A86" i="20"/>
  <c r="E85" i="20"/>
  <c r="D85" i="20"/>
  <c r="C85" i="20"/>
  <c r="B85" i="20"/>
  <c r="A85" i="20"/>
  <c r="E84" i="20"/>
  <c r="D84" i="20"/>
  <c r="C84" i="20"/>
  <c r="B84" i="20"/>
  <c r="A84" i="20"/>
  <c r="E83" i="20"/>
  <c r="D83" i="20"/>
  <c r="C83" i="20"/>
  <c r="B83" i="20"/>
  <c r="A83" i="20"/>
  <c r="E82" i="20"/>
  <c r="D82" i="20"/>
  <c r="C82" i="20"/>
  <c r="B82" i="20"/>
  <c r="A82" i="20"/>
  <c r="E81" i="20"/>
  <c r="D81" i="20"/>
  <c r="C81" i="20"/>
  <c r="B81" i="20"/>
  <c r="A81" i="20"/>
  <c r="E80" i="20"/>
  <c r="D80" i="20"/>
  <c r="C80" i="20"/>
  <c r="B80" i="20"/>
  <c r="A80" i="20"/>
  <c r="E79" i="20"/>
  <c r="D79" i="20"/>
  <c r="C79" i="20"/>
  <c r="B79" i="20"/>
  <c r="A79" i="20"/>
  <c r="E78" i="20"/>
  <c r="D78" i="20"/>
  <c r="C78" i="20"/>
  <c r="B78" i="20"/>
  <c r="A78" i="20"/>
  <c r="E77" i="20"/>
  <c r="D77" i="20"/>
  <c r="C77" i="20"/>
  <c r="B77" i="20"/>
  <c r="A77" i="20"/>
  <c r="E76" i="20"/>
  <c r="D76" i="20"/>
  <c r="C76" i="20"/>
  <c r="B76" i="20"/>
  <c r="A76" i="20"/>
  <c r="E75" i="20"/>
  <c r="D75" i="20"/>
  <c r="C75" i="20"/>
  <c r="B75" i="20"/>
  <c r="A75" i="20"/>
  <c r="E74" i="20"/>
  <c r="D74" i="20"/>
  <c r="C74" i="20"/>
  <c r="B74" i="20"/>
  <c r="A74" i="20"/>
  <c r="E73" i="20"/>
  <c r="D73" i="20"/>
  <c r="C73" i="20"/>
  <c r="B73" i="20"/>
  <c r="A73" i="20"/>
  <c r="E72" i="20"/>
  <c r="D72" i="20"/>
  <c r="C72" i="20"/>
  <c r="B72" i="20"/>
  <c r="A72" i="20"/>
  <c r="E71" i="20"/>
  <c r="D71" i="20"/>
  <c r="C71" i="20"/>
  <c r="B71" i="20"/>
  <c r="A71" i="20"/>
  <c r="E70" i="20"/>
  <c r="D70" i="20"/>
  <c r="C70" i="20"/>
  <c r="B70" i="20"/>
  <c r="A70" i="20"/>
  <c r="E69" i="20"/>
  <c r="D69" i="20"/>
  <c r="C69" i="20"/>
  <c r="B69" i="20"/>
  <c r="A69" i="20"/>
  <c r="E68" i="20"/>
  <c r="D68" i="20"/>
  <c r="C68" i="20"/>
  <c r="B68" i="20"/>
  <c r="A68" i="20"/>
  <c r="E67" i="20"/>
  <c r="D67" i="20"/>
  <c r="C67" i="20"/>
  <c r="B67" i="20"/>
  <c r="A67" i="20"/>
  <c r="E66" i="20"/>
  <c r="D66" i="20"/>
  <c r="C66" i="20"/>
  <c r="B66" i="20"/>
  <c r="A66" i="20"/>
  <c r="E65" i="20"/>
  <c r="D65" i="20"/>
  <c r="C65" i="20"/>
  <c r="B65" i="20"/>
  <c r="A65" i="20"/>
  <c r="E64" i="20"/>
  <c r="D64" i="20"/>
  <c r="C64" i="20"/>
  <c r="B64" i="20"/>
  <c r="A64" i="20"/>
  <c r="E63" i="20"/>
  <c r="D63" i="20"/>
  <c r="C63" i="20"/>
  <c r="B63" i="20"/>
  <c r="A63" i="20"/>
  <c r="E62" i="20"/>
  <c r="D62" i="20"/>
  <c r="C62" i="20"/>
  <c r="B62" i="20"/>
  <c r="A62" i="20"/>
  <c r="E61" i="20"/>
  <c r="D61" i="20"/>
  <c r="C61" i="20"/>
  <c r="B61" i="20"/>
  <c r="A61" i="20"/>
  <c r="E60" i="20"/>
  <c r="D60" i="20"/>
  <c r="C60" i="20"/>
  <c r="B60" i="20"/>
  <c r="A60" i="20"/>
  <c r="E59" i="20"/>
  <c r="D59" i="20"/>
  <c r="C59" i="20"/>
  <c r="B59" i="20"/>
  <c r="A59" i="20"/>
  <c r="E58" i="20"/>
  <c r="D58" i="20"/>
  <c r="C58" i="20"/>
  <c r="B58" i="20"/>
  <c r="A58" i="20"/>
  <c r="E57" i="20"/>
  <c r="D57" i="20"/>
  <c r="C57" i="20"/>
  <c r="B57" i="20"/>
  <c r="A57" i="20"/>
  <c r="E56" i="20"/>
  <c r="D56" i="20"/>
  <c r="C56" i="20"/>
  <c r="B56" i="20"/>
  <c r="A56" i="20"/>
  <c r="E55" i="20"/>
  <c r="D55" i="20"/>
  <c r="C55" i="20"/>
  <c r="B55" i="20"/>
  <c r="A55" i="20"/>
  <c r="E54" i="20"/>
  <c r="D54" i="20"/>
  <c r="C54" i="20"/>
  <c r="B54" i="20"/>
  <c r="A54" i="20"/>
  <c r="E53" i="20"/>
  <c r="D53" i="20"/>
  <c r="C53" i="20"/>
  <c r="B53" i="20"/>
  <c r="A53" i="20"/>
  <c r="E52" i="20"/>
  <c r="D52" i="20"/>
  <c r="C52" i="20"/>
  <c r="B52" i="20"/>
  <c r="A52" i="20"/>
  <c r="E51" i="20"/>
  <c r="D51" i="20"/>
  <c r="C51" i="20"/>
  <c r="B51" i="20"/>
  <c r="A51" i="20"/>
  <c r="E50" i="20"/>
  <c r="D50" i="20"/>
  <c r="C50" i="20"/>
  <c r="B50" i="20"/>
  <c r="A50" i="20"/>
  <c r="E49" i="20"/>
  <c r="D49" i="20"/>
  <c r="C49" i="20"/>
  <c r="B49" i="20"/>
  <c r="A49" i="20"/>
  <c r="E48" i="20"/>
  <c r="D48" i="20"/>
  <c r="C48" i="20"/>
  <c r="B48" i="20"/>
  <c r="A48" i="20"/>
  <c r="E47" i="20"/>
  <c r="D47" i="20"/>
  <c r="C47" i="20"/>
  <c r="B47" i="20"/>
  <c r="A47" i="20"/>
  <c r="E46" i="20"/>
  <c r="D46" i="20"/>
  <c r="C46" i="20"/>
  <c r="B46" i="20"/>
  <c r="A46" i="20"/>
  <c r="E45" i="20"/>
  <c r="D45" i="20"/>
  <c r="C45" i="20"/>
  <c r="B45" i="20"/>
  <c r="A45" i="20"/>
  <c r="E44" i="20"/>
  <c r="D44" i="20"/>
  <c r="C44" i="20"/>
  <c r="B44" i="20"/>
  <c r="A44" i="20"/>
  <c r="E43" i="20"/>
  <c r="D43" i="20"/>
  <c r="C43" i="20"/>
  <c r="B43" i="20"/>
  <c r="A43" i="20"/>
  <c r="E42" i="20"/>
  <c r="D42" i="20"/>
  <c r="C42" i="20"/>
  <c r="B42" i="20"/>
  <c r="A42" i="20"/>
  <c r="E41" i="20"/>
  <c r="D41" i="20"/>
  <c r="C41" i="20"/>
  <c r="B41" i="20"/>
  <c r="A41" i="20"/>
  <c r="E40" i="20"/>
  <c r="D40" i="20"/>
  <c r="C40" i="20"/>
  <c r="B40" i="20"/>
  <c r="A40" i="20"/>
  <c r="E39" i="20"/>
  <c r="D39" i="20"/>
  <c r="C39" i="20"/>
  <c r="B39" i="20"/>
  <c r="A39" i="20"/>
  <c r="E38" i="20"/>
  <c r="D38" i="20"/>
  <c r="C38" i="20"/>
  <c r="B38" i="20"/>
  <c r="A38" i="20"/>
  <c r="E37" i="20"/>
  <c r="D37" i="20"/>
  <c r="C37" i="20"/>
  <c r="B37" i="20"/>
  <c r="A37" i="20"/>
  <c r="E36" i="20"/>
  <c r="D36" i="20"/>
  <c r="C36" i="20"/>
  <c r="B36" i="20"/>
  <c r="A36" i="20"/>
  <c r="E35" i="20"/>
  <c r="D35" i="20"/>
  <c r="C35" i="20"/>
  <c r="B35" i="20"/>
  <c r="A35" i="20"/>
  <c r="E34" i="20"/>
  <c r="D34" i="20"/>
  <c r="C34" i="20"/>
  <c r="B34" i="20"/>
  <c r="A34" i="20"/>
  <c r="E33" i="20"/>
  <c r="D33" i="20"/>
  <c r="C33" i="20"/>
  <c r="B33" i="20"/>
  <c r="A33" i="20"/>
  <c r="E32" i="20"/>
  <c r="D32" i="20"/>
  <c r="C32" i="20"/>
  <c r="B32" i="20"/>
  <c r="A32" i="20"/>
  <c r="E31" i="20"/>
  <c r="D31" i="20"/>
  <c r="C31" i="20"/>
  <c r="B31" i="20"/>
  <c r="A31" i="20"/>
  <c r="E30" i="20"/>
  <c r="D30" i="20"/>
  <c r="C30" i="20"/>
  <c r="B30" i="20"/>
  <c r="A30" i="20"/>
  <c r="E29" i="20"/>
  <c r="D29" i="20"/>
  <c r="C29" i="20"/>
  <c r="B29" i="20"/>
  <c r="A29" i="20"/>
  <c r="E28" i="20"/>
  <c r="D28" i="20"/>
  <c r="C28" i="20"/>
  <c r="B28" i="20"/>
  <c r="A28" i="20"/>
  <c r="E27" i="20"/>
  <c r="D27" i="20"/>
  <c r="C27" i="20"/>
  <c r="B27" i="20"/>
  <c r="A27" i="20"/>
  <c r="E26" i="20"/>
  <c r="D26" i="20"/>
  <c r="C26" i="20"/>
  <c r="B26" i="20"/>
  <c r="A26" i="20"/>
  <c r="E25" i="20"/>
  <c r="D25" i="20"/>
  <c r="C25" i="20"/>
  <c r="B25" i="20"/>
  <c r="A25" i="20"/>
  <c r="E24" i="20"/>
  <c r="D24" i="20"/>
  <c r="C24" i="20"/>
  <c r="B24" i="20"/>
  <c r="A24" i="20"/>
  <c r="E23" i="20"/>
  <c r="D23" i="20"/>
  <c r="C23" i="20"/>
  <c r="B23" i="20"/>
  <c r="A23" i="20"/>
  <c r="E22" i="20"/>
  <c r="D22" i="20"/>
  <c r="C22" i="20"/>
  <c r="B22" i="20"/>
  <c r="A22" i="20"/>
  <c r="E21" i="20"/>
  <c r="D21" i="20"/>
  <c r="C21" i="20"/>
  <c r="B21" i="20"/>
  <c r="A21" i="20"/>
  <c r="E20" i="20"/>
  <c r="D20" i="20"/>
  <c r="C20" i="20"/>
  <c r="B20" i="20"/>
  <c r="A20" i="20"/>
  <c r="E19" i="20"/>
  <c r="D19" i="20"/>
  <c r="C19" i="20"/>
  <c r="B19" i="20"/>
  <c r="A19" i="20"/>
  <c r="E18" i="20"/>
  <c r="D18" i="20"/>
  <c r="C18" i="20"/>
  <c r="B18" i="20"/>
  <c r="A18" i="20"/>
  <c r="E17" i="20"/>
  <c r="D17" i="20"/>
  <c r="C17" i="20"/>
  <c r="B17" i="20"/>
  <c r="A17" i="20"/>
  <c r="E16" i="20"/>
  <c r="D16" i="20"/>
  <c r="C16" i="20"/>
  <c r="B16" i="20"/>
  <c r="A16" i="20"/>
  <c r="E15" i="20"/>
  <c r="D15" i="20"/>
  <c r="C15" i="20"/>
  <c r="B15" i="20"/>
  <c r="A15" i="20"/>
  <c r="E14" i="20"/>
  <c r="D14" i="20"/>
  <c r="C14" i="20"/>
  <c r="B14" i="20"/>
  <c r="A14" i="20"/>
  <c r="E13" i="20"/>
  <c r="D13" i="20"/>
  <c r="C13" i="20"/>
  <c r="B13" i="20"/>
  <c r="A13" i="20"/>
  <c r="E12" i="20"/>
  <c r="D12" i="20"/>
  <c r="C12" i="20"/>
  <c r="B12" i="20"/>
  <c r="A12" i="20"/>
  <c r="E11" i="20"/>
  <c r="D11" i="20"/>
  <c r="C11" i="20"/>
  <c r="B11" i="20"/>
  <c r="A11" i="20"/>
  <c r="E10" i="20"/>
  <c r="D10" i="20"/>
  <c r="C10" i="20"/>
  <c r="B10" i="20"/>
  <c r="A10" i="20"/>
  <c r="E9" i="20"/>
  <c r="D9" i="20"/>
  <c r="C9" i="20"/>
  <c r="B9" i="20"/>
  <c r="A9" i="20"/>
  <c r="E8" i="20"/>
  <c r="D8" i="20"/>
  <c r="C8" i="20"/>
  <c r="B8" i="20"/>
  <c r="A8" i="20"/>
  <c r="E7" i="20"/>
  <c r="D7" i="20"/>
  <c r="C7" i="20"/>
  <c r="B7" i="20"/>
  <c r="A7" i="20"/>
  <c r="E6" i="20"/>
  <c r="D6" i="20"/>
  <c r="B6" i="20"/>
  <c r="A6" i="20"/>
  <c r="AR106" i="19"/>
  <c r="AQ106" i="19"/>
  <c r="AP106" i="19"/>
  <c r="AO106" i="19"/>
  <c r="AN106" i="19"/>
  <c r="AM106" i="19"/>
  <c r="AL106" i="19"/>
  <c r="AK106" i="19"/>
  <c r="AJ106" i="19"/>
  <c r="AI106" i="19"/>
  <c r="AH106" i="19"/>
  <c r="AG106" i="19"/>
  <c r="AF106" i="19"/>
  <c r="AE106" i="19"/>
  <c r="AD106" i="19"/>
  <c r="AC106" i="19"/>
  <c r="AB106" i="19"/>
  <c r="AA106" i="19"/>
  <c r="Z106" i="19"/>
  <c r="Y106" i="19"/>
  <c r="X106" i="19"/>
  <c r="W106" i="19"/>
  <c r="V106" i="19"/>
  <c r="U106" i="19"/>
  <c r="T106" i="19"/>
  <c r="S106" i="19"/>
  <c r="R106" i="19"/>
  <c r="Q106" i="19"/>
  <c r="P106" i="19"/>
  <c r="N106" i="19"/>
  <c r="M106" i="19"/>
  <c r="L106" i="19"/>
  <c r="K106" i="19"/>
  <c r="J106" i="19"/>
  <c r="I106" i="19"/>
  <c r="H106" i="19"/>
  <c r="G106" i="19"/>
  <c r="F106" i="19"/>
  <c r="E106" i="19"/>
  <c r="D106" i="19"/>
  <c r="AR105" i="19"/>
  <c r="AQ105" i="19"/>
  <c r="AP105" i="19"/>
  <c r="AO105" i="19"/>
  <c r="AN105" i="19"/>
  <c r="AM105" i="19"/>
  <c r="AL105" i="19"/>
  <c r="AK105" i="19"/>
  <c r="AJ105" i="19"/>
  <c r="AI105" i="19"/>
  <c r="AH105" i="19"/>
  <c r="AG105" i="19"/>
  <c r="AF105" i="19"/>
  <c r="AE105" i="19"/>
  <c r="AD105" i="19"/>
  <c r="AC105" i="19"/>
  <c r="AB105" i="19"/>
  <c r="AA105" i="19"/>
  <c r="Z105" i="19"/>
  <c r="Y105" i="19"/>
  <c r="AR104" i="19"/>
  <c r="AQ104" i="19"/>
  <c r="AP104" i="19"/>
  <c r="AO104" i="19"/>
  <c r="AN104" i="19"/>
  <c r="AM104" i="19"/>
  <c r="AL104" i="19"/>
  <c r="AK104" i="19"/>
  <c r="AJ104" i="19"/>
  <c r="AI104" i="19"/>
  <c r="AH104" i="19"/>
  <c r="AG104" i="19"/>
  <c r="AF104" i="19"/>
  <c r="AE104" i="19"/>
  <c r="AD104" i="19"/>
  <c r="AC104" i="19"/>
  <c r="AB104" i="19"/>
  <c r="AA104" i="19"/>
  <c r="Z104" i="19"/>
  <c r="Y104" i="19"/>
  <c r="AR103" i="19"/>
  <c r="AQ103" i="19"/>
  <c r="AP103" i="19"/>
  <c r="AO103" i="19"/>
  <c r="AN103" i="19"/>
  <c r="AM103" i="19"/>
  <c r="AL103" i="19"/>
  <c r="AK103" i="19"/>
  <c r="AJ103" i="19"/>
  <c r="AI103" i="19"/>
  <c r="AH103" i="19"/>
  <c r="AG103" i="19"/>
  <c r="AF103" i="19"/>
  <c r="AE103" i="19"/>
  <c r="AD103" i="19"/>
  <c r="AC103" i="19"/>
  <c r="AB103" i="19"/>
  <c r="AA103" i="19"/>
  <c r="Z103" i="19"/>
  <c r="Y103" i="19"/>
  <c r="AR102" i="19"/>
  <c r="AQ102" i="19"/>
  <c r="AP102" i="19"/>
  <c r="AO102" i="19"/>
  <c r="AN102" i="19"/>
  <c r="AM102" i="19"/>
  <c r="AL102" i="19"/>
  <c r="AK102" i="19"/>
  <c r="AJ102" i="19"/>
  <c r="AI102" i="19"/>
  <c r="AH102" i="19"/>
  <c r="AG102" i="19"/>
  <c r="AF102" i="19"/>
  <c r="AE102" i="19"/>
  <c r="AD102" i="19"/>
  <c r="AC102" i="19"/>
  <c r="AB102" i="19"/>
  <c r="AA102" i="19"/>
  <c r="Z102" i="19"/>
  <c r="Y102" i="19"/>
  <c r="AR101" i="19"/>
  <c r="AQ101" i="19"/>
  <c r="AP101" i="19"/>
  <c r="AO101" i="19"/>
  <c r="AN101" i="19"/>
  <c r="AM101" i="19"/>
  <c r="AL101" i="19"/>
  <c r="AK101" i="19"/>
  <c r="AJ101" i="19"/>
  <c r="AI101" i="19"/>
  <c r="AH101" i="19"/>
  <c r="AG101" i="19"/>
  <c r="AF101" i="19"/>
  <c r="AE101" i="19"/>
  <c r="AD101" i="19"/>
  <c r="AC101" i="19"/>
  <c r="AB101" i="19"/>
  <c r="AA101" i="19"/>
  <c r="Z101" i="19"/>
  <c r="Y101" i="19"/>
  <c r="AR100" i="19"/>
  <c r="AQ100" i="19"/>
  <c r="AP100" i="19"/>
  <c r="AO100" i="19"/>
  <c r="AN100" i="19"/>
  <c r="AM100" i="19"/>
  <c r="AL100" i="19"/>
  <c r="AK100" i="19"/>
  <c r="AJ100" i="19"/>
  <c r="AI100" i="19"/>
  <c r="AH100" i="19"/>
  <c r="AG100" i="19"/>
  <c r="AF100" i="19"/>
  <c r="AE100" i="19"/>
  <c r="AD100" i="19"/>
  <c r="AC100" i="19"/>
  <c r="AB100" i="19"/>
  <c r="AA100" i="19"/>
  <c r="Z100" i="19"/>
  <c r="Y100" i="19"/>
  <c r="AR99" i="19"/>
  <c r="AQ99" i="19"/>
  <c r="AP99" i="19"/>
  <c r="AO99" i="19"/>
  <c r="AN99" i="19"/>
  <c r="AM99" i="19"/>
  <c r="AL99" i="19"/>
  <c r="AK99" i="19"/>
  <c r="AJ99" i="19"/>
  <c r="AI99" i="19"/>
  <c r="AH99" i="19"/>
  <c r="AG99" i="19"/>
  <c r="AF99" i="19"/>
  <c r="AE99" i="19"/>
  <c r="AD99" i="19"/>
  <c r="AC99" i="19"/>
  <c r="AB99" i="19"/>
  <c r="AA99" i="19"/>
  <c r="Z99" i="19"/>
  <c r="Y99" i="19"/>
  <c r="AR98" i="19"/>
  <c r="AQ98" i="19"/>
  <c r="AP98" i="19"/>
  <c r="AO98" i="19"/>
  <c r="AN98" i="19"/>
  <c r="AM98" i="19"/>
  <c r="AL98" i="19"/>
  <c r="AK98" i="19"/>
  <c r="AJ98" i="19"/>
  <c r="AI98" i="19"/>
  <c r="AH98" i="19"/>
  <c r="AG98" i="19"/>
  <c r="AF98" i="19"/>
  <c r="AE98" i="19"/>
  <c r="AD98" i="19"/>
  <c r="AC98" i="19"/>
  <c r="AB98" i="19"/>
  <c r="AA98" i="19"/>
  <c r="Z98" i="19"/>
  <c r="Y98" i="19"/>
  <c r="AR97" i="19"/>
  <c r="AQ97" i="19"/>
  <c r="AP97" i="19"/>
  <c r="AO97" i="19"/>
  <c r="AN97" i="19"/>
  <c r="AM97" i="19"/>
  <c r="AL97" i="19"/>
  <c r="AK97" i="19"/>
  <c r="AJ97" i="19"/>
  <c r="AI97" i="19"/>
  <c r="AH97" i="19"/>
  <c r="AG97" i="19"/>
  <c r="AF97" i="19"/>
  <c r="AE97" i="19"/>
  <c r="AD97" i="19"/>
  <c r="AC97" i="19"/>
  <c r="AB97" i="19"/>
  <c r="AA97" i="19"/>
  <c r="Z97" i="19"/>
  <c r="Y97" i="19"/>
  <c r="AR96" i="19"/>
  <c r="AQ96" i="19"/>
  <c r="AP96" i="19"/>
  <c r="AO96" i="19"/>
  <c r="AN96" i="19"/>
  <c r="AM96" i="19"/>
  <c r="AL96" i="19"/>
  <c r="AK96" i="19"/>
  <c r="AJ96" i="19"/>
  <c r="AI96" i="19"/>
  <c r="AH96" i="19"/>
  <c r="AG96" i="19"/>
  <c r="AF96" i="19"/>
  <c r="AE96" i="19"/>
  <c r="AD96" i="19"/>
  <c r="AC96" i="19"/>
  <c r="AB96" i="19"/>
  <c r="AA96" i="19"/>
  <c r="Z96" i="19"/>
  <c r="Y96" i="19"/>
  <c r="AR95" i="19"/>
  <c r="AQ95" i="19"/>
  <c r="AP95" i="19"/>
  <c r="AO95" i="19"/>
  <c r="AN95" i="19"/>
  <c r="AM95" i="19"/>
  <c r="AL95" i="19"/>
  <c r="AK95" i="19"/>
  <c r="AJ95" i="19"/>
  <c r="AI95" i="19"/>
  <c r="AH95" i="19"/>
  <c r="AG95" i="19"/>
  <c r="AF95" i="19"/>
  <c r="AE95" i="19"/>
  <c r="AD95" i="19"/>
  <c r="AC95" i="19"/>
  <c r="AB95" i="19"/>
  <c r="AA95" i="19"/>
  <c r="Z95" i="19"/>
  <c r="Y95" i="19"/>
  <c r="AR94" i="19"/>
  <c r="AQ94" i="19"/>
  <c r="AP94" i="19"/>
  <c r="AO94" i="19"/>
  <c r="AN94" i="19"/>
  <c r="AM94" i="19"/>
  <c r="AL94" i="19"/>
  <c r="AK94" i="19"/>
  <c r="AJ94" i="19"/>
  <c r="AI94" i="19"/>
  <c r="AH94" i="19"/>
  <c r="AG94" i="19"/>
  <c r="AF94" i="19"/>
  <c r="AE94" i="19"/>
  <c r="AD94" i="19"/>
  <c r="AC94" i="19"/>
  <c r="AB94" i="19"/>
  <c r="AA94" i="19"/>
  <c r="Z94" i="19"/>
  <c r="Y94" i="19"/>
  <c r="AR93" i="19"/>
  <c r="AQ93" i="19"/>
  <c r="AP93" i="19"/>
  <c r="AO93" i="19"/>
  <c r="AN93" i="19"/>
  <c r="AM93" i="19"/>
  <c r="AL93" i="19"/>
  <c r="AK93" i="19"/>
  <c r="AJ93" i="19"/>
  <c r="AI93" i="19"/>
  <c r="AH93" i="19"/>
  <c r="AG93" i="19"/>
  <c r="AF93" i="19"/>
  <c r="AE93" i="19"/>
  <c r="AD93" i="19"/>
  <c r="AC93" i="19"/>
  <c r="AB93" i="19"/>
  <c r="AA93" i="19"/>
  <c r="Z93" i="19"/>
  <c r="Y93" i="19"/>
  <c r="AR92" i="19"/>
  <c r="AQ92" i="19"/>
  <c r="AP92" i="19"/>
  <c r="AO92" i="19"/>
  <c r="AN92" i="19"/>
  <c r="AM92" i="19"/>
  <c r="AL92" i="19"/>
  <c r="AK92" i="19"/>
  <c r="AJ92" i="19"/>
  <c r="AI92" i="19"/>
  <c r="AH92" i="19"/>
  <c r="AG92" i="19"/>
  <c r="AF92" i="19"/>
  <c r="AE92" i="19"/>
  <c r="AD92" i="19"/>
  <c r="AC92" i="19"/>
  <c r="AB92" i="19"/>
  <c r="AA92" i="19"/>
  <c r="Z92" i="19"/>
  <c r="Y92" i="19"/>
  <c r="AR91" i="19"/>
  <c r="AQ91" i="19"/>
  <c r="AP91" i="19"/>
  <c r="AO91" i="19"/>
  <c r="AN91" i="19"/>
  <c r="AM91" i="19"/>
  <c r="AL91" i="19"/>
  <c r="AK91" i="19"/>
  <c r="AJ91" i="19"/>
  <c r="AI91" i="19"/>
  <c r="AH91" i="19"/>
  <c r="AG91" i="19"/>
  <c r="AF91" i="19"/>
  <c r="AE91" i="19"/>
  <c r="AD91" i="19"/>
  <c r="AC91" i="19"/>
  <c r="AB91" i="19"/>
  <c r="AA91" i="19"/>
  <c r="Z91" i="19"/>
  <c r="Y91" i="19"/>
  <c r="AR90" i="19"/>
  <c r="AQ90" i="19"/>
  <c r="AP90" i="19"/>
  <c r="AO90" i="19"/>
  <c r="AN90" i="19"/>
  <c r="AM90" i="19"/>
  <c r="AL90" i="19"/>
  <c r="AK90" i="19"/>
  <c r="AJ90" i="19"/>
  <c r="AI90" i="19"/>
  <c r="AH90" i="19"/>
  <c r="AG90" i="19"/>
  <c r="AF90" i="19"/>
  <c r="AE90" i="19"/>
  <c r="AD90" i="19"/>
  <c r="AC90" i="19"/>
  <c r="AB90" i="19"/>
  <c r="AA90" i="19"/>
  <c r="Z90" i="19"/>
  <c r="Y90" i="19"/>
  <c r="AR89" i="19"/>
  <c r="AQ89" i="19"/>
  <c r="AP89" i="19"/>
  <c r="AO89" i="19"/>
  <c r="AN89" i="19"/>
  <c r="AM89" i="19"/>
  <c r="AL89" i="19"/>
  <c r="AK89" i="19"/>
  <c r="AJ89" i="19"/>
  <c r="AI89" i="19"/>
  <c r="AH89" i="19"/>
  <c r="AG89" i="19"/>
  <c r="AF89" i="19"/>
  <c r="AE89" i="19"/>
  <c r="AD89" i="19"/>
  <c r="AC89" i="19"/>
  <c r="AB89" i="19"/>
  <c r="AA89" i="19"/>
  <c r="Z89" i="19"/>
  <c r="Y89" i="19"/>
  <c r="AR88" i="19"/>
  <c r="AQ88" i="19"/>
  <c r="AP88" i="19"/>
  <c r="AO88" i="19"/>
  <c r="AN88" i="19"/>
  <c r="AM88" i="19"/>
  <c r="AL88" i="19"/>
  <c r="AK88" i="19"/>
  <c r="AJ88" i="19"/>
  <c r="AI88" i="19"/>
  <c r="AH88" i="19"/>
  <c r="AG88" i="19"/>
  <c r="AF88" i="19"/>
  <c r="AE88" i="19"/>
  <c r="AD88" i="19"/>
  <c r="AC88" i="19"/>
  <c r="AB88" i="19"/>
  <c r="AA88" i="19"/>
  <c r="Z88" i="19"/>
  <c r="Y88" i="19"/>
  <c r="AR87" i="19"/>
  <c r="AQ87" i="19"/>
  <c r="AP87" i="19"/>
  <c r="AO87" i="19"/>
  <c r="AN87" i="19"/>
  <c r="AM87" i="19"/>
  <c r="AL87" i="19"/>
  <c r="AK87" i="19"/>
  <c r="AJ87" i="19"/>
  <c r="AI87" i="19"/>
  <c r="AH87" i="19"/>
  <c r="AG87" i="19"/>
  <c r="AF87" i="19"/>
  <c r="AE87" i="19"/>
  <c r="AD87" i="19"/>
  <c r="AC87" i="19"/>
  <c r="AB87" i="19"/>
  <c r="AA87" i="19"/>
  <c r="Z87" i="19"/>
  <c r="Y87" i="19"/>
  <c r="AR86" i="19"/>
  <c r="AQ86" i="19"/>
  <c r="AP86" i="19"/>
  <c r="AO86" i="19"/>
  <c r="AN86" i="19"/>
  <c r="AM86" i="19"/>
  <c r="AL86" i="19"/>
  <c r="AK86" i="19"/>
  <c r="AJ86" i="19"/>
  <c r="AI86" i="19"/>
  <c r="AH86" i="19"/>
  <c r="AG86" i="19"/>
  <c r="AF86" i="19"/>
  <c r="AE86" i="19"/>
  <c r="AD86" i="19"/>
  <c r="AC86" i="19"/>
  <c r="AB86" i="19"/>
  <c r="AA86" i="19"/>
  <c r="Z86" i="19"/>
  <c r="Y86" i="19"/>
  <c r="AR85" i="19"/>
  <c r="AQ85" i="19"/>
  <c r="AP85" i="19"/>
  <c r="AO85" i="19"/>
  <c r="AN85" i="19"/>
  <c r="AM85" i="19"/>
  <c r="AL85" i="19"/>
  <c r="AK85" i="19"/>
  <c r="AJ85" i="19"/>
  <c r="AI85" i="19"/>
  <c r="AH85" i="19"/>
  <c r="AG85" i="19"/>
  <c r="AF85" i="19"/>
  <c r="AE85" i="19"/>
  <c r="AD85" i="19"/>
  <c r="AC85" i="19"/>
  <c r="AB85" i="19"/>
  <c r="AA85" i="19"/>
  <c r="Z85" i="19"/>
  <c r="Y85" i="19"/>
  <c r="AR84" i="19"/>
  <c r="AQ84" i="19"/>
  <c r="AP84" i="19"/>
  <c r="AO84" i="19"/>
  <c r="AN84" i="19"/>
  <c r="AM84" i="19"/>
  <c r="AL84" i="19"/>
  <c r="AK84" i="19"/>
  <c r="AJ84" i="19"/>
  <c r="AI84" i="19"/>
  <c r="AH84" i="19"/>
  <c r="AG84" i="19"/>
  <c r="AF84" i="19"/>
  <c r="AE84" i="19"/>
  <c r="AD84" i="19"/>
  <c r="AC84" i="19"/>
  <c r="AB84" i="19"/>
  <c r="AA84" i="19"/>
  <c r="Z84" i="19"/>
  <c r="Y84" i="19"/>
  <c r="AR83" i="19"/>
  <c r="AQ83" i="19"/>
  <c r="AP83" i="19"/>
  <c r="AO83" i="19"/>
  <c r="AN83" i="19"/>
  <c r="AM83" i="19"/>
  <c r="AL83" i="19"/>
  <c r="AK83" i="19"/>
  <c r="AJ83" i="19"/>
  <c r="AI83" i="19"/>
  <c r="AH83" i="19"/>
  <c r="AG83" i="19"/>
  <c r="AF83" i="19"/>
  <c r="AE83" i="19"/>
  <c r="AD83" i="19"/>
  <c r="AC83" i="19"/>
  <c r="AB83" i="19"/>
  <c r="AA83" i="19"/>
  <c r="Z83" i="19"/>
  <c r="Y83" i="19"/>
  <c r="AR82" i="19"/>
  <c r="AQ82" i="19"/>
  <c r="AP82" i="19"/>
  <c r="AO82" i="19"/>
  <c r="AN82" i="19"/>
  <c r="AM82" i="19"/>
  <c r="AL82" i="19"/>
  <c r="AK82" i="19"/>
  <c r="AJ82" i="19"/>
  <c r="AI82" i="19"/>
  <c r="AH82" i="19"/>
  <c r="AG82" i="19"/>
  <c r="AF82" i="19"/>
  <c r="AE82" i="19"/>
  <c r="AD82" i="19"/>
  <c r="AC82" i="19"/>
  <c r="AB82" i="19"/>
  <c r="AA82" i="19"/>
  <c r="Z82" i="19"/>
  <c r="Y82" i="19"/>
  <c r="AR81" i="19"/>
  <c r="AQ81" i="19"/>
  <c r="AP81" i="19"/>
  <c r="AO81" i="19"/>
  <c r="AN81" i="19"/>
  <c r="AM81" i="19"/>
  <c r="AL81" i="19"/>
  <c r="AK81" i="19"/>
  <c r="AJ81" i="19"/>
  <c r="AI81" i="19"/>
  <c r="AH81" i="19"/>
  <c r="AG81" i="19"/>
  <c r="AF81" i="19"/>
  <c r="AE81" i="19"/>
  <c r="AD81" i="19"/>
  <c r="AC81" i="19"/>
  <c r="AB81" i="19"/>
  <c r="AA81" i="19"/>
  <c r="Z81" i="19"/>
  <c r="Y81" i="19"/>
  <c r="AR80" i="19"/>
  <c r="AQ80" i="19"/>
  <c r="AP80" i="19"/>
  <c r="AO80" i="19"/>
  <c r="AN80" i="19"/>
  <c r="AM80" i="19"/>
  <c r="AL80" i="19"/>
  <c r="AK80" i="19"/>
  <c r="AJ80" i="19"/>
  <c r="AI80" i="19"/>
  <c r="AH80" i="19"/>
  <c r="AG80" i="19"/>
  <c r="AF80" i="19"/>
  <c r="AE80" i="19"/>
  <c r="AD80" i="19"/>
  <c r="AC80" i="19"/>
  <c r="AB80" i="19"/>
  <c r="AA80" i="19"/>
  <c r="Z80" i="19"/>
  <c r="Y80" i="19"/>
  <c r="AR79" i="19"/>
  <c r="AQ79" i="19"/>
  <c r="AP79" i="19"/>
  <c r="AO79" i="19"/>
  <c r="AN79" i="19"/>
  <c r="AM79" i="19"/>
  <c r="AL79" i="19"/>
  <c r="AK79" i="19"/>
  <c r="AJ79" i="19"/>
  <c r="AI79" i="19"/>
  <c r="AH79" i="19"/>
  <c r="AG79" i="19"/>
  <c r="AF79" i="19"/>
  <c r="AE79" i="19"/>
  <c r="AD79" i="19"/>
  <c r="AC79" i="19"/>
  <c r="AB79" i="19"/>
  <c r="AA79" i="19"/>
  <c r="Z79" i="19"/>
  <c r="Y79" i="19"/>
  <c r="AR78" i="19"/>
  <c r="AQ78" i="19"/>
  <c r="AP78" i="19"/>
  <c r="AO78" i="19"/>
  <c r="AN78" i="19"/>
  <c r="AM78" i="19"/>
  <c r="AL78" i="19"/>
  <c r="AK78" i="19"/>
  <c r="AJ78" i="19"/>
  <c r="AI78" i="19"/>
  <c r="AH78" i="19"/>
  <c r="AG78" i="19"/>
  <c r="AF78" i="19"/>
  <c r="AE78" i="19"/>
  <c r="AD78" i="19"/>
  <c r="AC78" i="19"/>
  <c r="AB78" i="19"/>
  <c r="AA78" i="19"/>
  <c r="Z78" i="19"/>
  <c r="Y78" i="19"/>
  <c r="AR77" i="19"/>
  <c r="AQ77" i="19"/>
  <c r="AP77" i="19"/>
  <c r="AO77" i="19"/>
  <c r="AN77" i="19"/>
  <c r="AM77" i="19"/>
  <c r="AL77" i="19"/>
  <c r="AK77" i="19"/>
  <c r="AJ77" i="19"/>
  <c r="AI77" i="19"/>
  <c r="AH77" i="19"/>
  <c r="AG77" i="19"/>
  <c r="AF77" i="19"/>
  <c r="AE77" i="19"/>
  <c r="AD77" i="19"/>
  <c r="AC77" i="19"/>
  <c r="AB77" i="19"/>
  <c r="AA77" i="19"/>
  <c r="Z77" i="19"/>
  <c r="Y77" i="19"/>
  <c r="AR76" i="19"/>
  <c r="AQ76" i="19"/>
  <c r="AP76" i="19"/>
  <c r="AO76" i="19"/>
  <c r="AN76" i="19"/>
  <c r="AM76" i="19"/>
  <c r="AL76" i="19"/>
  <c r="AK76" i="19"/>
  <c r="AJ76" i="19"/>
  <c r="AI76" i="19"/>
  <c r="AH76" i="19"/>
  <c r="AG76" i="19"/>
  <c r="AF76" i="19"/>
  <c r="AE76" i="19"/>
  <c r="AD76" i="19"/>
  <c r="AC76" i="19"/>
  <c r="AB76" i="19"/>
  <c r="AA76" i="19"/>
  <c r="Z76" i="19"/>
  <c r="Y76" i="19"/>
  <c r="AR75" i="19"/>
  <c r="AQ75" i="19"/>
  <c r="AP75" i="19"/>
  <c r="AO75" i="19"/>
  <c r="AN75" i="19"/>
  <c r="AM75" i="19"/>
  <c r="AL75" i="19"/>
  <c r="AK75" i="19"/>
  <c r="AJ75" i="19"/>
  <c r="AI75" i="19"/>
  <c r="AH75" i="19"/>
  <c r="AG75" i="19"/>
  <c r="AF75" i="19"/>
  <c r="AE75" i="19"/>
  <c r="AD75" i="19"/>
  <c r="AC75" i="19"/>
  <c r="AB75" i="19"/>
  <c r="AA75" i="19"/>
  <c r="Z75" i="19"/>
  <c r="Y75" i="19"/>
  <c r="AR74" i="19"/>
  <c r="AQ74" i="19"/>
  <c r="AP74" i="19"/>
  <c r="AO74" i="19"/>
  <c r="AN74" i="19"/>
  <c r="AM74" i="19"/>
  <c r="AL74" i="19"/>
  <c r="AK74" i="19"/>
  <c r="AJ74" i="19"/>
  <c r="AI74" i="19"/>
  <c r="AH74" i="19"/>
  <c r="AG74" i="19"/>
  <c r="AF74" i="19"/>
  <c r="AE74" i="19"/>
  <c r="AD74" i="19"/>
  <c r="AC74" i="19"/>
  <c r="AB74" i="19"/>
  <c r="AA74" i="19"/>
  <c r="Z74" i="19"/>
  <c r="Y74" i="19"/>
  <c r="AR73" i="19"/>
  <c r="AQ73" i="19"/>
  <c r="AP73" i="19"/>
  <c r="AO73" i="19"/>
  <c r="AN73" i="19"/>
  <c r="AM73" i="19"/>
  <c r="AL73" i="19"/>
  <c r="AK73" i="19"/>
  <c r="AJ73" i="19"/>
  <c r="AI73" i="19"/>
  <c r="AH73" i="19"/>
  <c r="AG73" i="19"/>
  <c r="AF73" i="19"/>
  <c r="AE73" i="19"/>
  <c r="AD73" i="19"/>
  <c r="AC73" i="19"/>
  <c r="AB73" i="19"/>
  <c r="AA73" i="19"/>
  <c r="Z73" i="19"/>
  <c r="Y73" i="19"/>
  <c r="AR72" i="19"/>
  <c r="AQ72" i="19"/>
  <c r="AP72" i="19"/>
  <c r="AO72" i="19"/>
  <c r="AN72" i="19"/>
  <c r="AM72" i="19"/>
  <c r="AL72" i="19"/>
  <c r="AK72" i="19"/>
  <c r="AJ72" i="19"/>
  <c r="AI72" i="19"/>
  <c r="AH72" i="19"/>
  <c r="AG72" i="19"/>
  <c r="AF72" i="19"/>
  <c r="AE72" i="19"/>
  <c r="AD72" i="19"/>
  <c r="AC72" i="19"/>
  <c r="AB72" i="19"/>
  <c r="AA72" i="19"/>
  <c r="Z72" i="19"/>
  <c r="Y72" i="19"/>
  <c r="AR71" i="19"/>
  <c r="AQ71" i="19"/>
  <c r="AP71" i="19"/>
  <c r="AO71" i="19"/>
  <c r="AN71" i="19"/>
  <c r="AM71" i="19"/>
  <c r="AL71" i="19"/>
  <c r="AK71" i="19"/>
  <c r="AJ71" i="19"/>
  <c r="AI71" i="19"/>
  <c r="AH71" i="19"/>
  <c r="AG71" i="19"/>
  <c r="AF71" i="19"/>
  <c r="AE71" i="19"/>
  <c r="AD71" i="19"/>
  <c r="AC71" i="19"/>
  <c r="AB71" i="19"/>
  <c r="AA71" i="19"/>
  <c r="Z71" i="19"/>
  <c r="Y71" i="19"/>
  <c r="AR70" i="19"/>
  <c r="AQ70" i="19"/>
  <c r="AP70" i="19"/>
  <c r="AO70" i="19"/>
  <c r="AN70" i="19"/>
  <c r="AM70" i="19"/>
  <c r="AL70" i="19"/>
  <c r="AK70" i="19"/>
  <c r="AJ70" i="19"/>
  <c r="AI70" i="19"/>
  <c r="AH70" i="19"/>
  <c r="AG70" i="19"/>
  <c r="AF70" i="19"/>
  <c r="AE70" i="19"/>
  <c r="AD70" i="19"/>
  <c r="AC70" i="19"/>
  <c r="AB70" i="19"/>
  <c r="AA70" i="19"/>
  <c r="Z70" i="19"/>
  <c r="Y70" i="19"/>
  <c r="AR69" i="19"/>
  <c r="AQ69" i="19"/>
  <c r="AP69" i="19"/>
  <c r="AO69" i="19"/>
  <c r="AN69" i="19"/>
  <c r="AM69" i="19"/>
  <c r="AL69" i="19"/>
  <c r="AK69" i="19"/>
  <c r="AJ69" i="19"/>
  <c r="AI69" i="19"/>
  <c r="AH69" i="19"/>
  <c r="AG69" i="19"/>
  <c r="AF69" i="19"/>
  <c r="AE69" i="19"/>
  <c r="AD69" i="19"/>
  <c r="AC69" i="19"/>
  <c r="AB69" i="19"/>
  <c r="AA69" i="19"/>
  <c r="Z69" i="19"/>
  <c r="Y69" i="19"/>
  <c r="AR68" i="19"/>
  <c r="AQ68" i="19"/>
  <c r="AP68" i="19"/>
  <c r="AO68" i="19"/>
  <c r="AN68" i="19"/>
  <c r="AM68" i="19"/>
  <c r="AL68" i="19"/>
  <c r="AK68" i="19"/>
  <c r="AJ68" i="19"/>
  <c r="AI68" i="19"/>
  <c r="AH68" i="19"/>
  <c r="AG68" i="19"/>
  <c r="AF68" i="19"/>
  <c r="AE68" i="19"/>
  <c r="AD68" i="19"/>
  <c r="AC68" i="19"/>
  <c r="AB68" i="19"/>
  <c r="AA68" i="19"/>
  <c r="Z68" i="19"/>
  <c r="Y68" i="19"/>
  <c r="AR67" i="19"/>
  <c r="AQ67" i="19"/>
  <c r="AP67" i="19"/>
  <c r="AO67" i="19"/>
  <c r="AN67" i="19"/>
  <c r="AM67" i="19"/>
  <c r="AL67" i="19"/>
  <c r="AK67" i="19"/>
  <c r="AJ67" i="19"/>
  <c r="AI67" i="19"/>
  <c r="AH67" i="19"/>
  <c r="AG67" i="19"/>
  <c r="AF67" i="19"/>
  <c r="AE67" i="19"/>
  <c r="AD67" i="19"/>
  <c r="AC67" i="19"/>
  <c r="AB67" i="19"/>
  <c r="AA67" i="19"/>
  <c r="Z67" i="19"/>
  <c r="Y67" i="19"/>
  <c r="AR66" i="19"/>
  <c r="AQ66" i="19"/>
  <c r="AP66" i="19"/>
  <c r="AO66" i="19"/>
  <c r="AN66" i="19"/>
  <c r="AM66" i="19"/>
  <c r="AL66" i="19"/>
  <c r="AK66" i="19"/>
  <c r="AJ66" i="19"/>
  <c r="AI66" i="19"/>
  <c r="AH66" i="19"/>
  <c r="AG66" i="19"/>
  <c r="AF66" i="19"/>
  <c r="AE66" i="19"/>
  <c r="AD66" i="19"/>
  <c r="AC66" i="19"/>
  <c r="AB66" i="19"/>
  <c r="AA66" i="19"/>
  <c r="Z66" i="19"/>
  <c r="Y66" i="19"/>
  <c r="AR65" i="19"/>
  <c r="AQ65" i="19"/>
  <c r="AP65" i="19"/>
  <c r="AO65" i="19"/>
  <c r="AN65" i="19"/>
  <c r="AM65" i="19"/>
  <c r="AL65" i="19"/>
  <c r="AK65" i="19"/>
  <c r="AJ65" i="19"/>
  <c r="AI65" i="19"/>
  <c r="AH65" i="19"/>
  <c r="AG65" i="19"/>
  <c r="AF65" i="19"/>
  <c r="AE65" i="19"/>
  <c r="AD65" i="19"/>
  <c r="AC65" i="19"/>
  <c r="AB65" i="19"/>
  <c r="AA65" i="19"/>
  <c r="Z65" i="19"/>
  <c r="Y65" i="19"/>
  <c r="AR64" i="19"/>
  <c r="AQ64" i="19"/>
  <c r="AP64" i="19"/>
  <c r="AO64" i="19"/>
  <c r="AN64" i="19"/>
  <c r="AM64" i="19"/>
  <c r="AL64" i="19"/>
  <c r="AK64" i="19"/>
  <c r="AJ64" i="19"/>
  <c r="AI64" i="19"/>
  <c r="AH64" i="19"/>
  <c r="AG64" i="19"/>
  <c r="AF64" i="19"/>
  <c r="AE64" i="19"/>
  <c r="AD64" i="19"/>
  <c r="AC64" i="19"/>
  <c r="AB64" i="19"/>
  <c r="AA64" i="19"/>
  <c r="Z64" i="19"/>
  <c r="Y64" i="19"/>
  <c r="AR63" i="19"/>
  <c r="AQ63" i="19"/>
  <c r="AP63" i="19"/>
  <c r="AO63" i="19"/>
  <c r="AN63" i="19"/>
  <c r="AM63" i="19"/>
  <c r="AL63" i="19"/>
  <c r="AK63" i="19"/>
  <c r="AJ63" i="19"/>
  <c r="AI63" i="19"/>
  <c r="AH63" i="19"/>
  <c r="AG63" i="19"/>
  <c r="AF63" i="19"/>
  <c r="AE63" i="19"/>
  <c r="AD63" i="19"/>
  <c r="AC63" i="19"/>
  <c r="AB63" i="19"/>
  <c r="AA63" i="19"/>
  <c r="Z63" i="19"/>
  <c r="Y63" i="19"/>
  <c r="AR62" i="19"/>
  <c r="AQ62" i="19"/>
  <c r="AP62" i="19"/>
  <c r="AO62" i="19"/>
  <c r="AN62" i="19"/>
  <c r="AM62" i="19"/>
  <c r="AL62" i="19"/>
  <c r="AK62" i="19"/>
  <c r="AJ62" i="19"/>
  <c r="AI62" i="19"/>
  <c r="AH62" i="19"/>
  <c r="AG62" i="19"/>
  <c r="AF62" i="19"/>
  <c r="AE62" i="19"/>
  <c r="AD62" i="19"/>
  <c r="AC62" i="19"/>
  <c r="AB62" i="19"/>
  <c r="AA62" i="19"/>
  <c r="Z62" i="19"/>
  <c r="Y62" i="19"/>
  <c r="AR61" i="19"/>
  <c r="AQ61" i="19"/>
  <c r="AP61" i="19"/>
  <c r="AO61" i="19"/>
  <c r="AN61" i="19"/>
  <c r="AM61" i="19"/>
  <c r="AL61" i="19"/>
  <c r="AK61" i="19"/>
  <c r="AJ61" i="19"/>
  <c r="AI61" i="19"/>
  <c r="AH61" i="19"/>
  <c r="AG61" i="19"/>
  <c r="AF61" i="19"/>
  <c r="AE61" i="19"/>
  <c r="AD61" i="19"/>
  <c r="AC61" i="19"/>
  <c r="AB61" i="19"/>
  <c r="AA61" i="19"/>
  <c r="Z61" i="19"/>
  <c r="Y61" i="19"/>
  <c r="AR60" i="19"/>
  <c r="AQ60" i="19"/>
  <c r="AP60" i="19"/>
  <c r="AO60" i="19"/>
  <c r="AN60" i="19"/>
  <c r="AM60" i="19"/>
  <c r="AL60" i="19"/>
  <c r="AK60" i="19"/>
  <c r="AJ60" i="19"/>
  <c r="AI60" i="19"/>
  <c r="AH60" i="19"/>
  <c r="AG60" i="19"/>
  <c r="AF60" i="19"/>
  <c r="AE60" i="19"/>
  <c r="AD60" i="19"/>
  <c r="AC60" i="19"/>
  <c r="AB60" i="19"/>
  <c r="AA60" i="19"/>
  <c r="Z60" i="19"/>
  <c r="Y60" i="19"/>
  <c r="AR59" i="19"/>
  <c r="AQ59" i="19"/>
  <c r="AP59" i="19"/>
  <c r="AO59" i="19"/>
  <c r="AN59" i="19"/>
  <c r="AM59" i="19"/>
  <c r="AL59" i="19"/>
  <c r="AK59" i="19"/>
  <c r="AJ59" i="19"/>
  <c r="AI59" i="19"/>
  <c r="AH59" i="19"/>
  <c r="AG59" i="19"/>
  <c r="AF59" i="19"/>
  <c r="AE59" i="19"/>
  <c r="AD59" i="19"/>
  <c r="AC59" i="19"/>
  <c r="AB59" i="19"/>
  <c r="AA59" i="19"/>
  <c r="Z59" i="19"/>
  <c r="Y59" i="19"/>
  <c r="AR58" i="19"/>
  <c r="AQ58" i="19"/>
  <c r="AP58" i="19"/>
  <c r="AO58" i="19"/>
  <c r="AN58" i="19"/>
  <c r="AM58" i="19"/>
  <c r="AL58" i="19"/>
  <c r="AK58" i="19"/>
  <c r="AJ58" i="19"/>
  <c r="AI58" i="19"/>
  <c r="AH58" i="19"/>
  <c r="AG58" i="19"/>
  <c r="AF58" i="19"/>
  <c r="AE58" i="19"/>
  <c r="AD58" i="19"/>
  <c r="AC58" i="19"/>
  <c r="AB58" i="19"/>
  <c r="AA58" i="19"/>
  <c r="Z58" i="19"/>
  <c r="Y58" i="19"/>
  <c r="AR57" i="19"/>
  <c r="AQ57" i="19"/>
  <c r="AP57" i="19"/>
  <c r="AO57" i="19"/>
  <c r="AN57" i="19"/>
  <c r="AM57" i="19"/>
  <c r="AL57" i="19"/>
  <c r="AK57" i="19"/>
  <c r="AJ57" i="19"/>
  <c r="AI57" i="19"/>
  <c r="AH57" i="19"/>
  <c r="AG57" i="19"/>
  <c r="AF57" i="19"/>
  <c r="AE57" i="19"/>
  <c r="AD57" i="19"/>
  <c r="AC57" i="19"/>
  <c r="AB57" i="19"/>
  <c r="AA57" i="19"/>
  <c r="Z57" i="19"/>
  <c r="Y57" i="19"/>
  <c r="AR56" i="19"/>
  <c r="AQ56" i="19"/>
  <c r="AP56" i="19"/>
  <c r="AO56" i="19"/>
  <c r="AN56" i="19"/>
  <c r="AM56" i="19"/>
  <c r="AL56" i="19"/>
  <c r="AK56" i="19"/>
  <c r="AJ56" i="19"/>
  <c r="AI56" i="19"/>
  <c r="AH56" i="19"/>
  <c r="AG56" i="19"/>
  <c r="AF56" i="19"/>
  <c r="AE56" i="19"/>
  <c r="AD56" i="19"/>
  <c r="AC56" i="19"/>
  <c r="AB56" i="19"/>
  <c r="AA56" i="19"/>
  <c r="Z56" i="19"/>
  <c r="Y56" i="19"/>
  <c r="AR55" i="19"/>
  <c r="AQ55" i="19"/>
  <c r="AP55" i="19"/>
  <c r="AO55" i="19"/>
  <c r="AN55" i="19"/>
  <c r="AM55" i="19"/>
  <c r="AL55" i="19"/>
  <c r="AK55" i="19"/>
  <c r="AJ55" i="19"/>
  <c r="AI55" i="19"/>
  <c r="AH55" i="19"/>
  <c r="AG55" i="19"/>
  <c r="AF55" i="19"/>
  <c r="AE55" i="19"/>
  <c r="AD55" i="19"/>
  <c r="AC55" i="19"/>
  <c r="AB55" i="19"/>
  <c r="AA55" i="19"/>
  <c r="Z55" i="19"/>
  <c r="Y55" i="19"/>
  <c r="AR54" i="19"/>
  <c r="AQ54" i="19"/>
  <c r="AP54" i="19"/>
  <c r="AO54" i="19"/>
  <c r="AN54" i="19"/>
  <c r="AM54" i="19"/>
  <c r="AL54" i="19"/>
  <c r="AK54" i="19"/>
  <c r="AJ54" i="19"/>
  <c r="AI54" i="19"/>
  <c r="AH54" i="19"/>
  <c r="AG54" i="19"/>
  <c r="AF54" i="19"/>
  <c r="AE54" i="19"/>
  <c r="AD54" i="19"/>
  <c r="AC54" i="19"/>
  <c r="AB54" i="19"/>
  <c r="AA54" i="19"/>
  <c r="Z54" i="19"/>
  <c r="Y54" i="19"/>
  <c r="AR53" i="19"/>
  <c r="AQ53" i="19"/>
  <c r="AP53" i="19"/>
  <c r="AO53" i="19"/>
  <c r="AN53" i="19"/>
  <c r="AM53" i="19"/>
  <c r="AL53" i="19"/>
  <c r="AK53" i="19"/>
  <c r="AJ53" i="19"/>
  <c r="AI53" i="19"/>
  <c r="AH53" i="19"/>
  <c r="AG53" i="19"/>
  <c r="AF53" i="19"/>
  <c r="AE53" i="19"/>
  <c r="AD53" i="19"/>
  <c r="AC53" i="19"/>
  <c r="AB53" i="19"/>
  <c r="AA53" i="19"/>
  <c r="Z53" i="19"/>
  <c r="Y53" i="19"/>
  <c r="AR52" i="19"/>
  <c r="AQ52" i="19"/>
  <c r="AP52" i="19"/>
  <c r="AO52" i="19"/>
  <c r="AN52" i="19"/>
  <c r="AM52" i="19"/>
  <c r="AL52" i="19"/>
  <c r="AK52" i="19"/>
  <c r="AJ52" i="19"/>
  <c r="AI52" i="19"/>
  <c r="AH52" i="19"/>
  <c r="AG52" i="19"/>
  <c r="AF52" i="19"/>
  <c r="AE52" i="19"/>
  <c r="AD52" i="19"/>
  <c r="AC52" i="19"/>
  <c r="AB52" i="19"/>
  <c r="AA52" i="19"/>
  <c r="Z52" i="19"/>
  <c r="Y52" i="19"/>
  <c r="AR51" i="19"/>
  <c r="AQ51" i="19"/>
  <c r="AP51" i="19"/>
  <c r="AO51" i="19"/>
  <c r="AN51" i="19"/>
  <c r="AM51" i="19"/>
  <c r="AL51" i="19"/>
  <c r="AK51" i="19"/>
  <c r="AJ51" i="19"/>
  <c r="AI51" i="19"/>
  <c r="AH51" i="19"/>
  <c r="AG51" i="19"/>
  <c r="AF51" i="19"/>
  <c r="AE51" i="19"/>
  <c r="AD51" i="19"/>
  <c r="AC51" i="19"/>
  <c r="AB51" i="19"/>
  <c r="AA51" i="19"/>
  <c r="Z51" i="19"/>
  <c r="Y51" i="19"/>
  <c r="AR50" i="19"/>
  <c r="AQ50" i="19"/>
  <c r="AP50" i="19"/>
  <c r="AO50" i="19"/>
  <c r="AN50" i="19"/>
  <c r="AM50" i="19"/>
  <c r="AL50" i="19"/>
  <c r="AK50" i="19"/>
  <c r="AJ50" i="19"/>
  <c r="AI50" i="19"/>
  <c r="AH50" i="19"/>
  <c r="AG50" i="19"/>
  <c r="AF50" i="19"/>
  <c r="AE50" i="19"/>
  <c r="AD50" i="19"/>
  <c r="AC50" i="19"/>
  <c r="AB50" i="19"/>
  <c r="AA50" i="19"/>
  <c r="Z50" i="19"/>
  <c r="Y50" i="19"/>
  <c r="AR49" i="19"/>
  <c r="AQ49" i="19"/>
  <c r="AP49" i="19"/>
  <c r="AO49" i="19"/>
  <c r="AN49" i="19"/>
  <c r="AM49" i="19"/>
  <c r="AL49" i="19"/>
  <c r="AK49" i="19"/>
  <c r="AJ49" i="19"/>
  <c r="AI49" i="19"/>
  <c r="AH49" i="19"/>
  <c r="AG49" i="19"/>
  <c r="AF49" i="19"/>
  <c r="AE49" i="19"/>
  <c r="AD49" i="19"/>
  <c r="AC49" i="19"/>
  <c r="AB49" i="19"/>
  <c r="AA49" i="19"/>
  <c r="Z49" i="19"/>
  <c r="Y49" i="19"/>
  <c r="AR48" i="19"/>
  <c r="AQ48" i="19"/>
  <c r="AP48" i="19"/>
  <c r="AO48" i="19"/>
  <c r="AN48" i="19"/>
  <c r="AM48" i="19"/>
  <c r="AL48" i="19"/>
  <c r="AK48" i="19"/>
  <c r="AJ48" i="19"/>
  <c r="AI48" i="19"/>
  <c r="AH48" i="19"/>
  <c r="AG48" i="19"/>
  <c r="AF48" i="19"/>
  <c r="AE48" i="19"/>
  <c r="AD48" i="19"/>
  <c r="AC48" i="19"/>
  <c r="AB48" i="19"/>
  <c r="AA48" i="19"/>
  <c r="Z48" i="19"/>
  <c r="Y48" i="19"/>
  <c r="AR47" i="19"/>
  <c r="AQ47" i="19"/>
  <c r="AP47" i="19"/>
  <c r="AO47" i="19"/>
  <c r="AN47" i="19"/>
  <c r="AM47" i="19"/>
  <c r="AL47" i="19"/>
  <c r="AK47" i="19"/>
  <c r="AJ47" i="19"/>
  <c r="AI47" i="19"/>
  <c r="AH47" i="19"/>
  <c r="AG47" i="19"/>
  <c r="AF47" i="19"/>
  <c r="AE47" i="19"/>
  <c r="AD47" i="19"/>
  <c r="AC47" i="19"/>
  <c r="AB47" i="19"/>
  <c r="AA47" i="19"/>
  <c r="Z47" i="19"/>
  <c r="Y47" i="19"/>
  <c r="AR46" i="19"/>
  <c r="AQ46" i="19"/>
  <c r="AP46" i="19"/>
  <c r="AO46" i="19"/>
  <c r="AN46" i="19"/>
  <c r="AM46" i="19"/>
  <c r="AL46" i="19"/>
  <c r="AK46" i="19"/>
  <c r="AJ46" i="19"/>
  <c r="AI46" i="19"/>
  <c r="AH46" i="19"/>
  <c r="AG46" i="19"/>
  <c r="AF46" i="19"/>
  <c r="AE46" i="19"/>
  <c r="AD46" i="19"/>
  <c r="AC46" i="19"/>
  <c r="AB46" i="19"/>
  <c r="AA46" i="19"/>
  <c r="Z46" i="19"/>
  <c r="Y46" i="19"/>
  <c r="AR45" i="19"/>
  <c r="AQ45" i="19"/>
  <c r="AP45" i="19"/>
  <c r="AO45" i="19"/>
  <c r="AN45" i="19"/>
  <c r="AM45" i="19"/>
  <c r="AL45" i="19"/>
  <c r="AK45" i="19"/>
  <c r="AJ45" i="19"/>
  <c r="AI45" i="19"/>
  <c r="AH45" i="19"/>
  <c r="AG45" i="19"/>
  <c r="AF45" i="19"/>
  <c r="AE45" i="19"/>
  <c r="AD45" i="19"/>
  <c r="AC45" i="19"/>
  <c r="AB45" i="19"/>
  <c r="AA45" i="19"/>
  <c r="Z45" i="19"/>
  <c r="Y45" i="19"/>
  <c r="AR44" i="19"/>
  <c r="AQ44" i="19"/>
  <c r="AP44" i="19"/>
  <c r="AO44" i="19"/>
  <c r="AN44" i="19"/>
  <c r="AM44" i="19"/>
  <c r="AL44" i="19"/>
  <c r="AK44" i="19"/>
  <c r="AJ44" i="19"/>
  <c r="AI44" i="19"/>
  <c r="AH44" i="19"/>
  <c r="AG44" i="19"/>
  <c r="AF44" i="19"/>
  <c r="AE44" i="19"/>
  <c r="AD44" i="19"/>
  <c r="AC44" i="19"/>
  <c r="AB44" i="19"/>
  <c r="AA44" i="19"/>
  <c r="Z44" i="19"/>
  <c r="Y44" i="19"/>
  <c r="AR43" i="19"/>
  <c r="AQ43" i="19"/>
  <c r="AP43" i="19"/>
  <c r="AO43" i="19"/>
  <c r="AN43" i="19"/>
  <c r="AM43" i="19"/>
  <c r="AL43" i="19"/>
  <c r="AK43" i="19"/>
  <c r="AJ43" i="19"/>
  <c r="AI43" i="19"/>
  <c r="AH43" i="19"/>
  <c r="AG43" i="19"/>
  <c r="AF43" i="19"/>
  <c r="AE43" i="19"/>
  <c r="AD43" i="19"/>
  <c r="AC43" i="19"/>
  <c r="AB43" i="19"/>
  <c r="AA43" i="19"/>
  <c r="Z43" i="19"/>
  <c r="Y43" i="19"/>
  <c r="AR42" i="19"/>
  <c r="AQ42" i="19"/>
  <c r="AP42" i="19"/>
  <c r="AO42" i="19"/>
  <c r="AN42" i="19"/>
  <c r="AM42" i="19"/>
  <c r="AL42" i="19"/>
  <c r="AK42" i="19"/>
  <c r="AJ42" i="19"/>
  <c r="AI42" i="19"/>
  <c r="AH42" i="19"/>
  <c r="AG42" i="19"/>
  <c r="AF42" i="19"/>
  <c r="AE42" i="19"/>
  <c r="AD42" i="19"/>
  <c r="AC42" i="19"/>
  <c r="AB42" i="19"/>
  <c r="AA42" i="19"/>
  <c r="Z42" i="19"/>
  <c r="Y42" i="19"/>
  <c r="AR41" i="19"/>
  <c r="AQ41" i="19"/>
  <c r="AP41" i="19"/>
  <c r="AO41" i="19"/>
  <c r="AN41" i="19"/>
  <c r="AM41" i="19"/>
  <c r="AL41" i="19"/>
  <c r="AK41" i="19"/>
  <c r="AJ41" i="19"/>
  <c r="AI41" i="19"/>
  <c r="AH41" i="19"/>
  <c r="AG41" i="19"/>
  <c r="AF41" i="19"/>
  <c r="AE41" i="19"/>
  <c r="AD41" i="19"/>
  <c r="AC41" i="19"/>
  <c r="AB41" i="19"/>
  <c r="AA41" i="19"/>
  <c r="Z41" i="19"/>
  <c r="Y41" i="19"/>
  <c r="AR40" i="19"/>
  <c r="AQ40" i="19"/>
  <c r="AP40" i="19"/>
  <c r="AO40" i="19"/>
  <c r="AN40" i="19"/>
  <c r="AM40" i="19"/>
  <c r="AL40" i="19"/>
  <c r="AK40" i="19"/>
  <c r="AJ40" i="19"/>
  <c r="AI40" i="19"/>
  <c r="AH40" i="19"/>
  <c r="AG40" i="19"/>
  <c r="AF40" i="19"/>
  <c r="AE40" i="19"/>
  <c r="AD40" i="19"/>
  <c r="AC40" i="19"/>
  <c r="AB40" i="19"/>
  <c r="AA40" i="19"/>
  <c r="Z40" i="19"/>
  <c r="Y40" i="19"/>
  <c r="AR39" i="19"/>
  <c r="AQ39" i="19"/>
  <c r="AP39" i="19"/>
  <c r="AO39" i="19"/>
  <c r="AN39" i="19"/>
  <c r="AM39" i="19"/>
  <c r="AL39" i="19"/>
  <c r="AK39" i="19"/>
  <c r="AJ39" i="19"/>
  <c r="AI39" i="19"/>
  <c r="AH39" i="19"/>
  <c r="AG39" i="19"/>
  <c r="AF39" i="19"/>
  <c r="AE39" i="19"/>
  <c r="AD39" i="19"/>
  <c r="AC39" i="19"/>
  <c r="AB39" i="19"/>
  <c r="AA39" i="19"/>
  <c r="Z39" i="19"/>
  <c r="Y39" i="19"/>
  <c r="AR38" i="19"/>
  <c r="AQ38" i="19"/>
  <c r="AP38" i="19"/>
  <c r="AO38" i="19"/>
  <c r="AN38" i="19"/>
  <c r="AM38" i="19"/>
  <c r="AL38" i="19"/>
  <c r="AK38" i="19"/>
  <c r="AJ38" i="19"/>
  <c r="AI38" i="19"/>
  <c r="AH38" i="19"/>
  <c r="AG38" i="19"/>
  <c r="AF38" i="19"/>
  <c r="AE38" i="19"/>
  <c r="AD38" i="19"/>
  <c r="AC38" i="19"/>
  <c r="AB38" i="19"/>
  <c r="AA38" i="19"/>
  <c r="Z38" i="19"/>
  <c r="Y38" i="19"/>
  <c r="AR37" i="19"/>
  <c r="AQ37" i="19"/>
  <c r="AP37" i="19"/>
  <c r="AO37" i="19"/>
  <c r="AN37" i="19"/>
  <c r="AM37" i="19"/>
  <c r="AL37" i="19"/>
  <c r="AK37" i="19"/>
  <c r="AJ37" i="19"/>
  <c r="AI37" i="19"/>
  <c r="AH37" i="19"/>
  <c r="AG37" i="19"/>
  <c r="AF37" i="19"/>
  <c r="AE37" i="19"/>
  <c r="AD37" i="19"/>
  <c r="AC37" i="19"/>
  <c r="AB37" i="19"/>
  <c r="AA37" i="19"/>
  <c r="Z37" i="19"/>
  <c r="Y37" i="19"/>
  <c r="AR36" i="19"/>
  <c r="AQ36" i="19"/>
  <c r="AP36" i="19"/>
  <c r="AO36" i="19"/>
  <c r="AN36" i="19"/>
  <c r="AM36" i="19"/>
  <c r="AL36" i="19"/>
  <c r="AK36" i="19"/>
  <c r="AJ36" i="19"/>
  <c r="AI36" i="19"/>
  <c r="AH36" i="19"/>
  <c r="AG36" i="19"/>
  <c r="AF36" i="19"/>
  <c r="AE36" i="19"/>
  <c r="AD36" i="19"/>
  <c r="AC36" i="19"/>
  <c r="AB36" i="19"/>
  <c r="AA36" i="19"/>
  <c r="Z36" i="19"/>
  <c r="Y36" i="19"/>
  <c r="AR35" i="19"/>
  <c r="AQ35" i="19"/>
  <c r="AP35" i="19"/>
  <c r="AO35" i="19"/>
  <c r="AN35" i="19"/>
  <c r="AM35" i="19"/>
  <c r="AL35" i="19"/>
  <c r="AK35" i="19"/>
  <c r="AJ35" i="19"/>
  <c r="AI35" i="19"/>
  <c r="AH35" i="19"/>
  <c r="AG35" i="19"/>
  <c r="AF35" i="19"/>
  <c r="AE35" i="19"/>
  <c r="AD35" i="19"/>
  <c r="AC35" i="19"/>
  <c r="AB35" i="19"/>
  <c r="AA35" i="19"/>
  <c r="Z35" i="19"/>
  <c r="Y35" i="19"/>
  <c r="AR34" i="19"/>
  <c r="AQ34" i="19"/>
  <c r="AP34" i="19"/>
  <c r="AO34" i="19"/>
  <c r="AN34" i="19"/>
  <c r="AM34" i="19"/>
  <c r="AL34" i="19"/>
  <c r="AK34" i="19"/>
  <c r="AJ34" i="19"/>
  <c r="AI34" i="19"/>
  <c r="AH34" i="19"/>
  <c r="AG34" i="19"/>
  <c r="AF34" i="19"/>
  <c r="AE34" i="19"/>
  <c r="AD34" i="19"/>
  <c r="AC34" i="19"/>
  <c r="AB34" i="19"/>
  <c r="AA34" i="19"/>
  <c r="Z34" i="19"/>
  <c r="Y34" i="19"/>
  <c r="AR33" i="19"/>
  <c r="AQ33" i="19"/>
  <c r="AP33" i="19"/>
  <c r="AO33" i="19"/>
  <c r="AN33" i="19"/>
  <c r="AM33" i="19"/>
  <c r="AL33" i="19"/>
  <c r="AK33" i="19"/>
  <c r="AJ33" i="19"/>
  <c r="AI33" i="19"/>
  <c r="AH33" i="19"/>
  <c r="AG33" i="19"/>
  <c r="AF33" i="19"/>
  <c r="AE33" i="19"/>
  <c r="AD33" i="19"/>
  <c r="AC33" i="19"/>
  <c r="AB33" i="19"/>
  <c r="AA33" i="19"/>
  <c r="Z33" i="19"/>
  <c r="Y33" i="19"/>
  <c r="AR32" i="19"/>
  <c r="AQ32" i="19"/>
  <c r="AP32" i="19"/>
  <c r="AO32" i="19"/>
  <c r="AN32" i="19"/>
  <c r="AM32" i="19"/>
  <c r="AL32" i="19"/>
  <c r="AK32" i="19"/>
  <c r="AJ32" i="19"/>
  <c r="AI32" i="19"/>
  <c r="AH32" i="19"/>
  <c r="AG32" i="19"/>
  <c r="AF32" i="19"/>
  <c r="AE32" i="19"/>
  <c r="AD32" i="19"/>
  <c r="AC32" i="19"/>
  <c r="AB32" i="19"/>
  <c r="AA32" i="19"/>
  <c r="Z32" i="19"/>
  <c r="Y32" i="19"/>
  <c r="AR31" i="19"/>
  <c r="AQ31" i="19"/>
  <c r="AP31" i="19"/>
  <c r="AO31" i="19"/>
  <c r="AN31" i="19"/>
  <c r="AM31" i="19"/>
  <c r="AL31" i="19"/>
  <c r="AK31" i="19"/>
  <c r="AJ31" i="19"/>
  <c r="AI31" i="19"/>
  <c r="AH31" i="19"/>
  <c r="AG31" i="19"/>
  <c r="AF31" i="19"/>
  <c r="AE31" i="19"/>
  <c r="AD31" i="19"/>
  <c r="AC31" i="19"/>
  <c r="AB31" i="19"/>
  <c r="AA31" i="19"/>
  <c r="Z31" i="19"/>
  <c r="Y31" i="19"/>
  <c r="AR30" i="19"/>
  <c r="AQ30" i="19"/>
  <c r="AP30" i="19"/>
  <c r="AO30" i="19"/>
  <c r="AN30" i="19"/>
  <c r="AM30" i="19"/>
  <c r="AL30" i="19"/>
  <c r="AK30" i="19"/>
  <c r="AJ30" i="19"/>
  <c r="AI30" i="19"/>
  <c r="AH30" i="19"/>
  <c r="AG30" i="19"/>
  <c r="AF30" i="19"/>
  <c r="AE30" i="19"/>
  <c r="AD30" i="19"/>
  <c r="AC30" i="19"/>
  <c r="AB30" i="19"/>
  <c r="AA30" i="19"/>
  <c r="Z30" i="19"/>
  <c r="Y30" i="19"/>
  <c r="AR29" i="19"/>
  <c r="AQ29" i="19"/>
  <c r="AP29" i="19"/>
  <c r="AO29" i="19"/>
  <c r="AN29" i="19"/>
  <c r="AM29" i="19"/>
  <c r="AL29" i="19"/>
  <c r="AK29" i="19"/>
  <c r="AJ29" i="19"/>
  <c r="AI29" i="19"/>
  <c r="AH29" i="19"/>
  <c r="AG29" i="19"/>
  <c r="AF29" i="19"/>
  <c r="AE29" i="19"/>
  <c r="AD29" i="19"/>
  <c r="AC29" i="19"/>
  <c r="AB29" i="19"/>
  <c r="AA29" i="19"/>
  <c r="Z29" i="19"/>
  <c r="Y29" i="19"/>
  <c r="AR28" i="19"/>
  <c r="AQ28" i="19"/>
  <c r="AP28" i="19"/>
  <c r="AO28" i="19"/>
  <c r="AN28" i="19"/>
  <c r="AM28" i="19"/>
  <c r="AL28" i="19"/>
  <c r="AK28" i="19"/>
  <c r="AJ28" i="19"/>
  <c r="AI28" i="19"/>
  <c r="AH28" i="19"/>
  <c r="AG28" i="19"/>
  <c r="AF28" i="19"/>
  <c r="AE28" i="19"/>
  <c r="AD28" i="19"/>
  <c r="AC28" i="19"/>
  <c r="AB28" i="19"/>
  <c r="AA28" i="19"/>
  <c r="Z28" i="19"/>
  <c r="Y28" i="19"/>
  <c r="AR27" i="19"/>
  <c r="AQ27" i="19"/>
  <c r="AP27" i="19"/>
  <c r="AO27" i="19"/>
  <c r="AN27" i="19"/>
  <c r="AM27" i="19"/>
  <c r="AL27" i="19"/>
  <c r="AK27" i="19"/>
  <c r="AJ27" i="19"/>
  <c r="AI27" i="19"/>
  <c r="AH27" i="19"/>
  <c r="AG27" i="19"/>
  <c r="AF27" i="19"/>
  <c r="AE27" i="19"/>
  <c r="AD27" i="19"/>
  <c r="AC27" i="19"/>
  <c r="AB27" i="19"/>
  <c r="AA27" i="19"/>
  <c r="Z27" i="19"/>
  <c r="Y27" i="19"/>
  <c r="AR26" i="19"/>
  <c r="AQ26" i="19"/>
  <c r="AP26" i="19"/>
  <c r="AO26" i="19"/>
  <c r="AN26" i="19"/>
  <c r="AM26" i="19"/>
  <c r="AL26" i="19"/>
  <c r="AK26" i="19"/>
  <c r="AJ26" i="19"/>
  <c r="AI26" i="19"/>
  <c r="AH26" i="19"/>
  <c r="AG26" i="19"/>
  <c r="AF26" i="19"/>
  <c r="AE26" i="19"/>
  <c r="AD26" i="19"/>
  <c r="AC26" i="19"/>
  <c r="AB26" i="19"/>
  <c r="AA26" i="19"/>
  <c r="Z26" i="19"/>
  <c r="Y26" i="19"/>
  <c r="AR25" i="19"/>
  <c r="AQ25" i="19"/>
  <c r="AP25" i="19"/>
  <c r="AO25" i="19"/>
  <c r="AN25" i="19"/>
  <c r="AM25" i="19"/>
  <c r="AL25" i="19"/>
  <c r="AK25" i="19"/>
  <c r="AJ25" i="19"/>
  <c r="AI25" i="19"/>
  <c r="AH25" i="19"/>
  <c r="AG25" i="19"/>
  <c r="AF25" i="19"/>
  <c r="AE25" i="19"/>
  <c r="AD25" i="19"/>
  <c r="AC25" i="19"/>
  <c r="AB25" i="19"/>
  <c r="AA25" i="19"/>
  <c r="Z25" i="19"/>
  <c r="Y25" i="19"/>
  <c r="AR24" i="19"/>
  <c r="AQ24" i="19"/>
  <c r="AP24" i="19"/>
  <c r="AO24" i="19"/>
  <c r="AN24" i="19"/>
  <c r="AM24" i="19"/>
  <c r="AL24" i="19"/>
  <c r="AK24" i="19"/>
  <c r="AJ24" i="19"/>
  <c r="AI24" i="19"/>
  <c r="AH24" i="19"/>
  <c r="AG24" i="19"/>
  <c r="AF24" i="19"/>
  <c r="AE24" i="19"/>
  <c r="AD24" i="19"/>
  <c r="AC24" i="19"/>
  <c r="AB24" i="19"/>
  <c r="AA24" i="19"/>
  <c r="Z24" i="19"/>
  <c r="Y24" i="19"/>
  <c r="AR23" i="19"/>
  <c r="AQ23" i="19"/>
  <c r="AP23" i="19"/>
  <c r="AO23" i="19"/>
  <c r="AN23" i="19"/>
  <c r="AM23" i="19"/>
  <c r="AL23" i="19"/>
  <c r="AK23" i="19"/>
  <c r="AJ23" i="19"/>
  <c r="AI23" i="19"/>
  <c r="AH23" i="19"/>
  <c r="AG23" i="19"/>
  <c r="AF23" i="19"/>
  <c r="AE23" i="19"/>
  <c r="AD23" i="19"/>
  <c r="AC23" i="19"/>
  <c r="AB23" i="19"/>
  <c r="AA23" i="19"/>
  <c r="Z23" i="19"/>
  <c r="Y23" i="19"/>
  <c r="AR22" i="19"/>
  <c r="AQ22" i="19"/>
  <c r="AP22" i="19"/>
  <c r="AO22" i="19"/>
  <c r="AN22" i="19"/>
  <c r="AM22" i="19"/>
  <c r="AL22" i="19"/>
  <c r="AK22" i="19"/>
  <c r="AJ22" i="19"/>
  <c r="AI22" i="19"/>
  <c r="AH22" i="19"/>
  <c r="AG22" i="19"/>
  <c r="AF22" i="19"/>
  <c r="AE22" i="19"/>
  <c r="AD22" i="19"/>
  <c r="AC22" i="19"/>
  <c r="AB22" i="19"/>
  <c r="AA22" i="19"/>
  <c r="Z22" i="19"/>
  <c r="Y22" i="19"/>
  <c r="AR21" i="19"/>
  <c r="AQ21" i="19"/>
  <c r="AP21" i="19"/>
  <c r="AO21" i="19"/>
  <c r="AN21" i="19"/>
  <c r="AM21" i="19"/>
  <c r="AL21" i="19"/>
  <c r="AK21" i="19"/>
  <c r="AJ21" i="19"/>
  <c r="AI21" i="19"/>
  <c r="AH21" i="19"/>
  <c r="AG21" i="19"/>
  <c r="AF21" i="19"/>
  <c r="AE21" i="19"/>
  <c r="AD21" i="19"/>
  <c r="AC21" i="19"/>
  <c r="AB21" i="19"/>
  <c r="AA21" i="19"/>
  <c r="Z21" i="19"/>
  <c r="Y21" i="19"/>
  <c r="AR20" i="19"/>
  <c r="AQ20" i="19"/>
  <c r="AP20" i="19"/>
  <c r="AO20" i="19"/>
  <c r="AN20" i="19"/>
  <c r="AM20" i="19"/>
  <c r="AL20" i="19"/>
  <c r="AK20" i="19"/>
  <c r="AJ20" i="19"/>
  <c r="AI20" i="19"/>
  <c r="AH20" i="19"/>
  <c r="AG20" i="19"/>
  <c r="AF20" i="19"/>
  <c r="AE20" i="19"/>
  <c r="AD20" i="19"/>
  <c r="AC20" i="19"/>
  <c r="AB20" i="19"/>
  <c r="AA20" i="19"/>
  <c r="Z20" i="19"/>
  <c r="Y20" i="19"/>
  <c r="AR19" i="19"/>
  <c r="AQ19" i="19"/>
  <c r="AP19" i="19"/>
  <c r="AO19" i="19"/>
  <c r="AN19" i="19"/>
  <c r="AM19" i="19"/>
  <c r="AL19" i="19"/>
  <c r="AK19" i="19"/>
  <c r="AJ19" i="19"/>
  <c r="AI19" i="19"/>
  <c r="AH19" i="19"/>
  <c r="AG19" i="19"/>
  <c r="AF19" i="19"/>
  <c r="AE19" i="19"/>
  <c r="AD19" i="19"/>
  <c r="AC19" i="19"/>
  <c r="AB19" i="19"/>
  <c r="AA19" i="19"/>
  <c r="Z19" i="19"/>
  <c r="Y19" i="19"/>
  <c r="AR18" i="19"/>
  <c r="AQ18" i="19"/>
  <c r="AP18" i="19"/>
  <c r="AO18" i="19"/>
  <c r="AN18" i="19"/>
  <c r="AM18" i="19"/>
  <c r="AL18" i="19"/>
  <c r="AK18" i="19"/>
  <c r="AJ18" i="19"/>
  <c r="AI18" i="19"/>
  <c r="AH18" i="19"/>
  <c r="AG18" i="19"/>
  <c r="AF18" i="19"/>
  <c r="AE18" i="19"/>
  <c r="AD18" i="19"/>
  <c r="AC18" i="19"/>
  <c r="AB18" i="19"/>
  <c r="AA18" i="19"/>
  <c r="Z18" i="19"/>
  <c r="Y18" i="19"/>
  <c r="AR17" i="19"/>
  <c r="AQ17" i="19"/>
  <c r="AP17" i="19"/>
  <c r="AO17" i="19"/>
  <c r="AN17" i="19"/>
  <c r="AM17" i="19"/>
  <c r="AL17" i="19"/>
  <c r="AK17" i="19"/>
  <c r="AJ17" i="19"/>
  <c r="AI17" i="19"/>
  <c r="AH17" i="19"/>
  <c r="AG17" i="19"/>
  <c r="AF17" i="19"/>
  <c r="AE17" i="19"/>
  <c r="AD17" i="19"/>
  <c r="AC17" i="19"/>
  <c r="AB17" i="19"/>
  <c r="AA17" i="19"/>
  <c r="Z17" i="19"/>
  <c r="Y17" i="19"/>
  <c r="AR16" i="19"/>
  <c r="AQ16" i="19"/>
  <c r="AP16" i="19"/>
  <c r="AO16" i="19"/>
  <c r="AN16" i="19"/>
  <c r="AM16" i="19"/>
  <c r="AL16" i="19"/>
  <c r="AK16" i="19"/>
  <c r="AJ16" i="19"/>
  <c r="AI16" i="19"/>
  <c r="AH16" i="19"/>
  <c r="AG16" i="19"/>
  <c r="AF16" i="19"/>
  <c r="AE16" i="19"/>
  <c r="AD16" i="19"/>
  <c r="AC16" i="19"/>
  <c r="AB16" i="19"/>
  <c r="AA16" i="19"/>
  <c r="Z16" i="19"/>
  <c r="Y16" i="19"/>
  <c r="AR15" i="19"/>
  <c r="AQ15" i="19"/>
  <c r="AP15" i="19"/>
  <c r="AO15" i="19"/>
  <c r="AN15" i="19"/>
  <c r="AM15" i="19"/>
  <c r="AL15" i="19"/>
  <c r="AK15" i="19"/>
  <c r="AJ15" i="19"/>
  <c r="AI15" i="19"/>
  <c r="AH15" i="19"/>
  <c r="AG15" i="19"/>
  <c r="AF15" i="19"/>
  <c r="AE15" i="19"/>
  <c r="AD15" i="19"/>
  <c r="AC15" i="19"/>
  <c r="AB15" i="19"/>
  <c r="AA15" i="19"/>
  <c r="Z15" i="19"/>
  <c r="Y15" i="19"/>
  <c r="AR14" i="19"/>
  <c r="AQ14" i="19"/>
  <c r="AP14" i="19"/>
  <c r="AO14" i="19"/>
  <c r="AN14" i="19"/>
  <c r="AM14" i="19"/>
  <c r="AL14" i="19"/>
  <c r="AK14" i="19"/>
  <c r="AJ14" i="19"/>
  <c r="AI14" i="19"/>
  <c r="AH14" i="19"/>
  <c r="AG14" i="19"/>
  <c r="AF14" i="19"/>
  <c r="AE14" i="19"/>
  <c r="AD14" i="19"/>
  <c r="AC14" i="19"/>
  <c r="AB14" i="19"/>
  <c r="AA14" i="19"/>
  <c r="Z14" i="19"/>
  <c r="Y14" i="19"/>
  <c r="AR13" i="19"/>
  <c r="AQ13" i="19"/>
  <c r="AP13" i="19"/>
  <c r="AO13" i="19"/>
  <c r="AN13" i="19"/>
  <c r="AM13" i="19"/>
  <c r="AL13" i="19"/>
  <c r="AK13" i="19"/>
  <c r="AJ13" i="19"/>
  <c r="AI13" i="19"/>
  <c r="AH13" i="19"/>
  <c r="AG13" i="19"/>
  <c r="AF13" i="19"/>
  <c r="AE13" i="19"/>
  <c r="AD13" i="19"/>
  <c r="AC13" i="19"/>
  <c r="AB13" i="19"/>
  <c r="AA13" i="19"/>
  <c r="Z13" i="19"/>
  <c r="Y13" i="19"/>
  <c r="AR12" i="19"/>
  <c r="AQ12" i="19"/>
  <c r="AP12" i="19"/>
  <c r="AO12" i="19"/>
  <c r="AN12" i="19"/>
  <c r="AM12" i="19"/>
  <c r="AL12" i="19"/>
  <c r="AK12" i="19"/>
  <c r="AJ12" i="19"/>
  <c r="AI12" i="19"/>
  <c r="AH12" i="19"/>
  <c r="AG12" i="19"/>
  <c r="AF12" i="19"/>
  <c r="AE12" i="19"/>
  <c r="AD12" i="19"/>
  <c r="AC12" i="19"/>
  <c r="AB12" i="19"/>
  <c r="AA12" i="19"/>
  <c r="Z12" i="19"/>
  <c r="Y12" i="19"/>
  <c r="AR11" i="19"/>
  <c r="AQ11" i="19"/>
  <c r="AP11" i="19"/>
  <c r="AO11" i="19"/>
  <c r="AN11" i="19"/>
  <c r="AM11" i="19"/>
  <c r="AL11" i="19"/>
  <c r="AK11" i="19"/>
  <c r="AJ11" i="19"/>
  <c r="AI11" i="19"/>
  <c r="AH11" i="19"/>
  <c r="AG11" i="19"/>
  <c r="AF11" i="19"/>
  <c r="AE11" i="19"/>
  <c r="AD11" i="19"/>
  <c r="AC11" i="19"/>
  <c r="AB11" i="19"/>
  <c r="AA11" i="19"/>
  <c r="Z11" i="19"/>
  <c r="Y11" i="19"/>
  <c r="AR10" i="19"/>
  <c r="AQ10" i="19"/>
  <c r="AP10" i="19"/>
  <c r="AO10" i="19"/>
  <c r="AN10" i="19"/>
  <c r="AM10" i="19"/>
  <c r="AL10" i="19"/>
  <c r="AK10" i="19"/>
  <c r="AJ10" i="19"/>
  <c r="AI10" i="19"/>
  <c r="AH10" i="19"/>
  <c r="AG10" i="19"/>
  <c r="AF10" i="19"/>
  <c r="AE10" i="19"/>
  <c r="AD10" i="19"/>
  <c r="AC10" i="19"/>
  <c r="AB10" i="19"/>
  <c r="AA10" i="19"/>
  <c r="Z10" i="19"/>
  <c r="Y10" i="19"/>
  <c r="AR9" i="19"/>
  <c r="AQ9" i="19"/>
  <c r="AP9" i="19"/>
  <c r="AO9" i="19"/>
  <c r="AN9" i="19"/>
  <c r="AM9" i="19"/>
  <c r="AL9" i="19"/>
  <c r="AK9" i="19"/>
  <c r="AJ9" i="19"/>
  <c r="AI9" i="19"/>
  <c r="AH9" i="19"/>
  <c r="AG9" i="19"/>
  <c r="AF9" i="19"/>
  <c r="AE9" i="19"/>
  <c r="AD9" i="19"/>
  <c r="AC9" i="19"/>
  <c r="AB9" i="19"/>
  <c r="AA9" i="19"/>
  <c r="Z9" i="19"/>
  <c r="Y9" i="19"/>
  <c r="AR8" i="19"/>
  <c r="AQ8" i="19"/>
  <c r="AP8" i="19"/>
  <c r="AO8" i="19"/>
  <c r="AN8" i="19"/>
  <c r="AM8" i="19"/>
  <c r="AL8" i="19"/>
  <c r="AK8" i="19"/>
  <c r="AJ8" i="19"/>
  <c r="AI8" i="19"/>
  <c r="AH8" i="19"/>
  <c r="AG8" i="19"/>
  <c r="AF8" i="19"/>
  <c r="AE8" i="19"/>
  <c r="AD8" i="19"/>
  <c r="AC8" i="19"/>
  <c r="AB8" i="19"/>
  <c r="AA8" i="19"/>
  <c r="Z8" i="19"/>
  <c r="Y8" i="19"/>
  <c r="AR7" i="19"/>
  <c r="AQ7" i="19"/>
  <c r="AP7" i="19"/>
  <c r="AO7" i="19"/>
  <c r="AN7" i="19"/>
  <c r="AM7" i="19"/>
  <c r="AL7" i="19"/>
  <c r="AK7" i="19"/>
  <c r="AJ7" i="19"/>
  <c r="AI7" i="19"/>
  <c r="AH7" i="19"/>
  <c r="AG7" i="19"/>
  <c r="AF7" i="19"/>
  <c r="AE7" i="19"/>
  <c r="AD7" i="19"/>
  <c r="AC7" i="19"/>
  <c r="AB7" i="19"/>
  <c r="AA7" i="19"/>
  <c r="Z7" i="19"/>
  <c r="Y7" i="19"/>
  <c r="AR6" i="19"/>
  <c r="AQ6" i="19"/>
  <c r="AP6" i="19"/>
  <c r="AO6" i="19"/>
  <c r="AN6" i="19"/>
  <c r="AM6" i="19"/>
  <c r="AL6" i="19"/>
  <c r="AK6" i="19"/>
  <c r="AJ6" i="19"/>
  <c r="AI6" i="19"/>
  <c r="AH6" i="19"/>
  <c r="AG6" i="19"/>
  <c r="AF6" i="19"/>
  <c r="AE6" i="19"/>
  <c r="AD6" i="19"/>
  <c r="AC6" i="19"/>
  <c r="AB6" i="19"/>
  <c r="AA6" i="19"/>
  <c r="Z6" i="19"/>
  <c r="Y6" i="19"/>
  <c r="E21" i="16"/>
  <c r="E30" i="16"/>
  <c r="E28" i="16"/>
  <c r="E23" i="16"/>
  <c r="E24" i="16"/>
  <c r="E25" i="16"/>
  <c r="E32" i="16"/>
  <c r="E29" i="16"/>
  <c r="E16" i="16"/>
  <c r="E27" i="16"/>
  <c r="E7" i="16"/>
  <c r="E8" i="16"/>
  <c r="E17" i="16"/>
  <c r="E13" i="16"/>
  <c r="E20" i="16"/>
  <c r="E11" i="16"/>
  <c r="E10" i="16"/>
  <c r="E19" i="16"/>
  <c r="E9" i="16"/>
  <c r="E6" i="16"/>
  <c r="E14" i="16"/>
  <c r="E18" i="16"/>
  <c r="E15" i="16"/>
  <c r="E22" i="16"/>
  <c r="E26" i="16"/>
  <c r="E31" i="16"/>
  <c r="E12" i="16"/>
  <c r="AI6" i="15"/>
  <c r="AI7" i="15"/>
  <c r="AI8" i="15"/>
  <c r="AI9" i="15"/>
  <c r="AI10" i="15"/>
  <c r="AI12" i="15"/>
  <c r="AI13" i="15"/>
  <c r="AI14" i="15"/>
  <c r="AI15" i="15"/>
  <c r="AI16" i="15"/>
  <c r="AI17" i="15"/>
  <c r="AI18" i="15"/>
  <c r="AI19" i="15"/>
  <c r="AI20" i="15"/>
  <c r="AI21" i="15"/>
  <c r="AI22" i="15"/>
  <c r="AI23" i="15"/>
  <c r="AI24" i="15"/>
  <c r="AI25" i="15"/>
  <c r="AI26" i="15"/>
  <c r="AI27" i="15"/>
  <c r="AI28" i="15"/>
  <c r="AI29" i="15"/>
  <c r="AI30" i="15"/>
  <c r="AI31" i="15"/>
  <c r="AI32" i="15"/>
  <c r="AH6" i="15"/>
  <c r="A12" i="16"/>
  <c r="C21" i="16"/>
  <c r="C30" i="16"/>
  <c r="C28" i="16"/>
  <c r="C23" i="16"/>
  <c r="C24" i="16"/>
  <c r="C25" i="16"/>
  <c r="C32" i="16"/>
  <c r="C29" i="16"/>
  <c r="C16" i="16"/>
  <c r="C27" i="16"/>
  <c r="C7" i="16"/>
  <c r="C8" i="16"/>
  <c r="C17" i="16"/>
  <c r="C13" i="16"/>
  <c r="C20" i="16"/>
  <c r="C11" i="16"/>
  <c r="C10" i="16"/>
  <c r="C19" i="16"/>
  <c r="C9" i="16"/>
  <c r="C6" i="16"/>
  <c r="A21" i="16"/>
  <c r="A30" i="16"/>
  <c r="A28" i="16"/>
  <c r="A23" i="16"/>
  <c r="A24" i="16"/>
  <c r="A25" i="16"/>
  <c r="A32" i="16"/>
  <c r="A29" i="16"/>
  <c r="A16" i="16"/>
  <c r="A27" i="16"/>
  <c r="A7" i="16"/>
  <c r="A8" i="16"/>
  <c r="A17" i="16"/>
  <c r="A13" i="16"/>
  <c r="A20" i="16"/>
  <c r="A11" i="16"/>
  <c r="A10" i="16"/>
  <c r="A19" i="16"/>
  <c r="A9" i="16"/>
  <c r="A6" i="16"/>
  <c r="A14" i="16"/>
  <c r="A18" i="16"/>
  <c r="A15" i="16"/>
  <c r="A22" i="16"/>
  <c r="A26" i="16"/>
  <c r="A31" i="16"/>
  <c r="B21" i="16"/>
  <c r="B30" i="16"/>
  <c r="B28" i="16"/>
  <c r="B23" i="16"/>
  <c r="B24" i="16"/>
  <c r="B25" i="16"/>
  <c r="B32" i="16"/>
  <c r="B29" i="16"/>
  <c r="B16" i="16"/>
  <c r="B27" i="16"/>
  <c r="B7" i="16"/>
  <c r="B8" i="16"/>
  <c r="B17" i="16"/>
  <c r="B13" i="16"/>
  <c r="B20" i="16"/>
  <c r="B11" i="16"/>
  <c r="B10" i="16"/>
  <c r="B19" i="16"/>
  <c r="B9" i="16"/>
  <c r="B6" i="16"/>
  <c r="B14" i="16"/>
  <c r="B18" i="16"/>
  <c r="B15" i="16"/>
  <c r="B22" i="16"/>
  <c r="B26" i="16"/>
  <c r="B31" i="16"/>
  <c r="H33" i="15" l="1"/>
  <c r="H35" i="15" s="1"/>
  <c r="I33" i="15"/>
  <c r="I35" i="15" s="1"/>
  <c r="J33" i="15"/>
  <c r="J35" i="15" s="1"/>
  <c r="K33" i="15"/>
  <c r="K35" i="15" s="1"/>
  <c r="L33" i="15"/>
  <c r="L35" i="15" s="1"/>
  <c r="N33" i="15"/>
  <c r="N35" i="15" s="1"/>
  <c r="P33" i="15"/>
  <c r="P35" i="15" s="1"/>
  <c r="Q33" i="15"/>
  <c r="Q35" i="15" s="1"/>
  <c r="R33" i="15"/>
  <c r="R35" i="15" s="1"/>
  <c r="S33" i="15"/>
  <c r="S35" i="15" s="1"/>
  <c r="T33" i="15"/>
  <c r="T35" i="15" s="1"/>
  <c r="U33" i="15"/>
  <c r="U35" i="15" s="1"/>
  <c r="V33" i="15"/>
  <c r="V35" i="15" s="1"/>
  <c r="W33" i="15"/>
  <c r="W35" i="15" s="1"/>
  <c r="X33" i="15"/>
  <c r="X35" i="15" s="1"/>
  <c r="G33" i="15"/>
  <c r="G35" i="15" s="1"/>
  <c r="AR6" i="15"/>
  <c r="AR7" i="15"/>
  <c r="AR8" i="15"/>
  <c r="AR9" i="15"/>
  <c r="AR10" i="15"/>
  <c r="AR11" i="15"/>
  <c r="AR12" i="15"/>
  <c r="AR13" i="15"/>
  <c r="AR14" i="15"/>
  <c r="AR15" i="15"/>
  <c r="AR16" i="15"/>
  <c r="AR17" i="15"/>
  <c r="AR18" i="15"/>
  <c r="AR19" i="15"/>
  <c r="AR20" i="15"/>
  <c r="AR21" i="15"/>
  <c r="AR22" i="15"/>
  <c r="AR23" i="15"/>
  <c r="AR24" i="15"/>
  <c r="AR25" i="15"/>
  <c r="AR26" i="15"/>
  <c r="AR27" i="15"/>
  <c r="AR28" i="15"/>
  <c r="AR29" i="15"/>
  <c r="AR30" i="15"/>
  <c r="AR31" i="15"/>
  <c r="AR32" i="15"/>
  <c r="AQ6" i="15"/>
  <c r="AQ7" i="15"/>
  <c r="AQ8" i="15"/>
  <c r="AQ9" i="15"/>
  <c r="AQ10" i="15"/>
  <c r="AQ11" i="15"/>
  <c r="AQ12" i="15"/>
  <c r="AQ13" i="15"/>
  <c r="AQ14" i="15"/>
  <c r="AQ15" i="15"/>
  <c r="AQ16" i="15"/>
  <c r="AQ17" i="15"/>
  <c r="AQ18" i="15"/>
  <c r="AQ19" i="15"/>
  <c r="AQ20" i="15"/>
  <c r="AQ21" i="15"/>
  <c r="AQ22" i="15"/>
  <c r="AQ23" i="15"/>
  <c r="AQ24" i="15"/>
  <c r="AQ25" i="15"/>
  <c r="AQ26" i="15"/>
  <c r="AQ27" i="15"/>
  <c r="AQ28" i="15"/>
  <c r="AQ29" i="15"/>
  <c r="AQ30" i="15"/>
  <c r="AQ31" i="15"/>
  <c r="AQ32" i="15"/>
  <c r="AP6" i="15"/>
  <c r="AP7" i="15"/>
  <c r="AP8" i="15"/>
  <c r="AP9" i="15"/>
  <c r="AP10" i="15"/>
  <c r="AP11" i="15"/>
  <c r="AP12" i="15"/>
  <c r="AP13" i="15"/>
  <c r="AP14" i="15"/>
  <c r="AP15" i="15"/>
  <c r="AP16" i="15"/>
  <c r="AP17" i="15"/>
  <c r="AP18" i="15"/>
  <c r="AP19" i="15"/>
  <c r="AP20" i="15"/>
  <c r="AP21" i="15"/>
  <c r="AP22" i="15"/>
  <c r="AP23" i="15"/>
  <c r="AP24" i="15"/>
  <c r="AP25" i="15"/>
  <c r="AP26" i="15"/>
  <c r="AP27" i="15"/>
  <c r="AP28" i="15"/>
  <c r="AP29" i="15"/>
  <c r="AP30" i="15"/>
  <c r="AP31" i="15"/>
  <c r="AP32" i="15"/>
  <c r="AO6" i="15"/>
  <c r="AO7" i="15"/>
  <c r="AO8" i="15"/>
  <c r="AO9" i="15"/>
  <c r="AO10" i="15"/>
  <c r="AO11" i="15"/>
  <c r="AO12" i="15"/>
  <c r="AO13" i="15"/>
  <c r="AO14" i="15"/>
  <c r="AO15" i="15"/>
  <c r="AO16" i="15"/>
  <c r="AO17" i="15"/>
  <c r="AO18" i="15"/>
  <c r="AO19" i="15"/>
  <c r="AO20" i="15"/>
  <c r="AO21" i="15"/>
  <c r="AO22" i="15"/>
  <c r="AO23" i="15"/>
  <c r="AO24" i="15"/>
  <c r="AO25" i="15"/>
  <c r="AO26" i="15"/>
  <c r="AO27" i="15"/>
  <c r="AO28" i="15"/>
  <c r="AO29" i="15"/>
  <c r="AO30" i="15"/>
  <c r="AO31" i="15"/>
  <c r="AO32" i="15"/>
  <c r="AN6" i="15"/>
  <c r="AN7" i="15"/>
  <c r="AN8" i="15"/>
  <c r="AN9" i="15"/>
  <c r="AN10" i="15"/>
  <c r="AN11" i="15"/>
  <c r="AN12" i="15"/>
  <c r="AN13" i="15"/>
  <c r="AN14" i="15"/>
  <c r="AN15" i="15"/>
  <c r="AN16" i="15"/>
  <c r="AN17" i="15"/>
  <c r="AN18" i="15"/>
  <c r="AN19" i="15"/>
  <c r="AN20" i="15"/>
  <c r="AN21" i="15"/>
  <c r="AN22" i="15"/>
  <c r="AN23" i="15"/>
  <c r="AN24" i="15"/>
  <c r="AN25" i="15"/>
  <c r="AN26" i="15"/>
  <c r="AN27" i="15"/>
  <c r="AN28" i="15"/>
  <c r="AN29" i="15"/>
  <c r="AN30" i="15"/>
  <c r="AN31" i="15"/>
  <c r="AN32" i="15"/>
  <c r="AM6" i="15"/>
  <c r="AM7" i="15"/>
  <c r="AM8" i="15"/>
  <c r="AM9" i="15"/>
  <c r="AM10" i="15"/>
  <c r="AM11" i="15"/>
  <c r="AM12" i="15"/>
  <c r="AM13" i="15"/>
  <c r="AM14" i="15"/>
  <c r="AM15" i="15"/>
  <c r="AM16" i="15"/>
  <c r="AM17" i="15"/>
  <c r="AM18" i="15"/>
  <c r="AM19" i="15"/>
  <c r="AM20" i="15"/>
  <c r="AM21" i="15"/>
  <c r="AM22" i="15"/>
  <c r="AM23" i="15"/>
  <c r="AM24" i="15"/>
  <c r="AM25" i="15"/>
  <c r="AM26" i="15"/>
  <c r="AM27" i="15"/>
  <c r="AM28" i="15"/>
  <c r="AM29" i="15"/>
  <c r="AM30" i="15"/>
  <c r="AM31" i="15"/>
  <c r="AM32" i="15"/>
  <c r="AB6"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Z6" i="15"/>
  <c r="Y6" i="15"/>
  <c r="C8" i="6"/>
  <c r="E8" i="6"/>
  <c r="C23" i="6"/>
  <c r="E23" i="6"/>
  <c r="C22" i="6"/>
  <c r="E22" i="6"/>
  <c r="C21" i="6"/>
  <c r="E21" i="6"/>
  <c r="C20" i="6"/>
  <c r="C19" i="6"/>
  <c r="E19" i="6"/>
  <c r="E6" i="6"/>
  <c r="E7" i="6"/>
  <c r="E10" i="6"/>
  <c r="E11" i="6"/>
  <c r="E12" i="6"/>
  <c r="E13" i="6"/>
  <c r="E14" i="6"/>
  <c r="E15" i="6"/>
  <c r="E16" i="6"/>
  <c r="E17" i="6"/>
  <c r="E20" i="6"/>
  <c r="E24" i="6"/>
  <c r="E25" i="6"/>
  <c r="E26" i="6"/>
  <c r="E27" i="6"/>
  <c r="C6" i="6"/>
  <c r="C7" i="6"/>
  <c r="C10" i="6"/>
  <c r="C11" i="6"/>
  <c r="C12" i="6"/>
  <c r="C13" i="6"/>
  <c r="C14" i="6"/>
  <c r="C15" i="6"/>
  <c r="C16" i="6"/>
  <c r="C17" i="6"/>
  <c r="C24" i="6"/>
  <c r="C25" i="6"/>
  <c r="C26" i="6"/>
  <c r="C27" i="6"/>
  <c r="F12" i="16" l="1"/>
  <c r="T29" i="16"/>
  <c r="T11" i="16"/>
  <c r="T22" i="16"/>
  <c r="U23" i="16"/>
  <c r="U8" i="16"/>
  <c r="U6" i="16"/>
  <c r="V29" i="16"/>
  <c r="V11" i="16"/>
  <c r="V22" i="16"/>
  <c r="P6" i="16"/>
  <c r="W23" i="16"/>
  <c r="W8" i="16"/>
  <c r="W6" i="16"/>
  <c r="X29" i="16"/>
  <c r="X11" i="16"/>
  <c r="X22" i="16"/>
  <c r="G12" i="16"/>
  <c r="R63" i="21"/>
  <c r="F8" i="21"/>
  <c r="I106" i="20"/>
  <c r="I105" i="20"/>
  <c r="I103" i="20"/>
  <c r="I101" i="20"/>
  <c r="I99" i="20"/>
  <c r="I97" i="20"/>
  <c r="I95" i="20"/>
  <c r="I93" i="20"/>
  <c r="I91" i="20"/>
  <c r="I89" i="20"/>
  <c r="I87" i="20"/>
  <c r="I85" i="20"/>
  <c r="I83" i="20"/>
  <c r="I81" i="20"/>
  <c r="I79" i="20"/>
  <c r="I77" i="20"/>
  <c r="I75" i="20"/>
  <c r="I73" i="20"/>
  <c r="I88" i="20"/>
  <c r="I66" i="20"/>
  <c r="I64" i="20"/>
  <c r="I62" i="20"/>
  <c r="I60" i="20"/>
  <c r="I82" i="20"/>
  <c r="I69" i="20"/>
  <c r="I94" i="20"/>
  <c r="I92" i="20"/>
  <c r="I74" i="20"/>
  <c r="I96" i="20"/>
  <c r="I86" i="20"/>
  <c r="I72" i="20"/>
  <c r="I68" i="20"/>
  <c r="I98" i="20"/>
  <c r="I65" i="20"/>
  <c r="I63" i="20"/>
  <c r="I61" i="20"/>
  <c r="I59" i="20"/>
  <c r="I57" i="20"/>
  <c r="I55" i="20"/>
  <c r="I53" i="20"/>
  <c r="I100" i="20"/>
  <c r="I90" i="20"/>
  <c r="I78" i="20"/>
  <c r="I71" i="20"/>
  <c r="I67" i="20"/>
  <c r="I102" i="20"/>
  <c r="I84" i="20"/>
  <c r="I80" i="20"/>
  <c r="I56" i="20"/>
  <c r="I47" i="20"/>
  <c r="I104" i="20"/>
  <c r="I58" i="20"/>
  <c r="I51" i="20"/>
  <c r="I48" i="20"/>
  <c r="I49" i="20"/>
  <c r="I46" i="20"/>
  <c r="I44" i="20"/>
  <c r="I42" i="20"/>
  <c r="I40" i="20"/>
  <c r="I38" i="20"/>
  <c r="I36" i="20"/>
  <c r="I34" i="20"/>
  <c r="I32" i="20"/>
  <c r="I30" i="20"/>
  <c r="I28" i="20"/>
  <c r="I26" i="20"/>
  <c r="I24" i="20"/>
  <c r="I22" i="20"/>
  <c r="I50" i="20"/>
  <c r="I45" i="20"/>
  <c r="I43" i="20"/>
  <c r="I41" i="20"/>
  <c r="I39" i="20"/>
  <c r="I37" i="20"/>
  <c r="I35" i="20"/>
  <c r="I33" i="20"/>
  <c r="I31" i="20"/>
  <c r="I29" i="20"/>
  <c r="I27" i="20"/>
  <c r="I25" i="20"/>
  <c r="I23" i="20"/>
  <c r="I21" i="20"/>
  <c r="I70" i="20"/>
  <c r="I54" i="20"/>
  <c r="I52" i="20"/>
  <c r="I20" i="20"/>
  <c r="I19" i="20"/>
  <c r="I16" i="20"/>
  <c r="I14" i="20"/>
  <c r="I12" i="20"/>
  <c r="I10" i="20"/>
  <c r="I8" i="20"/>
  <c r="I6" i="20"/>
  <c r="I18" i="20"/>
  <c r="F10" i="20"/>
  <c r="I17" i="20"/>
  <c r="I15" i="20"/>
  <c r="I13" i="20"/>
  <c r="I11" i="20"/>
  <c r="I9" i="20"/>
  <c r="I7" i="20"/>
  <c r="I76" i="20"/>
  <c r="R73" i="21"/>
  <c r="F18" i="21"/>
  <c r="R105" i="20"/>
  <c r="R103" i="20"/>
  <c r="R101" i="20"/>
  <c r="R99" i="20"/>
  <c r="R97" i="20"/>
  <c r="R95" i="20"/>
  <c r="R93" i="20"/>
  <c r="R104" i="20"/>
  <c r="R102" i="20"/>
  <c r="R100" i="20"/>
  <c r="R98" i="20"/>
  <c r="R96" i="20"/>
  <c r="R94" i="20"/>
  <c r="R92" i="20"/>
  <c r="R90" i="20"/>
  <c r="R88" i="20"/>
  <c r="R86" i="20"/>
  <c r="R84" i="20"/>
  <c r="R82" i="20"/>
  <c r="R80" i="20"/>
  <c r="R78" i="20"/>
  <c r="R76" i="20"/>
  <c r="R74" i="20"/>
  <c r="R72" i="20"/>
  <c r="R70" i="20"/>
  <c r="R68" i="20"/>
  <c r="R66" i="20"/>
  <c r="R106" i="20"/>
  <c r="R89" i="20"/>
  <c r="R83" i="20"/>
  <c r="R69" i="20"/>
  <c r="R87" i="20"/>
  <c r="R73" i="20"/>
  <c r="R65" i="20"/>
  <c r="R63" i="20"/>
  <c r="R61" i="20"/>
  <c r="R59" i="20"/>
  <c r="R81" i="20"/>
  <c r="R91" i="20"/>
  <c r="R79" i="20"/>
  <c r="R77" i="20"/>
  <c r="R71" i="20"/>
  <c r="R67" i="20"/>
  <c r="R85" i="20"/>
  <c r="R64" i="20"/>
  <c r="R47" i="20"/>
  <c r="R46" i="20"/>
  <c r="R44" i="20"/>
  <c r="R42" i="20"/>
  <c r="R40" i="20"/>
  <c r="R38" i="20"/>
  <c r="R36" i="20"/>
  <c r="R34" i="20"/>
  <c r="R32" i="20"/>
  <c r="R52" i="20"/>
  <c r="R48" i="20"/>
  <c r="R54" i="20"/>
  <c r="R53" i="20"/>
  <c r="R49" i="20"/>
  <c r="R56" i="20"/>
  <c r="R55" i="20"/>
  <c r="R51" i="20"/>
  <c r="R50" i="20"/>
  <c r="R75" i="20"/>
  <c r="R62" i="20"/>
  <c r="R57" i="20"/>
  <c r="R22" i="20"/>
  <c r="R20" i="20"/>
  <c r="R43" i="20"/>
  <c r="R35" i="20"/>
  <c r="R19" i="20"/>
  <c r="R16" i="20"/>
  <c r="R14" i="20"/>
  <c r="R12" i="20"/>
  <c r="R10" i="20"/>
  <c r="R8" i="20"/>
  <c r="R6" i="20"/>
  <c r="R27" i="20"/>
  <c r="R26" i="20"/>
  <c r="R25" i="20"/>
  <c r="F20" i="20"/>
  <c r="R60" i="20"/>
  <c r="R45" i="20"/>
  <c r="R37" i="20"/>
  <c r="R29" i="20"/>
  <c r="R28" i="20"/>
  <c r="R21" i="20"/>
  <c r="R18" i="20"/>
  <c r="R30" i="20"/>
  <c r="R24" i="20"/>
  <c r="R39" i="20"/>
  <c r="R31" i="20"/>
  <c r="R17" i="20"/>
  <c r="R15" i="20"/>
  <c r="R13" i="20"/>
  <c r="R11" i="20"/>
  <c r="R9" i="20"/>
  <c r="R7" i="20"/>
  <c r="R58" i="20"/>
  <c r="R23" i="20"/>
  <c r="R41" i="20"/>
  <c r="R33" i="20"/>
  <c r="F20" i="21"/>
  <c r="R75" i="21"/>
  <c r="T105" i="20"/>
  <c r="T103" i="20"/>
  <c r="T101" i="20"/>
  <c r="T99" i="20"/>
  <c r="T97" i="20"/>
  <c r="T95" i="20"/>
  <c r="T93" i="20"/>
  <c r="T91" i="20"/>
  <c r="T89" i="20"/>
  <c r="T87" i="20"/>
  <c r="T85" i="20"/>
  <c r="T83" i="20"/>
  <c r="T81" i="20"/>
  <c r="T104" i="20"/>
  <c r="T102" i="20"/>
  <c r="T100" i="20"/>
  <c r="T98" i="20"/>
  <c r="T96" i="20"/>
  <c r="T94" i="20"/>
  <c r="T92" i="20"/>
  <c r="T90" i="20"/>
  <c r="T88" i="20"/>
  <c r="T86" i="20"/>
  <c r="T84" i="20"/>
  <c r="T82" i="20"/>
  <c r="T80" i="20"/>
  <c r="T106" i="20"/>
  <c r="T76" i="20"/>
  <c r="T73" i="20"/>
  <c r="T65" i="20"/>
  <c r="T63" i="20"/>
  <c r="T61" i="20"/>
  <c r="T59" i="20"/>
  <c r="T57" i="20"/>
  <c r="T55" i="20"/>
  <c r="T53" i="20"/>
  <c r="T51" i="20"/>
  <c r="T72" i="20"/>
  <c r="T68" i="20"/>
  <c r="T79" i="20"/>
  <c r="T77" i="20"/>
  <c r="T74" i="20"/>
  <c r="T71" i="20"/>
  <c r="T67" i="20"/>
  <c r="T75" i="20"/>
  <c r="T64" i="20"/>
  <c r="T62" i="20"/>
  <c r="T60" i="20"/>
  <c r="T58" i="20"/>
  <c r="T56" i="20"/>
  <c r="T54" i="20"/>
  <c r="T52" i="20"/>
  <c r="T50" i="20"/>
  <c r="T70" i="20"/>
  <c r="T66" i="20"/>
  <c r="T47" i="20"/>
  <c r="T46" i="20"/>
  <c r="T69" i="20"/>
  <c r="T48" i="20"/>
  <c r="T49" i="20"/>
  <c r="T45" i="20"/>
  <c r="T43" i="20"/>
  <c r="T41" i="20"/>
  <c r="T39" i="20"/>
  <c r="T37" i="20"/>
  <c r="T35" i="20"/>
  <c r="T33" i="20"/>
  <c r="T31" i="20"/>
  <c r="T29" i="20"/>
  <c r="T27" i="20"/>
  <c r="T25" i="20"/>
  <c r="T23" i="20"/>
  <c r="T21" i="20"/>
  <c r="T19" i="20"/>
  <c r="T78" i="20"/>
  <c r="T44" i="20"/>
  <c r="T42" i="20"/>
  <c r="T40" i="20"/>
  <c r="T38" i="20"/>
  <c r="T36" i="20"/>
  <c r="T34" i="20"/>
  <c r="T32" i="20"/>
  <c r="T30" i="20"/>
  <c r="T28" i="20"/>
  <c r="T26" i="20"/>
  <c r="T24" i="20"/>
  <c r="T22" i="20"/>
  <c r="T18" i="20"/>
  <c r="T10" i="20"/>
  <c r="T17" i="20"/>
  <c r="T15" i="20"/>
  <c r="T13" i="20"/>
  <c r="T11" i="20"/>
  <c r="T9" i="20"/>
  <c r="T7" i="20"/>
  <c r="T16" i="20"/>
  <c r="T12" i="20"/>
  <c r="T14" i="20"/>
  <c r="T6" i="20"/>
  <c r="F22" i="20"/>
  <c r="T20" i="20"/>
  <c r="T8" i="20"/>
  <c r="R70" i="21"/>
  <c r="F15" i="21"/>
  <c r="P104" i="20"/>
  <c r="P102" i="20"/>
  <c r="P100" i="20"/>
  <c r="P98" i="20"/>
  <c r="P96" i="20"/>
  <c r="P94" i="20"/>
  <c r="P92" i="20"/>
  <c r="P90" i="20"/>
  <c r="P88" i="20"/>
  <c r="P86" i="20"/>
  <c r="P84" i="20"/>
  <c r="P82" i="20"/>
  <c r="P106" i="20"/>
  <c r="P105" i="20"/>
  <c r="P103" i="20"/>
  <c r="P101" i="20"/>
  <c r="P99" i="20"/>
  <c r="P97" i="20"/>
  <c r="P95" i="20"/>
  <c r="P93" i="20"/>
  <c r="P91" i="20"/>
  <c r="P89" i="20"/>
  <c r="P87" i="20"/>
  <c r="P85" i="20"/>
  <c r="P83" i="20"/>
  <c r="P81" i="20"/>
  <c r="P79" i="20"/>
  <c r="P75" i="20"/>
  <c r="P78" i="20"/>
  <c r="P70" i="20"/>
  <c r="P66" i="20"/>
  <c r="P64" i="20"/>
  <c r="P62" i="20"/>
  <c r="P60" i="20"/>
  <c r="P58" i="20"/>
  <c r="P56" i="20"/>
  <c r="P54" i="20"/>
  <c r="P52" i="20"/>
  <c r="P50" i="20"/>
  <c r="P80" i="20"/>
  <c r="P76" i="20"/>
  <c r="P69" i="20"/>
  <c r="P73" i="20"/>
  <c r="P74" i="20"/>
  <c r="P72" i="20"/>
  <c r="P68" i="20"/>
  <c r="P65" i="20"/>
  <c r="P63" i="20"/>
  <c r="P61" i="20"/>
  <c r="P59" i="20"/>
  <c r="P57" i="20"/>
  <c r="P55" i="20"/>
  <c r="P53" i="20"/>
  <c r="P51" i="20"/>
  <c r="P77" i="20"/>
  <c r="P67" i="20"/>
  <c r="P71" i="20"/>
  <c r="P47" i="20"/>
  <c r="P46" i="20"/>
  <c r="P44" i="20"/>
  <c r="P42" i="20"/>
  <c r="P40" i="20"/>
  <c r="P38" i="20"/>
  <c r="P36" i="20"/>
  <c r="P34" i="20"/>
  <c r="P32" i="20"/>
  <c r="P30" i="20"/>
  <c r="P28" i="20"/>
  <c r="P26" i="20"/>
  <c r="P24" i="20"/>
  <c r="P22" i="20"/>
  <c r="P20" i="20"/>
  <c r="P18" i="20"/>
  <c r="P48" i="20"/>
  <c r="P45" i="20"/>
  <c r="P43" i="20"/>
  <c r="P41" i="20"/>
  <c r="P39" i="20"/>
  <c r="P37" i="20"/>
  <c r="P35" i="20"/>
  <c r="P33" i="20"/>
  <c r="P31" i="20"/>
  <c r="P29" i="20"/>
  <c r="P27" i="20"/>
  <c r="P25" i="20"/>
  <c r="P23" i="20"/>
  <c r="P49" i="20"/>
  <c r="F17" i="20"/>
  <c r="P11" i="20"/>
  <c r="P19" i="20"/>
  <c r="P16" i="20"/>
  <c r="P14" i="20"/>
  <c r="P12" i="20"/>
  <c r="P10" i="20"/>
  <c r="P8" i="20"/>
  <c r="P6" i="20"/>
  <c r="P17" i="20"/>
  <c r="P15" i="20"/>
  <c r="P21" i="20"/>
  <c r="P13" i="20"/>
  <c r="P7" i="20"/>
  <c r="P9" i="20"/>
  <c r="R60" i="21"/>
  <c r="F5" i="21"/>
  <c r="G104" i="20"/>
  <c r="G102" i="20"/>
  <c r="G100" i="20"/>
  <c r="G98" i="20"/>
  <c r="G96" i="20"/>
  <c r="G94" i="20"/>
  <c r="G92" i="20"/>
  <c r="G90" i="20"/>
  <c r="G88" i="20"/>
  <c r="G86" i="20"/>
  <c r="G84" i="20"/>
  <c r="G82" i="20"/>
  <c r="G106" i="20"/>
  <c r="G105" i="20"/>
  <c r="G103" i="20"/>
  <c r="G101" i="20"/>
  <c r="G99" i="20"/>
  <c r="G97" i="20"/>
  <c r="G95" i="20"/>
  <c r="G93" i="20"/>
  <c r="G91" i="20"/>
  <c r="G89" i="20"/>
  <c r="G87" i="20"/>
  <c r="G85" i="20"/>
  <c r="G83" i="20"/>
  <c r="G81" i="20"/>
  <c r="G79" i="20"/>
  <c r="G77" i="20"/>
  <c r="G75" i="20"/>
  <c r="G80" i="20"/>
  <c r="G76" i="20"/>
  <c r="G70" i="20"/>
  <c r="G66" i="20"/>
  <c r="G64" i="20"/>
  <c r="G62" i="20"/>
  <c r="G60" i="20"/>
  <c r="G58" i="20"/>
  <c r="G56" i="20"/>
  <c r="G54" i="20"/>
  <c r="G52" i="20"/>
  <c r="G50" i="20"/>
  <c r="G48" i="20"/>
  <c r="G73" i="20"/>
  <c r="G69" i="20"/>
  <c r="G74" i="20"/>
  <c r="G72" i="20"/>
  <c r="G68" i="20"/>
  <c r="G65" i="20"/>
  <c r="G63" i="20"/>
  <c r="G61" i="20"/>
  <c r="G59" i="20"/>
  <c r="G57" i="20"/>
  <c r="G55" i="20"/>
  <c r="G53" i="20"/>
  <c r="G51" i="20"/>
  <c r="G49" i="20"/>
  <c r="G47" i="20"/>
  <c r="G78" i="20"/>
  <c r="G45" i="20"/>
  <c r="G43" i="20"/>
  <c r="G41" i="20"/>
  <c r="G39" i="20"/>
  <c r="G37" i="20"/>
  <c r="G35" i="20"/>
  <c r="G33" i="20"/>
  <c r="G67" i="20"/>
  <c r="G71" i="20"/>
  <c r="G46" i="20"/>
  <c r="G44" i="20"/>
  <c r="G42" i="20"/>
  <c r="G40" i="20"/>
  <c r="G38" i="20"/>
  <c r="G36" i="20"/>
  <c r="G34" i="20"/>
  <c r="G32" i="20"/>
  <c r="G30" i="20"/>
  <c r="G28" i="20"/>
  <c r="G26" i="20"/>
  <c r="G31" i="20"/>
  <c r="G17" i="20"/>
  <c r="G15" i="20"/>
  <c r="G13" i="20"/>
  <c r="G11" i="20"/>
  <c r="G9" i="20"/>
  <c r="G7" i="20"/>
  <c r="G24" i="20"/>
  <c r="G20" i="20"/>
  <c r="F7" i="20"/>
  <c r="G21" i="20"/>
  <c r="G23" i="20"/>
  <c r="G19" i="20"/>
  <c r="G18" i="20"/>
  <c r="G16" i="20"/>
  <c r="G14" i="20"/>
  <c r="G12" i="20"/>
  <c r="G10" i="20"/>
  <c r="G8" i="20"/>
  <c r="G6" i="20"/>
  <c r="G22" i="20"/>
  <c r="G27" i="20"/>
  <c r="G29" i="20"/>
  <c r="G25" i="20"/>
  <c r="F21" i="21"/>
  <c r="R76" i="21"/>
  <c r="U104" i="20"/>
  <c r="U102" i="20"/>
  <c r="U100" i="20"/>
  <c r="U98" i="20"/>
  <c r="U96" i="20"/>
  <c r="U94" i="20"/>
  <c r="U92" i="20"/>
  <c r="U90" i="20"/>
  <c r="U88" i="20"/>
  <c r="U86" i="20"/>
  <c r="U84" i="20"/>
  <c r="U82" i="20"/>
  <c r="U80" i="20"/>
  <c r="U78" i="20"/>
  <c r="U76" i="20"/>
  <c r="U74" i="20"/>
  <c r="U106" i="20"/>
  <c r="U101" i="20"/>
  <c r="U83" i="20"/>
  <c r="U73" i="20"/>
  <c r="U65" i="20"/>
  <c r="U63" i="20"/>
  <c r="U61" i="20"/>
  <c r="U59" i="20"/>
  <c r="U103" i="20"/>
  <c r="U72" i="20"/>
  <c r="U68" i="20"/>
  <c r="U105" i="20"/>
  <c r="U87" i="20"/>
  <c r="U79" i="20"/>
  <c r="U77" i="20"/>
  <c r="U71" i="20"/>
  <c r="U67" i="20"/>
  <c r="U81" i="20"/>
  <c r="U93" i="20"/>
  <c r="U91" i="20"/>
  <c r="U75" i="20"/>
  <c r="U64" i="20"/>
  <c r="U62" i="20"/>
  <c r="U60" i="20"/>
  <c r="U58" i="20"/>
  <c r="U56" i="20"/>
  <c r="U54" i="20"/>
  <c r="U52" i="20"/>
  <c r="U95" i="20"/>
  <c r="U85" i="20"/>
  <c r="U70" i="20"/>
  <c r="U66" i="20"/>
  <c r="U97" i="20"/>
  <c r="U69" i="20"/>
  <c r="U48" i="20"/>
  <c r="U49" i="20"/>
  <c r="U53" i="20"/>
  <c r="U45" i="20"/>
  <c r="U43" i="20"/>
  <c r="U41" i="20"/>
  <c r="U39" i="20"/>
  <c r="U37" i="20"/>
  <c r="U35" i="20"/>
  <c r="U33" i="20"/>
  <c r="U31" i="20"/>
  <c r="U29" i="20"/>
  <c r="U27" i="20"/>
  <c r="U25" i="20"/>
  <c r="U23" i="20"/>
  <c r="U21" i="20"/>
  <c r="U55" i="20"/>
  <c r="U51" i="20"/>
  <c r="U57" i="20"/>
  <c r="U44" i="20"/>
  <c r="U42" i="20"/>
  <c r="U40" i="20"/>
  <c r="U38" i="20"/>
  <c r="U36" i="20"/>
  <c r="U34" i="20"/>
  <c r="U32" i="20"/>
  <c r="U30" i="20"/>
  <c r="U28" i="20"/>
  <c r="U26" i="20"/>
  <c r="U24" i="20"/>
  <c r="U22" i="20"/>
  <c r="U20" i="20"/>
  <c r="U99" i="20"/>
  <c r="U47" i="20"/>
  <c r="U46" i="20"/>
  <c r="U89" i="20"/>
  <c r="U18" i="20"/>
  <c r="U17" i="20"/>
  <c r="U15" i="20"/>
  <c r="U13" i="20"/>
  <c r="U11" i="20"/>
  <c r="U9" i="20"/>
  <c r="U7" i="20"/>
  <c r="U19" i="20"/>
  <c r="F23" i="20"/>
  <c r="U50" i="20"/>
  <c r="U16" i="20"/>
  <c r="U14" i="20"/>
  <c r="U12" i="20"/>
  <c r="U10" i="20"/>
  <c r="U8" i="20"/>
  <c r="U6" i="20"/>
  <c r="R72" i="21"/>
  <c r="F17" i="21"/>
  <c r="Q106" i="20"/>
  <c r="Q105" i="20"/>
  <c r="Q103" i="20"/>
  <c r="Q101" i="20"/>
  <c r="Q99" i="20"/>
  <c r="Q97" i="20"/>
  <c r="Q95" i="20"/>
  <c r="Q93" i="20"/>
  <c r="Q91" i="20"/>
  <c r="Q89" i="20"/>
  <c r="Q87" i="20"/>
  <c r="Q85" i="20"/>
  <c r="Q83" i="20"/>
  <c r="Q81" i="20"/>
  <c r="Q79" i="20"/>
  <c r="Q77" i="20"/>
  <c r="Q75" i="20"/>
  <c r="Q73" i="20"/>
  <c r="Q92" i="20"/>
  <c r="Q78" i="20"/>
  <c r="Q70" i="20"/>
  <c r="Q66" i="20"/>
  <c r="Q64" i="20"/>
  <c r="Q62" i="20"/>
  <c r="Q60" i="20"/>
  <c r="Q94" i="20"/>
  <c r="Q86" i="20"/>
  <c r="Q96" i="20"/>
  <c r="Q80" i="20"/>
  <c r="Q76" i="20"/>
  <c r="Q69" i="20"/>
  <c r="Q98" i="20"/>
  <c r="Q90" i="20"/>
  <c r="Q100" i="20"/>
  <c r="Q84" i="20"/>
  <c r="Q74" i="20"/>
  <c r="Q72" i="20"/>
  <c r="Q68" i="20"/>
  <c r="Q65" i="20"/>
  <c r="Q63" i="20"/>
  <c r="Q61" i="20"/>
  <c r="Q59" i="20"/>
  <c r="Q57" i="20"/>
  <c r="Q55" i="20"/>
  <c r="Q53" i="20"/>
  <c r="Q102" i="20"/>
  <c r="Q104" i="20"/>
  <c r="Q88" i="20"/>
  <c r="Q71" i="20"/>
  <c r="Q67" i="20"/>
  <c r="Q82" i="20"/>
  <c r="Q47" i="20"/>
  <c r="Q46" i="20"/>
  <c r="Q44" i="20"/>
  <c r="Q42" i="20"/>
  <c r="Q40" i="20"/>
  <c r="Q38" i="20"/>
  <c r="Q36" i="20"/>
  <c r="Q34" i="20"/>
  <c r="Q32" i="20"/>
  <c r="Q30" i="20"/>
  <c r="Q28" i="20"/>
  <c r="Q26" i="20"/>
  <c r="Q24" i="20"/>
  <c r="Q22" i="20"/>
  <c r="Q52" i="20"/>
  <c r="Q48" i="20"/>
  <c r="Q54" i="20"/>
  <c r="Q49" i="20"/>
  <c r="Q58" i="20"/>
  <c r="Q45" i="20"/>
  <c r="Q43" i="20"/>
  <c r="Q41" i="20"/>
  <c r="Q39" i="20"/>
  <c r="Q37" i="20"/>
  <c r="Q35" i="20"/>
  <c r="Q33" i="20"/>
  <c r="Q31" i="20"/>
  <c r="Q29" i="20"/>
  <c r="Q27" i="20"/>
  <c r="Q25" i="20"/>
  <c r="Q23" i="20"/>
  <c r="Q21" i="20"/>
  <c r="Q50" i="20"/>
  <c r="Q20" i="20"/>
  <c r="Q56" i="20"/>
  <c r="Q19" i="20"/>
  <c r="Q16" i="20"/>
  <c r="Q14" i="20"/>
  <c r="Q12" i="20"/>
  <c r="Q10" i="20"/>
  <c r="Q8" i="20"/>
  <c r="Q6" i="20"/>
  <c r="Q51" i="20"/>
  <c r="F19" i="20"/>
  <c r="Q18" i="20"/>
  <c r="Q17" i="20"/>
  <c r="Q15" i="20"/>
  <c r="Q13" i="20"/>
  <c r="Q11" i="20"/>
  <c r="Q9" i="20"/>
  <c r="Q7" i="20"/>
  <c r="R80" i="21"/>
  <c r="F25" i="21"/>
  <c r="Y106" i="20"/>
  <c r="Y105" i="20"/>
  <c r="Y103" i="20"/>
  <c r="Y101" i="20"/>
  <c r="Y99" i="20"/>
  <c r="Y97" i="20"/>
  <c r="Y95" i="20"/>
  <c r="Y93" i="20"/>
  <c r="Y91" i="20"/>
  <c r="Y89" i="20"/>
  <c r="Y87" i="20"/>
  <c r="Y85" i="20"/>
  <c r="Y83" i="20"/>
  <c r="Y81" i="20"/>
  <c r="Y79" i="20"/>
  <c r="Y77" i="20"/>
  <c r="Y75" i="20"/>
  <c r="Y73" i="20"/>
  <c r="Y94" i="20"/>
  <c r="Y80" i="20"/>
  <c r="Y64" i="20"/>
  <c r="Y62" i="20"/>
  <c r="Y60" i="20"/>
  <c r="Y58" i="20"/>
  <c r="Y96" i="20"/>
  <c r="Y90" i="20"/>
  <c r="Y70" i="20"/>
  <c r="Y66" i="20"/>
  <c r="Y98" i="20"/>
  <c r="Y84" i="20"/>
  <c r="Y100" i="20"/>
  <c r="Y78" i="20"/>
  <c r="Y69" i="20"/>
  <c r="Y102" i="20"/>
  <c r="Y88" i="20"/>
  <c r="Y65" i="20"/>
  <c r="Y63" i="20"/>
  <c r="Y61" i="20"/>
  <c r="Y59" i="20"/>
  <c r="Y57" i="20"/>
  <c r="Y55" i="20"/>
  <c r="Y53" i="20"/>
  <c r="Y104" i="20"/>
  <c r="Y82" i="20"/>
  <c r="Y76" i="20"/>
  <c r="Y72" i="20"/>
  <c r="Y68" i="20"/>
  <c r="Y92" i="20"/>
  <c r="Y52" i="20"/>
  <c r="Y74" i="20"/>
  <c r="Y54" i="20"/>
  <c r="Y51" i="20"/>
  <c r="Y86" i="20"/>
  <c r="Y71" i="20"/>
  <c r="Y56" i="20"/>
  <c r="Y44" i="20"/>
  <c r="Y42" i="20"/>
  <c r="Y40" i="20"/>
  <c r="Y38" i="20"/>
  <c r="Y36" i="20"/>
  <c r="Y34" i="20"/>
  <c r="Y32" i="20"/>
  <c r="Y30" i="20"/>
  <c r="Y28" i="20"/>
  <c r="Y26" i="20"/>
  <c r="Y24" i="20"/>
  <c r="Y22" i="20"/>
  <c r="Y20" i="20"/>
  <c r="Y50" i="20"/>
  <c r="Y46" i="20"/>
  <c r="Y47" i="20"/>
  <c r="Y49" i="20"/>
  <c r="Y45" i="20"/>
  <c r="Y43" i="20"/>
  <c r="Y41" i="20"/>
  <c r="Y39" i="20"/>
  <c r="Y37" i="20"/>
  <c r="Y35" i="20"/>
  <c r="Y33" i="20"/>
  <c r="Y31" i="20"/>
  <c r="Y29" i="20"/>
  <c r="Y27" i="20"/>
  <c r="Y25" i="20"/>
  <c r="Y23" i="20"/>
  <c r="Y21" i="20"/>
  <c r="Y67" i="20"/>
  <c r="Y48" i="20"/>
  <c r="Y16" i="20"/>
  <c r="Y14" i="20"/>
  <c r="Y12" i="20"/>
  <c r="Y10" i="20"/>
  <c r="Y8" i="20"/>
  <c r="Y6" i="20"/>
  <c r="Y19" i="20"/>
  <c r="F27" i="20"/>
  <c r="Y18" i="20"/>
  <c r="Y17" i="20"/>
  <c r="Y15" i="20"/>
  <c r="Y13" i="20"/>
  <c r="Y11" i="20"/>
  <c r="Y9" i="20"/>
  <c r="Y7" i="20"/>
  <c r="F12" i="21"/>
  <c r="R67" i="21"/>
  <c r="M104" i="20"/>
  <c r="M102" i="20"/>
  <c r="M100" i="20"/>
  <c r="M98" i="20"/>
  <c r="M96" i="20"/>
  <c r="M94" i="20"/>
  <c r="M92" i="20"/>
  <c r="M90" i="20"/>
  <c r="M88" i="20"/>
  <c r="M86" i="20"/>
  <c r="M84" i="20"/>
  <c r="M82" i="20"/>
  <c r="M80" i="20"/>
  <c r="M78" i="20"/>
  <c r="M76" i="20"/>
  <c r="M74" i="20"/>
  <c r="M106" i="20"/>
  <c r="M99" i="20"/>
  <c r="M72" i="20"/>
  <c r="M68" i="20"/>
  <c r="M65" i="20"/>
  <c r="M63" i="20"/>
  <c r="M61" i="20"/>
  <c r="M59" i="20"/>
  <c r="M101" i="20"/>
  <c r="M89" i="20"/>
  <c r="M75" i="20"/>
  <c r="M71" i="20"/>
  <c r="M67" i="20"/>
  <c r="M103" i="20"/>
  <c r="M83" i="20"/>
  <c r="M105" i="20"/>
  <c r="M87" i="20"/>
  <c r="M70" i="20"/>
  <c r="M66" i="20"/>
  <c r="M64" i="20"/>
  <c r="M62" i="20"/>
  <c r="M60" i="20"/>
  <c r="M58" i="20"/>
  <c r="M56" i="20"/>
  <c r="M54" i="20"/>
  <c r="M93" i="20"/>
  <c r="M81" i="20"/>
  <c r="M69" i="20"/>
  <c r="M95" i="20"/>
  <c r="M91" i="20"/>
  <c r="M79" i="20"/>
  <c r="M73" i="20"/>
  <c r="M50" i="20"/>
  <c r="M97" i="20"/>
  <c r="M77" i="20"/>
  <c r="M45" i="20"/>
  <c r="M43" i="20"/>
  <c r="M41" i="20"/>
  <c r="M39" i="20"/>
  <c r="M37" i="20"/>
  <c r="M35" i="20"/>
  <c r="M33" i="20"/>
  <c r="M31" i="20"/>
  <c r="M29" i="20"/>
  <c r="M27" i="20"/>
  <c r="M25" i="20"/>
  <c r="M23" i="20"/>
  <c r="M21" i="20"/>
  <c r="M85" i="20"/>
  <c r="M55" i="20"/>
  <c r="M48" i="20"/>
  <c r="M46" i="20"/>
  <c r="M44" i="20"/>
  <c r="M42" i="20"/>
  <c r="M40" i="20"/>
  <c r="M38" i="20"/>
  <c r="M36" i="20"/>
  <c r="M34" i="20"/>
  <c r="M32" i="20"/>
  <c r="M30" i="20"/>
  <c r="M28" i="20"/>
  <c r="M26" i="20"/>
  <c r="M24" i="20"/>
  <c r="M22" i="20"/>
  <c r="M57" i="20"/>
  <c r="M51" i="20"/>
  <c r="M49" i="20"/>
  <c r="M53" i="20"/>
  <c r="M52" i="20"/>
  <c r="M17" i="20"/>
  <c r="M15" i="20"/>
  <c r="M13" i="20"/>
  <c r="M11" i="20"/>
  <c r="M9" i="20"/>
  <c r="M7" i="20"/>
  <c r="M20" i="20"/>
  <c r="F14" i="20"/>
  <c r="M18" i="20"/>
  <c r="M47" i="20"/>
  <c r="M19" i="20"/>
  <c r="M16" i="20"/>
  <c r="M14" i="20"/>
  <c r="M12" i="20"/>
  <c r="M10" i="20"/>
  <c r="M8" i="20"/>
  <c r="M6" i="20"/>
  <c r="R61" i="21"/>
  <c r="F6" i="21"/>
  <c r="H104" i="20"/>
  <c r="H102" i="20"/>
  <c r="H100" i="20"/>
  <c r="H98" i="20"/>
  <c r="H96" i="20"/>
  <c r="H94" i="20"/>
  <c r="H92" i="20"/>
  <c r="H90" i="20"/>
  <c r="H88" i="20"/>
  <c r="H86" i="20"/>
  <c r="H84" i="20"/>
  <c r="H82" i="20"/>
  <c r="H106" i="20"/>
  <c r="H105" i="20"/>
  <c r="H103" i="20"/>
  <c r="H101" i="20"/>
  <c r="H99" i="20"/>
  <c r="H97" i="20"/>
  <c r="H95" i="20"/>
  <c r="H93" i="20"/>
  <c r="H91" i="20"/>
  <c r="H89" i="20"/>
  <c r="H87" i="20"/>
  <c r="H85" i="20"/>
  <c r="H83" i="20"/>
  <c r="H81" i="20"/>
  <c r="H79" i="20"/>
  <c r="H76" i="20"/>
  <c r="H70" i="20"/>
  <c r="H66" i="20"/>
  <c r="H64" i="20"/>
  <c r="H62" i="20"/>
  <c r="H60" i="20"/>
  <c r="H58" i="20"/>
  <c r="H56" i="20"/>
  <c r="H54" i="20"/>
  <c r="H52" i="20"/>
  <c r="H73" i="20"/>
  <c r="H69" i="20"/>
  <c r="H77" i="20"/>
  <c r="H74" i="20"/>
  <c r="H72" i="20"/>
  <c r="H68" i="20"/>
  <c r="H75" i="20"/>
  <c r="H65" i="20"/>
  <c r="H63" i="20"/>
  <c r="H61" i="20"/>
  <c r="H59" i="20"/>
  <c r="H57" i="20"/>
  <c r="H55" i="20"/>
  <c r="H53" i="20"/>
  <c r="H51" i="20"/>
  <c r="H78" i="20"/>
  <c r="H71" i="20"/>
  <c r="H67" i="20"/>
  <c r="H47" i="20"/>
  <c r="H48" i="20"/>
  <c r="H80" i="20"/>
  <c r="H49" i="20"/>
  <c r="H46" i="20"/>
  <c r="H44" i="20"/>
  <c r="H42" i="20"/>
  <c r="H40" i="20"/>
  <c r="H38" i="20"/>
  <c r="H36" i="20"/>
  <c r="H34" i="20"/>
  <c r="H32" i="20"/>
  <c r="H30" i="20"/>
  <c r="H28" i="20"/>
  <c r="H26" i="20"/>
  <c r="H24" i="20"/>
  <c r="H22" i="20"/>
  <c r="H20" i="20"/>
  <c r="H18" i="20"/>
  <c r="H50" i="20"/>
  <c r="H45" i="20"/>
  <c r="H43" i="20"/>
  <c r="H41" i="20"/>
  <c r="H39" i="20"/>
  <c r="H37" i="20"/>
  <c r="H35" i="20"/>
  <c r="H33" i="20"/>
  <c r="H31" i="20"/>
  <c r="H29" i="20"/>
  <c r="H27" i="20"/>
  <c r="H25" i="20"/>
  <c r="H23" i="20"/>
  <c r="H11" i="20"/>
  <c r="H21" i="20"/>
  <c r="H19" i="20"/>
  <c r="H16" i="20"/>
  <c r="H14" i="20"/>
  <c r="H12" i="20"/>
  <c r="H10" i="20"/>
  <c r="H8" i="20"/>
  <c r="H6" i="20"/>
  <c r="H9" i="20"/>
  <c r="F8" i="20"/>
  <c r="H17" i="20"/>
  <c r="H13" i="20"/>
  <c r="H15" i="20"/>
  <c r="H7" i="20"/>
  <c r="R69" i="21"/>
  <c r="F14" i="21"/>
  <c r="O104" i="20"/>
  <c r="O102" i="20"/>
  <c r="O100" i="20"/>
  <c r="O98" i="20"/>
  <c r="O96" i="20"/>
  <c r="O94" i="20"/>
  <c r="O92" i="20"/>
  <c r="O90" i="20"/>
  <c r="O88" i="20"/>
  <c r="O86" i="20"/>
  <c r="O84" i="20"/>
  <c r="O82" i="20"/>
  <c r="O106" i="20"/>
  <c r="O105" i="20"/>
  <c r="O103" i="20"/>
  <c r="O101" i="20"/>
  <c r="O99" i="20"/>
  <c r="O97" i="20"/>
  <c r="O95" i="20"/>
  <c r="O93" i="20"/>
  <c r="O91" i="20"/>
  <c r="O89" i="20"/>
  <c r="O87" i="20"/>
  <c r="O85" i="20"/>
  <c r="O83" i="20"/>
  <c r="O81" i="20"/>
  <c r="O79" i="20"/>
  <c r="O77" i="20"/>
  <c r="O75" i="20"/>
  <c r="O71" i="20"/>
  <c r="O67" i="20"/>
  <c r="O78" i="20"/>
  <c r="O70" i="20"/>
  <c r="O66" i="20"/>
  <c r="O64" i="20"/>
  <c r="O62" i="20"/>
  <c r="O60" i="20"/>
  <c r="O58" i="20"/>
  <c r="O56" i="20"/>
  <c r="O54" i="20"/>
  <c r="O52" i="20"/>
  <c r="O50" i="20"/>
  <c r="O48" i="20"/>
  <c r="O80" i="20"/>
  <c r="O76" i="20"/>
  <c r="O69" i="20"/>
  <c r="O73" i="20"/>
  <c r="O74" i="20"/>
  <c r="O72" i="20"/>
  <c r="O68" i="20"/>
  <c r="O65" i="20"/>
  <c r="O63" i="20"/>
  <c r="O61" i="20"/>
  <c r="O59" i="20"/>
  <c r="O57" i="20"/>
  <c r="O55" i="20"/>
  <c r="O53" i="20"/>
  <c r="O51" i="20"/>
  <c r="O49" i="20"/>
  <c r="O47" i="20"/>
  <c r="O45" i="20"/>
  <c r="O43" i="20"/>
  <c r="O41" i="20"/>
  <c r="O39" i="20"/>
  <c r="O37" i="20"/>
  <c r="O35" i="20"/>
  <c r="O33" i="20"/>
  <c r="O46" i="20"/>
  <c r="O44" i="20"/>
  <c r="O42" i="20"/>
  <c r="O40" i="20"/>
  <c r="O38" i="20"/>
  <c r="O36" i="20"/>
  <c r="O34" i="20"/>
  <c r="O32" i="20"/>
  <c r="O30" i="20"/>
  <c r="O28" i="20"/>
  <c r="O26" i="20"/>
  <c r="O17" i="20"/>
  <c r="O15" i="20"/>
  <c r="O13" i="20"/>
  <c r="O11" i="20"/>
  <c r="O9" i="20"/>
  <c r="O7" i="20"/>
  <c r="O22" i="20"/>
  <c r="O20" i="20"/>
  <c r="O27" i="20"/>
  <c r="O25" i="20"/>
  <c r="O23" i="20"/>
  <c r="O29" i="20"/>
  <c r="O19" i="20"/>
  <c r="O16" i="20"/>
  <c r="O14" i="20"/>
  <c r="O12" i="20"/>
  <c r="O10" i="20"/>
  <c r="O8" i="20"/>
  <c r="O6" i="20"/>
  <c r="O24" i="20"/>
  <c r="O21" i="20"/>
  <c r="O18" i="20"/>
  <c r="F16" i="20"/>
  <c r="O31" i="20"/>
  <c r="F13" i="21"/>
  <c r="R68" i="21"/>
  <c r="N104" i="20"/>
  <c r="N102" i="20"/>
  <c r="N100" i="20"/>
  <c r="N98" i="20"/>
  <c r="N96" i="20"/>
  <c r="N94" i="20"/>
  <c r="N106" i="20"/>
  <c r="N105" i="20"/>
  <c r="N103" i="20"/>
  <c r="N101" i="20"/>
  <c r="N99" i="20"/>
  <c r="N97" i="20"/>
  <c r="N95" i="20"/>
  <c r="N93" i="20"/>
  <c r="N91" i="20"/>
  <c r="N89" i="20"/>
  <c r="N87" i="20"/>
  <c r="N85" i="20"/>
  <c r="N83" i="20"/>
  <c r="N81" i="20"/>
  <c r="N79" i="20"/>
  <c r="N77" i="20"/>
  <c r="N75" i="20"/>
  <c r="N73" i="20"/>
  <c r="N71" i="20"/>
  <c r="N69" i="20"/>
  <c r="N67" i="20"/>
  <c r="N82" i="20"/>
  <c r="N92" i="20"/>
  <c r="N86" i="20"/>
  <c r="N78" i="20"/>
  <c r="N70" i="20"/>
  <c r="N66" i="20"/>
  <c r="N64" i="20"/>
  <c r="N62" i="20"/>
  <c r="N60" i="20"/>
  <c r="N90" i="20"/>
  <c r="N84" i="20"/>
  <c r="N80" i="20"/>
  <c r="N76" i="20"/>
  <c r="N72" i="20"/>
  <c r="N50" i="20"/>
  <c r="N59" i="20"/>
  <c r="N45" i="20"/>
  <c r="N43" i="20"/>
  <c r="N41" i="20"/>
  <c r="N39" i="20"/>
  <c r="N37" i="20"/>
  <c r="N35" i="20"/>
  <c r="N33" i="20"/>
  <c r="N31" i="20"/>
  <c r="N74" i="20"/>
  <c r="N61" i="20"/>
  <c r="N53" i="20"/>
  <c r="N52" i="20"/>
  <c r="N47" i="20"/>
  <c r="N57" i="20"/>
  <c r="N56" i="20"/>
  <c r="N51" i="20"/>
  <c r="N49" i="20"/>
  <c r="N88" i="20"/>
  <c r="N65" i="20"/>
  <c r="N58" i="20"/>
  <c r="N23" i="20"/>
  <c r="N68" i="20"/>
  <c r="N46" i="20"/>
  <c r="N38" i="20"/>
  <c r="N17" i="20"/>
  <c r="N15" i="20"/>
  <c r="F15" i="20"/>
  <c r="N13" i="20"/>
  <c r="N11" i="20"/>
  <c r="N9" i="20"/>
  <c r="N7" i="20"/>
  <c r="N22" i="20"/>
  <c r="N48" i="20"/>
  <c r="N40" i="20"/>
  <c r="N32" i="20"/>
  <c r="N26" i="20"/>
  <c r="N20" i="20"/>
  <c r="N63" i="20"/>
  <c r="N36" i="20"/>
  <c r="N55" i="20"/>
  <c r="N28" i="20"/>
  <c r="N27" i="20"/>
  <c r="N25" i="20"/>
  <c r="N42" i="20"/>
  <c r="N34" i="20"/>
  <c r="N30" i="20"/>
  <c r="N29" i="20"/>
  <c r="N19" i="20"/>
  <c r="N16" i="20"/>
  <c r="N14" i="20"/>
  <c r="N12" i="20"/>
  <c r="N10" i="20"/>
  <c r="N8" i="20"/>
  <c r="N6" i="20"/>
  <c r="N44" i="20"/>
  <c r="N54" i="20"/>
  <c r="N24" i="20"/>
  <c r="N21" i="20"/>
  <c r="N18" i="20"/>
  <c r="R79" i="21"/>
  <c r="F24" i="21"/>
  <c r="X104" i="20"/>
  <c r="X102" i="20"/>
  <c r="X100" i="20"/>
  <c r="X98" i="20"/>
  <c r="X96" i="20"/>
  <c r="X94" i="20"/>
  <c r="X92" i="20"/>
  <c r="X90" i="20"/>
  <c r="X88" i="20"/>
  <c r="X86" i="20"/>
  <c r="X84" i="20"/>
  <c r="X82" i="20"/>
  <c r="X80" i="20"/>
  <c r="X106" i="20"/>
  <c r="X105" i="20"/>
  <c r="X103" i="20"/>
  <c r="X101" i="20"/>
  <c r="X99" i="20"/>
  <c r="X97" i="20"/>
  <c r="X95" i="20"/>
  <c r="X93" i="20"/>
  <c r="X91" i="20"/>
  <c r="X89" i="20"/>
  <c r="X87" i="20"/>
  <c r="X85" i="20"/>
  <c r="X83" i="20"/>
  <c r="X81" i="20"/>
  <c r="X79" i="20"/>
  <c r="X74" i="20"/>
  <c r="X71" i="20"/>
  <c r="X67" i="20"/>
  <c r="X77" i="20"/>
  <c r="X64" i="20"/>
  <c r="X62" i="20"/>
  <c r="X60" i="20"/>
  <c r="X58" i="20"/>
  <c r="X56" i="20"/>
  <c r="X54" i="20"/>
  <c r="X52" i="20"/>
  <c r="X50" i="20"/>
  <c r="X70" i="20"/>
  <c r="X66" i="20"/>
  <c r="X75" i="20"/>
  <c r="X78" i="20"/>
  <c r="X69" i="20"/>
  <c r="X65" i="20"/>
  <c r="X63" i="20"/>
  <c r="X61" i="20"/>
  <c r="X59" i="20"/>
  <c r="X57" i="20"/>
  <c r="X55" i="20"/>
  <c r="X53" i="20"/>
  <c r="X51" i="20"/>
  <c r="X76" i="20"/>
  <c r="X73" i="20"/>
  <c r="X72" i="20"/>
  <c r="X68" i="20"/>
  <c r="X44" i="20"/>
  <c r="X42" i="20"/>
  <c r="X40" i="20"/>
  <c r="X38" i="20"/>
  <c r="X36" i="20"/>
  <c r="X34" i="20"/>
  <c r="X32" i="20"/>
  <c r="X30" i="20"/>
  <c r="X28" i="20"/>
  <c r="X26" i="20"/>
  <c r="X24" i="20"/>
  <c r="X22" i="20"/>
  <c r="X20" i="20"/>
  <c r="X18" i="20"/>
  <c r="X46" i="20"/>
  <c r="X48" i="20"/>
  <c r="X49" i="20"/>
  <c r="X45" i="20"/>
  <c r="X43" i="20"/>
  <c r="X41" i="20"/>
  <c r="X39" i="20"/>
  <c r="X37" i="20"/>
  <c r="X35" i="20"/>
  <c r="X33" i="20"/>
  <c r="X31" i="20"/>
  <c r="X29" i="20"/>
  <c r="X27" i="20"/>
  <c r="X25" i="20"/>
  <c r="X23" i="20"/>
  <c r="X7" i="20"/>
  <c r="X16" i="20"/>
  <c r="X14" i="20"/>
  <c r="X12" i="20"/>
  <c r="X10" i="20"/>
  <c r="X8" i="20"/>
  <c r="X6" i="20"/>
  <c r="X21" i="20"/>
  <c r="X13" i="20"/>
  <c r="X9" i="20"/>
  <c r="X19" i="20"/>
  <c r="X47" i="20"/>
  <c r="X15" i="20"/>
  <c r="X11" i="20"/>
  <c r="F26" i="20"/>
  <c r="X17" i="20"/>
  <c r="F11" i="21"/>
  <c r="R66" i="21"/>
  <c r="L105" i="20"/>
  <c r="L103" i="20"/>
  <c r="L101" i="20"/>
  <c r="L99" i="20"/>
  <c r="L97" i="20"/>
  <c r="L95" i="20"/>
  <c r="L93" i="20"/>
  <c r="L91" i="20"/>
  <c r="L89" i="20"/>
  <c r="L87" i="20"/>
  <c r="L85" i="20"/>
  <c r="L83" i="20"/>
  <c r="L81" i="20"/>
  <c r="L104" i="20"/>
  <c r="L102" i="20"/>
  <c r="L100" i="20"/>
  <c r="L98" i="20"/>
  <c r="L96" i="20"/>
  <c r="L94" i="20"/>
  <c r="L92" i="20"/>
  <c r="L90" i="20"/>
  <c r="L88" i="20"/>
  <c r="L86" i="20"/>
  <c r="L84" i="20"/>
  <c r="L82" i="20"/>
  <c r="L80" i="20"/>
  <c r="L106" i="20"/>
  <c r="L77" i="20"/>
  <c r="L74" i="20"/>
  <c r="L72" i="20"/>
  <c r="L68" i="20"/>
  <c r="L65" i="20"/>
  <c r="L63" i="20"/>
  <c r="L61" i="20"/>
  <c r="L59" i="20"/>
  <c r="L57" i="20"/>
  <c r="L55" i="20"/>
  <c r="L53" i="20"/>
  <c r="L51" i="20"/>
  <c r="L75" i="20"/>
  <c r="L71" i="20"/>
  <c r="L67" i="20"/>
  <c r="L78" i="20"/>
  <c r="L70" i="20"/>
  <c r="L66" i="20"/>
  <c r="L64" i="20"/>
  <c r="L62" i="20"/>
  <c r="L60" i="20"/>
  <c r="L58" i="20"/>
  <c r="L56" i="20"/>
  <c r="L54" i="20"/>
  <c r="L52" i="20"/>
  <c r="L50" i="20"/>
  <c r="L76" i="20"/>
  <c r="L69" i="20"/>
  <c r="L49" i="20"/>
  <c r="L45" i="20"/>
  <c r="L43" i="20"/>
  <c r="L41" i="20"/>
  <c r="L39" i="20"/>
  <c r="L37" i="20"/>
  <c r="L35" i="20"/>
  <c r="L33" i="20"/>
  <c r="L31" i="20"/>
  <c r="L29" i="20"/>
  <c r="L27" i="20"/>
  <c r="L25" i="20"/>
  <c r="L23" i="20"/>
  <c r="L21" i="20"/>
  <c r="L19" i="20"/>
  <c r="L47" i="20"/>
  <c r="L48" i="20"/>
  <c r="L46" i="20"/>
  <c r="L44" i="20"/>
  <c r="L42" i="20"/>
  <c r="L40" i="20"/>
  <c r="L38" i="20"/>
  <c r="L36" i="20"/>
  <c r="L34" i="20"/>
  <c r="L32" i="20"/>
  <c r="L30" i="20"/>
  <c r="L28" i="20"/>
  <c r="L26" i="20"/>
  <c r="L24" i="20"/>
  <c r="L22" i="20"/>
  <c r="L18" i="20"/>
  <c r="L8" i="20"/>
  <c r="F13" i="20"/>
  <c r="L79" i="20"/>
  <c r="L73" i="20"/>
  <c r="L17" i="20"/>
  <c r="L15" i="20"/>
  <c r="L13" i="20"/>
  <c r="L11" i="20"/>
  <c r="L9" i="20"/>
  <c r="L7" i="20"/>
  <c r="L6" i="20"/>
  <c r="L20" i="20"/>
  <c r="L16" i="20"/>
  <c r="L14" i="20"/>
  <c r="L12" i="20"/>
  <c r="L10" i="20"/>
  <c r="R78" i="21"/>
  <c r="F23" i="21"/>
  <c r="W104" i="20"/>
  <c r="W102" i="20"/>
  <c r="W100" i="20"/>
  <c r="W98" i="20"/>
  <c r="W96" i="20"/>
  <c r="W94" i="20"/>
  <c r="W92" i="20"/>
  <c r="W90" i="20"/>
  <c r="W88" i="20"/>
  <c r="W86" i="20"/>
  <c r="W84" i="20"/>
  <c r="W82" i="20"/>
  <c r="W80" i="20"/>
  <c r="W106" i="20"/>
  <c r="W105" i="20"/>
  <c r="W103" i="20"/>
  <c r="W101" i="20"/>
  <c r="W99" i="20"/>
  <c r="W97" i="20"/>
  <c r="W95" i="20"/>
  <c r="W93" i="20"/>
  <c r="W91" i="20"/>
  <c r="W89" i="20"/>
  <c r="W87" i="20"/>
  <c r="W85" i="20"/>
  <c r="W83" i="20"/>
  <c r="W81" i="20"/>
  <c r="W79" i="20"/>
  <c r="W77" i="20"/>
  <c r="W75" i="20"/>
  <c r="W74" i="20"/>
  <c r="W71" i="20"/>
  <c r="W67" i="20"/>
  <c r="W64" i="20"/>
  <c r="W62" i="20"/>
  <c r="W60" i="20"/>
  <c r="W58" i="20"/>
  <c r="W56" i="20"/>
  <c r="W54" i="20"/>
  <c r="W52" i="20"/>
  <c r="W50" i="20"/>
  <c r="W48" i="20"/>
  <c r="W70" i="20"/>
  <c r="W66" i="20"/>
  <c r="W78" i="20"/>
  <c r="W69" i="20"/>
  <c r="W65" i="20"/>
  <c r="W63" i="20"/>
  <c r="W61" i="20"/>
  <c r="W59" i="20"/>
  <c r="W57" i="20"/>
  <c r="W55" i="20"/>
  <c r="W53" i="20"/>
  <c r="W51" i="20"/>
  <c r="W49" i="20"/>
  <c r="W47" i="20"/>
  <c r="W45" i="20"/>
  <c r="W43" i="20"/>
  <c r="W41" i="20"/>
  <c r="W39" i="20"/>
  <c r="W37" i="20"/>
  <c r="W35" i="20"/>
  <c r="W33" i="20"/>
  <c r="W31" i="20"/>
  <c r="W76" i="20"/>
  <c r="W73" i="20"/>
  <c r="W68" i="20"/>
  <c r="W44" i="20"/>
  <c r="W42" i="20"/>
  <c r="W40" i="20"/>
  <c r="W38" i="20"/>
  <c r="W36" i="20"/>
  <c r="W34" i="20"/>
  <c r="W32" i="20"/>
  <c r="W30" i="20"/>
  <c r="W28" i="20"/>
  <c r="W26" i="20"/>
  <c r="W72" i="20"/>
  <c r="W46" i="20"/>
  <c r="W27" i="20"/>
  <c r="F25" i="20"/>
  <c r="W21" i="20"/>
  <c r="W17" i="20"/>
  <c r="W15" i="20"/>
  <c r="W13" i="20"/>
  <c r="W11" i="20"/>
  <c r="W9" i="20"/>
  <c r="W7" i="20"/>
  <c r="W29" i="20"/>
  <c r="W24" i="20"/>
  <c r="W23" i="20"/>
  <c r="W20" i="20"/>
  <c r="W16" i="20"/>
  <c r="W14" i="20"/>
  <c r="W12" i="20"/>
  <c r="W10" i="20"/>
  <c r="W8" i="20"/>
  <c r="W6" i="20"/>
  <c r="W25" i="20"/>
  <c r="W22" i="20"/>
  <c r="W19" i="20"/>
  <c r="W18" i="20"/>
  <c r="R65" i="21"/>
  <c r="F10" i="21"/>
  <c r="K105" i="20"/>
  <c r="K103" i="20"/>
  <c r="K101" i="20"/>
  <c r="K99" i="20"/>
  <c r="K97" i="20"/>
  <c r="K95" i="20"/>
  <c r="K93" i="20"/>
  <c r="K91" i="20"/>
  <c r="K89" i="20"/>
  <c r="K87" i="20"/>
  <c r="K85" i="20"/>
  <c r="K83" i="20"/>
  <c r="K81" i="20"/>
  <c r="K104" i="20"/>
  <c r="K102" i="20"/>
  <c r="K100" i="20"/>
  <c r="K98" i="20"/>
  <c r="K96" i="20"/>
  <c r="K94" i="20"/>
  <c r="K92" i="20"/>
  <c r="K90" i="20"/>
  <c r="K88" i="20"/>
  <c r="K86" i="20"/>
  <c r="K84" i="20"/>
  <c r="K82" i="20"/>
  <c r="K80" i="20"/>
  <c r="K78" i="20"/>
  <c r="K76" i="20"/>
  <c r="K106" i="20"/>
  <c r="K79" i="20"/>
  <c r="K73" i="20"/>
  <c r="K77" i="20"/>
  <c r="K74" i="20"/>
  <c r="K72" i="20"/>
  <c r="K68" i="20"/>
  <c r="K65" i="20"/>
  <c r="K63" i="20"/>
  <c r="K61" i="20"/>
  <c r="K59" i="20"/>
  <c r="K57" i="20"/>
  <c r="K55" i="20"/>
  <c r="K53" i="20"/>
  <c r="K51" i="20"/>
  <c r="K49" i="20"/>
  <c r="K47" i="20"/>
  <c r="K75" i="20"/>
  <c r="K71" i="20"/>
  <c r="K67" i="20"/>
  <c r="K70" i="20"/>
  <c r="K66" i="20"/>
  <c r="K64" i="20"/>
  <c r="K62" i="20"/>
  <c r="K60" i="20"/>
  <c r="K58" i="20"/>
  <c r="K56" i="20"/>
  <c r="K54" i="20"/>
  <c r="K52" i="20"/>
  <c r="K50" i="20"/>
  <c r="K48" i="20"/>
  <c r="K46" i="20"/>
  <c r="K44" i="20"/>
  <c r="K42" i="20"/>
  <c r="K40" i="20"/>
  <c r="K38" i="20"/>
  <c r="K36" i="20"/>
  <c r="K34" i="20"/>
  <c r="K32" i="20"/>
  <c r="K69" i="20"/>
  <c r="K45" i="20"/>
  <c r="K43" i="20"/>
  <c r="K41" i="20"/>
  <c r="K39" i="20"/>
  <c r="K37" i="20"/>
  <c r="K35" i="20"/>
  <c r="K33" i="20"/>
  <c r="K31" i="20"/>
  <c r="K29" i="20"/>
  <c r="K27" i="20"/>
  <c r="K16" i="20"/>
  <c r="K14" i="20"/>
  <c r="K12" i="20"/>
  <c r="K10" i="20"/>
  <c r="K8" i="20"/>
  <c r="K6" i="20"/>
  <c r="K19" i="20"/>
  <c r="K23" i="20"/>
  <c r="K18" i="20"/>
  <c r="K22" i="20"/>
  <c r="K26" i="20"/>
  <c r="K17" i="20"/>
  <c r="K15" i="20"/>
  <c r="K13" i="20"/>
  <c r="K11" i="20"/>
  <c r="K9" i="20"/>
  <c r="K7" i="20"/>
  <c r="K28" i="20"/>
  <c r="K25" i="20"/>
  <c r="F12" i="20"/>
  <c r="K24" i="20"/>
  <c r="K21" i="20"/>
  <c r="K30" i="20"/>
  <c r="K20" i="20"/>
  <c r="R74" i="21"/>
  <c r="F19" i="21"/>
  <c r="S105" i="20"/>
  <c r="S103" i="20"/>
  <c r="S101" i="20"/>
  <c r="S99" i="20"/>
  <c r="S97" i="20"/>
  <c r="S95" i="20"/>
  <c r="S93" i="20"/>
  <c r="S91" i="20"/>
  <c r="S89" i="20"/>
  <c r="S87" i="20"/>
  <c r="S85" i="20"/>
  <c r="S83" i="20"/>
  <c r="S81" i="20"/>
  <c r="S104" i="20"/>
  <c r="S102" i="20"/>
  <c r="S100" i="20"/>
  <c r="S98" i="20"/>
  <c r="S96" i="20"/>
  <c r="S94" i="20"/>
  <c r="S92" i="20"/>
  <c r="S90" i="20"/>
  <c r="S88" i="20"/>
  <c r="S86" i="20"/>
  <c r="S84" i="20"/>
  <c r="S82" i="20"/>
  <c r="S80" i="20"/>
  <c r="S78" i="20"/>
  <c r="S76" i="20"/>
  <c r="S74" i="20"/>
  <c r="S106" i="20"/>
  <c r="S69" i="20"/>
  <c r="S73" i="20"/>
  <c r="S65" i="20"/>
  <c r="S63" i="20"/>
  <c r="S61" i="20"/>
  <c r="S59" i="20"/>
  <c r="S57" i="20"/>
  <c r="S55" i="20"/>
  <c r="S53" i="20"/>
  <c r="S51" i="20"/>
  <c r="S49" i="20"/>
  <c r="S47" i="20"/>
  <c r="S72" i="20"/>
  <c r="S68" i="20"/>
  <c r="S79" i="20"/>
  <c r="S77" i="20"/>
  <c r="S71" i="20"/>
  <c r="S67" i="20"/>
  <c r="S75" i="20"/>
  <c r="S64" i="20"/>
  <c r="S62" i="20"/>
  <c r="S60" i="20"/>
  <c r="S58" i="20"/>
  <c r="S56" i="20"/>
  <c r="S54" i="20"/>
  <c r="S52" i="20"/>
  <c r="S50" i="20"/>
  <c r="S48" i="20"/>
  <c r="S46" i="20"/>
  <c r="S44" i="20"/>
  <c r="S42" i="20"/>
  <c r="S40" i="20"/>
  <c r="S38" i="20"/>
  <c r="S36" i="20"/>
  <c r="S34" i="20"/>
  <c r="S32" i="20"/>
  <c r="S66" i="20"/>
  <c r="S45" i="20"/>
  <c r="S43" i="20"/>
  <c r="S41" i="20"/>
  <c r="S39" i="20"/>
  <c r="S37" i="20"/>
  <c r="S35" i="20"/>
  <c r="S33" i="20"/>
  <c r="S31" i="20"/>
  <c r="S29" i="20"/>
  <c r="S27" i="20"/>
  <c r="S70" i="20"/>
  <c r="S19" i="20"/>
  <c r="S16" i="20"/>
  <c r="S14" i="20"/>
  <c r="S12" i="20"/>
  <c r="S10" i="20"/>
  <c r="S8" i="20"/>
  <c r="S6" i="20"/>
  <c r="S26" i="20"/>
  <c r="S25" i="20"/>
  <c r="S28" i="20"/>
  <c r="S21" i="20"/>
  <c r="S18" i="20"/>
  <c r="S30" i="20"/>
  <c r="S24" i="20"/>
  <c r="F21" i="20"/>
  <c r="S20" i="20"/>
  <c r="S17" i="20"/>
  <c r="S15" i="20"/>
  <c r="S13" i="20"/>
  <c r="S11" i="20"/>
  <c r="S9" i="20"/>
  <c r="S7" i="20"/>
  <c r="S23" i="20"/>
  <c r="S22" i="20"/>
  <c r="F22" i="21"/>
  <c r="R77" i="21"/>
  <c r="V104" i="20"/>
  <c r="V102" i="20"/>
  <c r="V100" i="20"/>
  <c r="V98" i="20"/>
  <c r="V96" i="20"/>
  <c r="V94" i="20"/>
  <c r="V92" i="20"/>
  <c r="V106" i="20"/>
  <c r="V105" i="20"/>
  <c r="V103" i="20"/>
  <c r="V101" i="20"/>
  <c r="V99" i="20"/>
  <c r="V97" i="20"/>
  <c r="V95" i="20"/>
  <c r="V93" i="20"/>
  <c r="V91" i="20"/>
  <c r="V89" i="20"/>
  <c r="V87" i="20"/>
  <c r="V85" i="20"/>
  <c r="V83" i="20"/>
  <c r="V81" i="20"/>
  <c r="V79" i="20"/>
  <c r="V77" i="20"/>
  <c r="V75" i="20"/>
  <c r="V73" i="20"/>
  <c r="V71" i="20"/>
  <c r="V69" i="20"/>
  <c r="V67" i="20"/>
  <c r="V86" i="20"/>
  <c r="V76" i="20"/>
  <c r="V72" i="20"/>
  <c r="V68" i="20"/>
  <c r="V80" i="20"/>
  <c r="V90" i="20"/>
  <c r="V74" i="20"/>
  <c r="V84" i="20"/>
  <c r="V64" i="20"/>
  <c r="V62" i="20"/>
  <c r="V60" i="20"/>
  <c r="V70" i="20"/>
  <c r="V66" i="20"/>
  <c r="V88" i="20"/>
  <c r="V82" i="20"/>
  <c r="V78" i="20"/>
  <c r="V59" i="20"/>
  <c r="V49" i="20"/>
  <c r="V53" i="20"/>
  <c r="V52" i="20"/>
  <c r="V45" i="20"/>
  <c r="V43" i="20"/>
  <c r="V41" i="20"/>
  <c r="V39" i="20"/>
  <c r="V37" i="20"/>
  <c r="V35" i="20"/>
  <c r="V33" i="20"/>
  <c r="V31" i="20"/>
  <c r="V61" i="20"/>
  <c r="V55" i="20"/>
  <c r="V54" i="20"/>
  <c r="V51" i="20"/>
  <c r="V57" i="20"/>
  <c r="V56" i="20"/>
  <c r="V63" i="20"/>
  <c r="V58" i="20"/>
  <c r="V50" i="20"/>
  <c r="V65" i="20"/>
  <c r="V47" i="20"/>
  <c r="V46" i="20"/>
  <c r="V48" i="20"/>
  <c r="V38" i="20"/>
  <c r="V26" i="20"/>
  <c r="V25" i="20"/>
  <c r="V28" i="20"/>
  <c r="V27" i="20"/>
  <c r="V21" i="20"/>
  <c r="V17" i="20"/>
  <c r="V15" i="20"/>
  <c r="V13" i="20"/>
  <c r="V11" i="20"/>
  <c r="V9" i="20"/>
  <c r="V7" i="20"/>
  <c r="V40" i="20"/>
  <c r="V32" i="20"/>
  <c r="V30" i="20"/>
  <c r="V29" i="20"/>
  <c r="V24" i="20"/>
  <c r="F24" i="20"/>
  <c r="V18" i="20"/>
  <c r="V42" i="20"/>
  <c r="V34" i="20"/>
  <c r="V23" i="20"/>
  <c r="V20" i="20"/>
  <c r="V16" i="20"/>
  <c r="V14" i="20"/>
  <c r="V12" i="20"/>
  <c r="V10" i="20"/>
  <c r="V8" i="20"/>
  <c r="V6" i="20"/>
  <c r="V44" i="20"/>
  <c r="V36" i="20"/>
  <c r="V22" i="20"/>
  <c r="V19" i="20"/>
  <c r="R64" i="21"/>
  <c r="F9" i="21"/>
  <c r="J105" i="20"/>
  <c r="J103" i="20"/>
  <c r="J101" i="20"/>
  <c r="J99" i="20"/>
  <c r="J97" i="20"/>
  <c r="J95" i="20"/>
  <c r="J93" i="20"/>
  <c r="J104" i="20"/>
  <c r="J102" i="20"/>
  <c r="J100" i="20"/>
  <c r="J98" i="20"/>
  <c r="J96" i="20"/>
  <c r="J94" i="20"/>
  <c r="J92" i="20"/>
  <c r="J90" i="20"/>
  <c r="J88" i="20"/>
  <c r="J86" i="20"/>
  <c r="J84" i="20"/>
  <c r="J82" i="20"/>
  <c r="J80" i="20"/>
  <c r="J78" i="20"/>
  <c r="J76" i="20"/>
  <c r="J74" i="20"/>
  <c r="J72" i="20"/>
  <c r="J70" i="20"/>
  <c r="J68" i="20"/>
  <c r="J85" i="20"/>
  <c r="J69" i="20"/>
  <c r="J106" i="20"/>
  <c r="J79" i="20"/>
  <c r="J73" i="20"/>
  <c r="J89" i="20"/>
  <c r="J77" i="20"/>
  <c r="J83" i="20"/>
  <c r="J65" i="20"/>
  <c r="J63" i="20"/>
  <c r="J61" i="20"/>
  <c r="J75" i="20"/>
  <c r="J71" i="20"/>
  <c r="J67" i="20"/>
  <c r="J87" i="20"/>
  <c r="J81" i="20"/>
  <c r="J62" i="20"/>
  <c r="J58" i="20"/>
  <c r="J57" i="20"/>
  <c r="J51" i="20"/>
  <c r="J48" i="20"/>
  <c r="J49" i="20"/>
  <c r="J46" i="20"/>
  <c r="J44" i="20"/>
  <c r="J42" i="20"/>
  <c r="J40" i="20"/>
  <c r="J38" i="20"/>
  <c r="J36" i="20"/>
  <c r="J34" i="20"/>
  <c r="J32" i="20"/>
  <c r="J91" i="20"/>
  <c r="J64" i="20"/>
  <c r="J59" i="20"/>
  <c r="J50" i="20"/>
  <c r="J66" i="20"/>
  <c r="J60" i="20"/>
  <c r="J54" i="20"/>
  <c r="J53" i="20"/>
  <c r="J52" i="20"/>
  <c r="J56" i="20"/>
  <c r="J55" i="20"/>
  <c r="J47" i="20"/>
  <c r="J41" i="20"/>
  <c r="J33" i="20"/>
  <c r="J24" i="20"/>
  <c r="J21" i="20"/>
  <c r="J19" i="20"/>
  <c r="J16" i="20"/>
  <c r="J14" i="20"/>
  <c r="J12" i="20"/>
  <c r="F11" i="20"/>
  <c r="J10" i="20"/>
  <c r="J8" i="20"/>
  <c r="J6" i="20"/>
  <c r="J43" i="20"/>
  <c r="J35" i="20"/>
  <c r="J23" i="20"/>
  <c r="J18" i="20"/>
  <c r="J31" i="20"/>
  <c r="J45" i="20"/>
  <c r="J37" i="20"/>
  <c r="J22" i="20"/>
  <c r="J27" i="20"/>
  <c r="J26" i="20"/>
  <c r="J17" i="20"/>
  <c r="J15" i="20"/>
  <c r="J13" i="20"/>
  <c r="J11" i="20"/>
  <c r="J9" i="20"/>
  <c r="J7" i="20"/>
  <c r="J30" i="20"/>
  <c r="J39" i="20"/>
  <c r="J29" i="20"/>
  <c r="J28" i="20"/>
  <c r="J25" i="20"/>
  <c r="J20" i="20"/>
  <c r="R59" i="21"/>
  <c r="F4" i="21"/>
  <c r="F106" i="20"/>
  <c r="F6" i="20"/>
  <c r="N79" i="21"/>
  <c r="D24" i="21"/>
  <c r="D10" i="21"/>
  <c r="N65" i="21"/>
  <c r="N74" i="21"/>
  <c r="D19" i="21"/>
  <c r="N78" i="21"/>
  <c r="D23" i="21"/>
  <c r="H11" i="16"/>
  <c r="N77" i="21"/>
  <c r="D22" i="21"/>
  <c r="D8" i="21"/>
  <c r="N63" i="21"/>
  <c r="N75" i="21"/>
  <c r="D20" i="21"/>
  <c r="D9" i="21"/>
  <c r="N64" i="21"/>
  <c r="H29" i="16"/>
  <c r="H22" i="16"/>
  <c r="D15" i="21"/>
  <c r="N70" i="21"/>
  <c r="P15" i="16"/>
  <c r="P23" i="16"/>
  <c r="P25" i="16"/>
  <c r="P8" i="16"/>
  <c r="P28" i="16"/>
  <c r="P13" i="16"/>
  <c r="P30" i="16"/>
  <c r="P7" i="16"/>
  <c r="P24" i="16"/>
  <c r="P18" i="16"/>
  <c r="P21" i="16"/>
  <c r="P27" i="16"/>
  <c r="P9" i="16"/>
  <c r="P17" i="16"/>
  <c r="P16" i="16"/>
  <c r="P19" i="16"/>
  <c r="P12" i="16"/>
  <c r="P14" i="16"/>
  <c r="P29" i="16"/>
  <c r="P32" i="16"/>
  <c r="P11" i="16"/>
  <c r="P26" i="16"/>
  <c r="P10" i="16"/>
  <c r="P20" i="16"/>
  <c r="P31" i="16"/>
  <c r="N60" i="21"/>
  <c r="D5" i="21"/>
  <c r="H30" i="16"/>
  <c r="H27" i="16"/>
  <c r="H19" i="16"/>
  <c r="H31" i="16"/>
  <c r="D18" i="21"/>
  <c r="N73" i="21"/>
  <c r="H24" i="16"/>
  <c r="H14" i="16"/>
  <c r="D11" i="21"/>
  <c r="N66" i="21"/>
  <c r="N69" i="21"/>
  <c r="D14" i="21"/>
  <c r="O12" i="16"/>
  <c r="N76" i="21"/>
  <c r="D21" i="21"/>
  <c r="H28" i="16"/>
  <c r="H7" i="16"/>
  <c r="H9" i="16"/>
  <c r="H12" i="16"/>
  <c r="N68" i="21"/>
  <c r="D13" i="21"/>
  <c r="D17" i="21"/>
  <c r="N72" i="21"/>
  <c r="H23" i="16"/>
  <c r="H8" i="16"/>
  <c r="H6" i="16"/>
  <c r="I12" i="16"/>
  <c r="P22" i="16"/>
  <c r="D12" i="21"/>
  <c r="N67" i="21"/>
  <c r="Y23" i="16"/>
  <c r="Y8" i="16"/>
  <c r="Y6" i="16"/>
  <c r="N61" i="21"/>
  <c r="D6" i="21"/>
  <c r="H17" i="16"/>
  <c r="D25" i="21"/>
  <c r="N80" i="21"/>
  <c r="H25" i="16"/>
  <c r="H13" i="16"/>
  <c r="H18" i="16"/>
  <c r="T21" i="16"/>
  <c r="T16" i="16"/>
  <c r="T10" i="16"/>
  <c r="T26" i="16"/>
  <c r="U24" i="16"/>
  <c r="U17" i="16"/>
  <c r="U14" i="16"/>
  <c r="V21" i="16"/>
  <c r="V16" i="16"/>
  <c r="V10" i="16"/>
  <c r="V26" i="16"/>
  <c r="W24" i="16"/>
  <c r="W17" i="16"/>
  <c r="W14" i="16"/>
  <c r="H32" i="16"/>
  <c r="H20" i="16"/>
  <c r="H15" i="16"/>
  <c r="T30" i="16"/>
  <c r="T27" i="16"/>
  <c r="T19" i="16"/>
  <c r="T31" i="16"/>
  <c r="U25" i="16"/>
  <c r="U13" i="16"/>
  <c r="U18" i="16"/>
  <c r="V30" i="16"/>
  <c r="V27" i="16"/>
  <c r="V19" i="16"/>
  <c r="V31" i="16"/>
  <c r="W25" i="16"/>
  <c r="W13" i="16"/>
  <c r="W18" i="16"/>
  <c r="X30" i="16"/>
  <c r="X27" i="16"/>
  <c r="X19" i="16"/>
  <c r="X31" i="16"/>
  <c r="Y25" i="16"/>
  <c r="Y13" i="16"/>
  <c r="Y18" i="16"/>
  <c r="H21" i="16"/>
  <c r="H16" i="16"/>
  <c r="H10" i="16"/>
  <c r="H26" i="16"/>
  <c r="T23" i="16"/>
  <c r="T8" i="16"/>
  <c r="T6" i="16"/>
  <c r="U29" i="16"/>
  <c r="U11" i="16"/>
  <c r="U22" i="16"/>
  <c r="V23" i="16"/>
  <c r="V8" i="16"/>
  <c r="V6" i="16"/>
  <c r="X21" i="16"/>
  <c r="X16" i="16"/>
  <c r="X10" i="16"/>
  <c r="X26" i="16"/>
  <c r="Y24" i="16"/>
  <c r="Y17" i="16"/>
  <c r="Y14" i="16"/>
  <c r="T28" i="16"/>
  <c r="T7" i="16"/>
  <c r="T9" i="16"/>
  <c r="T12" i="16"/>
  <c r="U32" i="16"/>
  <c r="U20" i="16"/>
  <c r="U15" i="16"/>
  <c r="V28" i="16"/>
  <c r="V7" i="16"/>
  <c r="V9" i="16"/>
  <c r="V12" i="16"/>
  <c r="W32" i="16"/>
  <c r="W20" i="16"/>
  <c r="W15" i="16"/>
  <c r="X28" i="16"/>
  <c r="X7" i="16"/>
  <c r="X9" i="16"/>
  <c r="X12" i="16"/>
  <c r="Y32" i="16"/>
  <c r="Y20" i="16"/>
  <c r="Y15" i="16"/>
  <c r="W29" i="16"/>
  <c r="W11" i="16"/>
  <c r="W22" i="16"/>
  <c r="X23" i="16"/>
  <c r="X8" i="16"/>
  <c r="X6" i="16"/>
  <c r="Y29" i="16"/>
  <c r="Y11" i="16"/>
  <c r="Y22" i="16"/>
  <c r="T24" i="16"/>
  <c r="T17" i="16"/>
  <c r="T14" i="16"/>
  <c r="U21" i="16"/>
  <c r="U16" i="16"/>
  <c r="U10" i="16"/>
  <c r="U26" i="16"/>
  <c r="V24" i="16"/>
  <c r="V17" i="16"/>
  <c r="V14" i="16"/>
  <c r="W21" i="16"/>
  <c r="W16" i="16"/>
  <c r="W10" i="16"/>
  <c r="W26" i="16"/>
  <c r="X24" i="16"/>
  <c r="X17" i="16"/>
  <c r="X14" i="16"/>
  <c r="Y21" i="16"/>
  <c r="Y16" i="16"/>
  <c r="Y10" i="16"/>
  <c r="Y26" i="16"/>
  <c r="T25" i="16"/>
  <c r="T13" i="16"/>
  <c r="T18" i="16"/>
  <c r="U30" i="16"/>
  <c r="U27" i="16"/>
  <c r="U19" i="16"/>
  <c r="U31" i="16"/>
  <c r="V25" i="16"/>
  <c r="V13" i="16"/>
  <c r="V18" i="16"/>
  <c r="W30" i="16"/>
  <c r="W27" i="16"/>
  <c r="W19" i="16"/>
  <c r="W31" i="16"/>
  <c r="X25" i="16"/>
  <c r="X13" i="16"/>
  <c r="X18" i="16"/>
  <c r="Y30" i="16"/>
  <c r="Y27" i="16"/>
  <c r="Y19" i="16"/>
  <c r="Y31" i="16"/>
  <c r="T32" i="16"/>
  <c r="T20" i="16"/>
  <c r="T15" i="16"/>
  <c r="U28" i="16"/>
  <c r="U7" i="16"/>
  <c r="U9" i="16"/>
  <c r="U12" i="16"/>
  <c r="V32" i="16"/>
  <c r="V20" i="16"/>
  <c r="V15" i="16"/>
  <c r="W28" i="16"/>
  <c r="W7" i="16"/>
  <c r="W9" i="16"/>
  <c r="W12" i="16"/>
  <c r="X32" i="16"/>
  <c r="X20" i="16"/>
  <c r="X15" i="16"/>
  <c r="Y28" i="16"/>
  <c r="Y7" i="16"/>
  <c r="Y9" i="16"/>
  <c r="Y12" i="16"/>
  <c r="D4" i="21"/>
  <c r="N59" i="21"/>
  <c r="E33" i="15"/>
  <c r="E35" i="15" s="1"/>
  <c r="F33" i="15"/>
  <c r="F35" i="15" s="1"/>
  <c r="D33" i="15"/>
  <c r="D35" i="15" s="1"/>
  <c r="AB33" i="15" s="1"/>
  <c r="C8" i="21" s="1"/>
  <c r="AL32" i="15"/>
  <c r="S21" i="16" s="1"/>
  <c r="AL31" i="15"/>
  <c r="S30" i="16" s="1"/>
  <c r="AL30" i="15"/>
  <c r="S28" i="16" s="1"/>
  <c r="AL29" i="15"/>
  <c r="S23" i="16" s="1"/>
  <c r="AL28" i="15"/>
  <c r="S24" i="16" s="1"/>
  <c r="AL27" i="15"/>
  <c r="S25" i="16" s="1"/>
  <c r="AL26" i="15"/>
  <c r="S32" i="16" s="1"/>
  <c r="AL25" i="15"/>
  <c r="S29" i="16" s="1"/>
  <c r="AL24" i="15"/>
  <c r="S16" i="16" s="1"/>
  <c r="AL23" i="15"/>
  <c r="S27" i="16" s="1"/>
  <c r="AL22" i="15"/>
  <c r="S7" i="16" s="1"/>
  <c r="AL21" i="15"/>
  <c r="S8" i="16" s="1"/>
  <c r="AL20" i="15"/>
  <c r="S17" i="16" s="1"/>
  <c r="AL19" i="15"/>
  <c r="S13" i="16" s="1"/>
  <c r="AL18" i="15"/>
  <c r="S20" i="16" s="1"/>
  <c r="AL17" i="15"/>
  <c r="S11" i="16" s="1"/>
  <c r="AL16" i="15"/>
  <c r="S10" i="16" s="1"/>
  <c r="AL15" i="15"/>
  <c r="S19" i="16" s="1"/>
  <c r="AL14" i="15"/>
  <c r="S9" i="16" s="1"/>
  <c r="AL13" i="15"/>
  <c r="S6" i="16" s="1"/>
  <c r="AL12" i="15"/>
  <c r="S14" i="16" s="1"/>
  <c r="S18" i="16"/>
  <c r="AL10" i="15"/>
  <c r="S15" i="16" s="1"/>
  <c r="AL9" i="15"/>
  <c r="S22" i="16" s="1"/>
  <c r="AL8" i="15"/>
  <c r="S26" i="16" s="1"/>
  <c r="AL7" i="15"/>
  <c r="S31" i="16" s="1"/>
  <c r="AL6" i="15"/>
  <c r="S12" i="16" s="1"/>
  <c r="AK6" i="15"/>
  <c r="R12" i="16" s="1"/>
  <c r="AK7" i="15"/>
  <c r="R31" i="16" s="1"/>
  <c r="AK8" i="15"/>
  <c r="R26" i="16" s="1"/>
  <c r="AK9" i="15"/>
  <c r="R22" i="16" s="1"/>
  <c r="AK10" i="15"/>
  <c r="R15" i="16" s="1"/>
  <c r="AK11" i="15"/>
  <c r="R18" i="16" s="1"/>
  <c r="AK12" i="15"/>
  <c r="R14" i="16" s="1"/>
  <c r="AK13" i="15"/>
  <c r="R6" i="16" s="1"/>
  <c r="AK14" i="15"/>
  <c r="R9" i="16" s="1"/>
  <c r="AK15" i="15"/>
  <c r="R19" i="16" s="1"/>
  <c r="AK16" i="15"/>
  <c r="R10" i="16" s="1"/>
  <c r="AK17" i="15"/>
  <c r="R11" i="16" s="1"/>
  <c r="AK18" i="15"/>
  <c r="R20" i="16" s="1"/>
  <c r="AK19" i="15"/>
  <c r="R13" i="16" s="1"/>
  <c r="AK20" i="15"/>
  <c r="R17" i="16" s="1"/>
  <c r="AK21" i="15"/>
  <c r="R8" i="16" s="1"/>
  <c r="AK22" i="15"/>
  <c r="R7" i="16" s="1"/>
  <c r="AK23" i="15"/>
  <c r="R27" i="16" s="1"/>
  <c r="AK24" i="15"/>
  <c r="R16" i="16" s="1"/>
  <c r="AK25" i="15"/>
  <c r="R29" i="16" s="1"/>
  <c r="AK26" i="15"/>
  <c r="R32" i="16" s="1"/>
  <c r="AK27" i="15"/>
  <c r="R25" i="16" s="1"/>
  <c r="AK28" i="15"/>
  <c r="R24" i="16" s="1"/>
  <c r="AK29" i="15"/>
  <c r="R23" i="16" s="1"/>
  <c r="AK30" i="15"/>
  <c r="R28" i="16" s="1"/>
  <c r="AK31" i="15"/>
  <c r="R30" i="16" s="1"/>
  <c r="AK32" i="15"/>
  <c r="R21" i="16" s="1"/>
  <c r="AJ6" i="15"/>
  <c r="Q12" i="16" s="1"/>
  <c r="AJ7" i="15"/>
  <c r="Q31" i="16" s="1"/>
  <c r="AJ8" i="15"/>
  <c r="Q26" i="16" s="1"/>
  <c r="AJ9" i="15"/>
  <c r="Q22" i="16" s="1"/>
  <c r="AJ10" i="15"/>
  <c r="Q15" i="16" s="1"/>
  <c r="AJ11" i="15"/>
  <c r="Q18" i="16" s="1"/>
  <c r="AJ12" i="15"/>
  <c r="Q14" i="16" s="1"/>
  <c r="AJ13" i="15"/>
  <c r="Q6" i="16" s="1"/>
  <c r="AJ14" i="15"/>
  <c r="Q9" i="16" s="1"/>
  <c r="AJ15" i="15"/>
  <c r="Q19" i="16" s="1"/>
  <c r="AJ16" i="15"/>
  <c r="Q10" i="16" s="1"/>
  <c r="AJ17" i="15"/>
  <c r="Q11" i="16" s="1"/>
  <c r="AJ18" i="15"/>
  <c r="Q20" i="16" s="1"/>
  <c r="AJ19" i="15"/>
  <c r="Q13" i="16" s="1"/>
  <c r="AJ20" i="15"/>
  <c r="Q17" i="16" s="1"/>
  <c r="AJ21" i="15"/>
  <c r="Q8" i="16" s="1"/>
  <c r="AJ22" i="15"/>
  <c r="Q7" i="16" s="1"/>
  <c r="AJ23" i="15"/>
  <c r="Q27" i="16" s="1"/>
  <c r="AJ24" i="15"/>
  <c r="Q16" i="16" s="1"/>
  <c r="AJ25" i="15"/>
  <c r="Q29" i="16" s="1"/>
  <c r="AJ26" i="15"/>
  <c r="Q32" i="16" s="1"/>
  <c r="AJ27" i="15"/>
  <c r="Q25" i="16" s="1"/>
  <c r="AJ28" i="15"/>
  <c r="Q24" i="16" s="1"/>
  <c r="AJ29" i="15"/>
  <c r="Q23" i="16" s="1"/>
  <c r="AJ30" i="15"/>
  <c r="Q28" i="16" s="1"/>
  <c r="AJ31" i="15"/>
  <c r="Q30" i="16" s="1"/>
  <c r="AJ32" i="15"/>
  <c r="Q21" i="16" s="1"/>
  <c r="AH7" i="15"/>
  <c r="O31" i="16" s="1"/>
  <c r="AH8" i="15"/>
  <c r="O26" i="16" s="1"/>
  <c r="AH9" i="15"/>
  <c r="O22" i="16" s="1"/>
  <c r="AH10" i="15"/>
  <c r="O15" i="16" s="1"/>
  <c r="AH11" i="15"/>
  <c r="O18" i="16" s="1"/>
  <c r="AH12" i="15"/>
  <c r="O14" i="16" s="1"/>
  <c r="AH13" i="15"/>
  <c r="O6" i="16" s="1"/>
  <c r="AH14" i="15"/>
  <c r="O9" i="16" s="1"/>
  <c r="AH15" i="15"/>
  <c r="O19" i="16" s="1"/>
  <c r="AH16" i="15"/>
  <c r="O10" i="16" s="1"/>
  <c r="AH17" i="15"/>
  <c r="O11" i="16" s="1"/>
  <c r="AH18" i="15"/>
  <c r="O20" i="16" s="1"/>
  <c r="AH19" i="15"/>
  <c r="O13" i="16" s="1"/>
  <c r="AH20" i="15"/>
  <c r="O17" i="16" s="1"/>
  <c r="AH21" i="15"/>
  <c r="O8" i="16" s="1"/>
  <c r="AH22" i="15"/>
  <c r="O7" i="16" s="1"/>
  <c r="AH23" i="15"/>
  <c r="O27" i="16" s="1"/>
  <c r="AH24" i="15"/>
  <c r="O16" i="16" s="1"/>
  <c r="AH25" i="15"/>
  <c r="O29" i="16" s="1"/>
  <c r="AH26" i="15"/>
  <c r="O32" i="16" s="1"/>
  <c r="AH27" i="15"/>
  <c r="O25" i="16" s="1"/>
  <c r="AH28" i="15"/>
  <c r="O24" i="16" s="1"/>
  <c r="AH29" i="15"/>
  <c r="O23" i="16" s="1"/>
  <c r="AH30" i="15"/>
  <c r="O28" i="16" s="1"/>
  <c r="AH31" i="15"/>
  <c r="O30" i="16" s="1"/>
  <c r="AH32" i="15"/>
  <c r="O21" i="16" s="1"/>
  <c r="AG6" i="15"/>
  <c r="N12" i="16" s="1"/>
  <c r="AG7" i="15"/>
  <c r="N31" i="16" s="1"/>
  <c r="AG8" i="15"/>
  <c r="N26" i="16" s="1"/>
  <c r="AG9" i="15"/>
  <c r="N22" i="16" s="1"/>
  <c r="AG10" i="15"/>
  <c r="N15" i="16" s="1"/>
  <c r="AG11" i="15"/>
  <c r="N18" i="16" s="1"/>
  <c r="AG12" i="15"/>
  <c r="N14" i="16" s="1"/>
  <c r="AG13" i="15"/>
  <c r="N6" i="16" s="1"/>
  <c r="AG14" i="15"/>
  <c r="N9" i="16" s="1"/>
  <c r="AG15" i="15"/>
  <c r="N19" i="16" s="1"/>
  <c r="AG16" i="15"/>
  <c r="N10" i="16" s="1"/>
  <c r="AG17" i="15"/>
  <c r="N11" i="16" s="1"/>
  <c r="AG18" i="15"/>
  <c r="N20" i="16" s="1"/>
  <c r="AG19" i="15"/>
  <c r="N13" i="16" s="1"/>
  <c r="AG20" i="15"/>
  <c r="N17" i="16" s="1"/>
  <c r="AG21" i="15"/>
  <c r="N8" i="16" s="1"/>
  <c r="AG22" i="15"/>
  <c r="N7" i="16" s="1"/>
  <c r="AG23" i="15"/>
  <c r="N27" i="16" s="1"/>
  <c r="AG24" i="15"/>
  <c r="N16" i="16" s="1"/>
  <c r="AG25" i="15"/>
  <c r="N29" i="16" s="1"/>
  <c r="AG26" i="15"/>
  <c r="N32" i="16" s="1"/>
  <c r="AG27" i="15"/>
  <c r="N25" i="16" s="1"/>
  <c r="AG28" i="15"/>
  <c r="N24" i="16" s="1"/>
  <c r="AG29" i="15"/>
  <c r="N23" i="16" s="1"/>
  <c r="AG30" i="15"/>
  <c r="N28" i="16" s="1"/>
  <c r="AG31" i="15"/>
  <c r="N30" i="16" s="1"/>
  <c r="AG32" i="15"/>
  <c r="N21" i="16" s="1"/>
  <c r="AF6" i="15"/>
  <c r="M12" i="16" s="1"/>
  <c r="AF7" i="15"/>
  <c r="M31" i="16" s="1"/>
  <c r="AF8" i="15"/>
  <c r="M26" i="16" s="1"/>
  <c r="AF9" i="15"/>
  <c r="M22" i="16" s="1"/>
  <c r="AF10" i="15"/>
  <c r="M15" i="16" s="1"/>
  <c r="AF11" i="15"/>
  <c r="M18" i="16" s="1"/>
  <c r="AF12" i="15"/>
  <c r="M14" i="16" s="1"/>
  <c r="AF13" i="15"/>
  <c r="M6" i="16" s="1"/>
  <c r="AF14" i="15"/>
  <c r="M9" i="16" s="1"/>
  <c r="AF15" i="15"/>
  <c r="M19" i="16" s="1"/>
  <c r="AF16" i="15"/>
  <c r="M10" i="16" s="1"/>
  <c r="AF17" i="15"/>
  <c r="M11" i="16" s="1"/>
  <c r="AF18" i="15"/>
  <c r="M20" i="16" s="1"/>
  <c r="AF19" i="15"/>
  <c r="M13" i="16" s="1"/>
  <c r="AF20" i="15"/>
  <c r="M17" i="16" s="1"/>
  <c r="AF21" i="15"/>
  <c r="M8" i="16" s="1"/>
  <c r="AF22" i="15"/>
  <c r="M7" i="16" s="1"/>
  <c r="AF23" i="15"/>
  <c r="M27" i="16" s="1"/>
  <c r="AF24" i="15"/>
  <c r="M16" i="16" s="1"/>
  <c r="AF25" i="15"/>
  <c r="M29" i="16" s="1"/>
  <c r="AF26" i="15"/>
  <c r="M32" i="16" s="1"/>
  <c r="AF27" i="15"/>
  <c r="M25" i="16" s="1"/>
  <c r="AF28" i="15"/>
  <c r="M24" i="16" s="1"/>
  <c r="AF29" i="15"/>
  <c r="M23" i="16" s="1"/>
  <c r="AF30" i="15"/>
  <c r="M28" i="16" s="1"/>
  <c r="AF31" i="15"/>
  <c r="M30" i="16" s="1"/>
  <c r="AF32" i="15"/>
  <c r="M21" i="16" s="1"/>
  <c r="AE6" i="15"/>
  <c r="L12" i="16" s="1"/>
  <c r="AE7" i="15"/>
  <c r="L31" i="16" s="1"/>
  <c r="AE8" i="15"/>
  <c r="L26" i="16" s="1"/>
  <c r="AE9" i="15"/>
  <c r="L22" i="16" s="1"/>
  <c r="AE10" i="15"/>
  <c r="L15" i="16" s="1"/>
  <c r="AE11" i="15"/>
  <c r="L18" i="16" s="1"/>
  <c r="AE12" i="15"/>
  <c r="L14" i="16" s="1"/>
  <c r="AE13" i="15"/>
  <c r="L6" i="16" s="1"/>
  <c r="AE14" i="15"/>
  <c r="L9" i="16" s="1"/>
  <c r="AE15" i="15"/>
  <c r="L19" i="16" s="1"/>
  <c r="AE16" i="15"/>
  <c r="L10" i="16" s="1"/>
  <c r="AE17" i="15"/>
  <c r="L11" i="16" s="1"/>
  <c r="AE18" i="15"/>
  <c r="L20" i="16" s="1"/>
  <c r="AE19" i="15"/>
  <c r="L13" i="16" s="1"/>
  <c r="AE20" i="15"/>
  <c r="L17" i="16" s="1"/>
  <c r="AE21" i="15"/>
  <c r="L8" i="16" s="1"/>
  <c r="AE22" i="15"/>
  <c r="L7" i="16" s="1"/>
  <c r="AE23" i="15"/>
  <c r="L27" i="16" s="1"/>
  <c r="AE24" i="15"/>
  <c r="L16" i="16" s="1"/>
  <c r="AE25" i="15"/>
  <c r="L29" i="16" s="1"/>
  <c r="AE26" i="15"/>
  <c r="L32" i="16" s="1"/>
  <c r="AE27" i="15"/>
  <c r="L25" i="16" s="1"/>
  <c r="AE28" i="15"/>
  <c r="L24" i="16" s="1"/>
  <c r="AE29" i="15"/>
  <c r="L23" i="16" s="1"/>
  <c r="AE30" i="15"/>
  <c r="L28" i="16" s="1"/>
  <c r="AE31" i="15"/>
  <c r="L30" i="16" s="1"/>
  <c r="AE32" i="15"/>
  <c r="L21" i="16" s="1"/>
  <c r="AD6" i="15"/>
  <c r="K12" i="16" s="1"/>
  <c r="AD7" i="15"/>
  <c r="K31" i="16" s="1"/>
  <c r="AD8" i="15"/>
  <c r="K26" i="16" s="1"/>
  <c r="AD9" i="15"/>
  <c r="K22" i="16" s="1"/>
  <c r="AD10" i="15"/>
  <c r="K15" i="16" s="1"/>
  <c r="AD11" i="15"/>
  <c r="K18" i="16" s="1"/>
  <c r="AD12" i="15"/>
  <c r="K14" i="16" s="1"/>
  <c r="AD13" i="15"/>
  <c r="K6" i="16" s="1"/>
  <c r="AD14" i="15"/>
  <c r="K9" i="16" s="1"/>
  <c r="AD15" i="15"/>
  <c r="K19" i="16" s="1"/>
  <c r="AD16" i="15"/>
  <c r="K10" i="16" s="1"/>
  <c r="AD17" i="15"/>
  <c r="K11" i="16" s="1"/>
  <c r="AD18" i="15"/>
  <c r="K20" i="16" s="1"/>
  <c r="AD19" i="15"/>
  <c r="K13" i="16" s="1"/>
  <c r="AD20" i="15"/>
  <c r="K17" i="16" s="1"/>
  <c r="AD21" i="15"/>
  <c r="K8" i="16" s="1"/>
  <c r="AD22" i="15"/>
  <c r="K7" i="16" s="1"/>
  <c r="AD23" i="15"/>
  <c r="K27" i="16" s="1"/>
  <c r="AD24" i="15"/>
  <c r="K16" i="16" s="1"/>
  <c r="AD25" i="15"/>
  <c r="K29" i="16" s="1"/>
  <c r="AD26" i="15"/>
  <c r="K32" i="16" s="1"/>
  <c r="AD27" i="15"/>
  <c r="K25" i="16" s="1"/>
  <c r="AD28" i="15"/>
  <c r="K24" i="16" s="1"/>
  <c r="AD29" i="15"/>
  <c r="K23" i="16" s="1"/>
  <c r="AD30" i="15"/>
  <c r="K28" i="16" s="1"/>
  <c r="AD31" i="15"/>
  <c r="K30" i="16" s="1"/>
  <c r="AD32" i="15"/>
  <c r="K21" i="16" s="1"/>
  <c r="AC6" i="15"/>
  <c r="J12" i="16" s="1"/>
  <c r="AC7" i="15"/>
  <c r="J31" i="16" s="1"/>
  <c r="AC8" i="15"/>
  <c r="J26" i="16" s="1"/>
  <c r="AC9" i="15"/>
  <c r="J22" i="16" s="1"/>
  <c r="AC10" i="15"/>
  <c r="J15" i="16" s="1"/>
  <c r="AC11" i="15"/>
  <c r="J18" i="16" s="1"/>
  <c r="AC12" i="15"/>
  <c r="J14" i="16" s="1"/>
  <c r="AC13" i="15"/>
  <c r="J6" i="16" s="1"/>
  <c r="AC14" i="15"/>
  <c r="J9" i="16" s="1"/>
  <c r="AC15" i="15"/>
  <c r="J19" i="16" s="1"/>
  <c r="AC16" i="15"/>
  <c r="J10" i="16" s="1"/>
  <c r="AC17" i="15"/>
  <c r="J11" i="16" s="1"/>
  <c r="AC18" i="15"/>
  <c r="J20" i="16" s="1"/>
  <c r="AC19" i="15"/>
  <c r="J13" i="16" s="1"/>
  <c r="AC20" i="15"/>
  <c r="J17" i="16" s="1"/>
  <c r="AC21" i="15"/>
  <c r="J8" i="16" s="1"/>
  <c r="AC22" i="15"/>
  <c r="J7" i="16" s="1"/>
  <c r="AC23" i="15"/>
  <c r="J27" i="16" s="1"/>
  <c r="AC24" i="15"/>
  <c r="J16" i="16" s="1"/>
  <c r="AC25" i="15"/>
  <c r="J29" i="16" s="1"/>
  <c r="AC26" i="15"/>
  <c r="J32" i="16" s="1"/>
  <c r="AC27" i="15"/>
  <c r="J25" i="16" s="1"/>
  <c r="AC28" i="15"/>
  <c r="J24" i="16" s="1"/>
  <c r="AC29" i="15"/>
  <c r="J23" i="16" s="1"/>
  <c r="AC30" i="15"/>
  <c r="J28" i="16" s="1"/>
  <c r="AC31" i="15"/>
  <c r="J30" i="16" s="1"/>
  <c r="AC32" i="15"/>
  <c r="J21" i="16" s="1"/>
  <c r="AB7" i="15"/>
  <c r="I31" i="16" s="1"/>
  <c r="AB8" i="15"/>
  <c r="I26" i="16" s="1"/>
  <c r="AB9" i="15"/>
  <c r="I22" i="16" s="1"/>
  <c r="AB10" i="15"/>
  <c r="I15" i="16" s="1"/>
  <c r="AB11" i="15"/>
  <c r="I18" i="16" s="1"/>
  <c r="AB12" i="15"/>
  <c r="I14" i="16" s="1"/>
  <c r="AB13" i="15"/>
  <c r="I6" i="16" s="1"/>
  <c r="AB14" i="15"/>
  <c r="I9" i="16" s="1"/>
  <c r="AB15" i="15"/>
  <c r="I19" i="16" s="1"/>
  <c r="AB16" i="15"/>
  <c r="I10" i="16" s="1"/>
  <c r="AB17" i="15"/>
  <c r="I11" i="16" s="1"/>
  <c r="AB18" i="15"/>
  <c r="I20" i="16" s="1"/>
  <c r="AB19" i="15"/>
  <c r="I13" i="16" s="1"/>
  <c r="AB20" i="15"/>
  <c r="I17" i="16" s="1"/>
  <c r="AB21" i="15"/>
  <c r="I8" i="16" s="1"/>
  <c r="AB22" i="15"/>
  <c r="I7" i="16" s="1"/>
  <c r="AB23" i="15"/>
  <c r="I27" i="16" s="1"/>
  <c r="AB24" i="15"/>
  <c r="I16" i="16" s="1"/>
  <c r="AB25" i="15"/>
  <c r="I29" i="16" s="1"/>
  <c r="AB26" i="15"/>
  <c r="I32" i="16" s="1"/>
  <c r="AB27" i="15"/>
  <c r="I25" i="16" s="1"/>
  <c r="AB28" i="15"/>
  <c r="I24" i="16" s="1"/>
  <c r="AB29" i="15"/>
  <c r="I23" i="16" s="1"/>
  <c r="AB30" i="15"/>
  <c r="I28" i="16" s="1"/>
  <c r="AB31" i="15"/>
  <c r="I30" i="16" s="1"/>
  <c r="AB32" i="15"/>
  <c r="I21" i="16" s="1"/>
  <c r="Z7" i="15"/>
  <c r="G31" i="16" s="1"/>
  <c r="Z8" i="15"/>
  <c r="G26" i="16" s="1"/>
  <c r="Z9" i="15"/>
  <c r="G22" i="16" s="1"/>
  <c r="Z10" i="15"/>
  <c r="G15" i="16" s="1"/>
  <c r="Z11" i="15"/>
  <c r="G18" i="16" s="1"/>
  <c r="Z12" i="15"/>
  <c r="G14" i="16" s="1"/>
  <c r="Z13" i="15"/>
  <c r="G6" i="16" s="1"/>
  <c r="Z14" i="15"/>
  <c r="G9" i="16" s="1"/>
  <c r="Z15" i="15"/>
  <c r="G19" i="16" s="1"/>
  <c r="Z16" i="15"/>
  <c r="G10" i="16" s="1"/>
  <c r="Z17" i="15"/>
  <c r="G11" i="16" s="1"/>
  <c r="Z18" i="15"/>
  <c r="G20" i="16" s="1"/>
  <c r="Z19" i="15"/>
  <c r="G13" i="16" s="1"/>
  <c r="Z20" i="15"/>
  <c r="G17" i="16" s="1"/>
  <c r="Z21" i="15"/>
  <c r="G8" i="16" s="1"/>
  <c r="Z22" i="15"/>
  <c r="G7" i="16" s="1"/>
  <c r="Z23" i="15"/>
  <c r="G27" i="16" s="1"/>
  <c r="Z24" i="15"/>
  <c r="G16" i="16" s="1"/>
  <c r="Z25" i="15"/>
  <c r="G29" i="16" s="1"/>
  <c r="Z26" i="15"/>
  <c r="G32" i="16" s="1"/>
  <c r="Z27" i="15"/>
  <c r="G25" i="16" s="1"/>
  <c r="Z28" i="15"/>
  <c r="G24" i="16" s="1"/>
  <c r="Z29" i="15"/>
  <c r="G23" i="16" s="1"/>
  <c r="Z30" i="15"/>
  <c r="G28" i="16" s="1"/>
  <c r="Z31" i="15"/>
  <c r="G30" i="16" s="1"/>
  <c r="Z32" i="15"/>
  <c r="G21" i="16" s="1"/>
  <c r="Y7" i="15"/>
  <c r="F31" i="16" s="1"/>
  <c r="Y8" i="15"/>
  <c r="F26" i="16" s="1"/>
  <c r="Y9" i="15"/>
  <c r="F22" i="16" s="1"/>
  <c r="Y10" i="15"/>
  <c r="F15" i="16" s="1"/>
  <c r="Y11" i="15"/>
  <c r="F18" i="16" s="1"/>
  <c r="Y12" i="15"/>
  <c r="F14" i="16" s="1"/>
  <c r="Y13" i="15"/>
  <c r="F6" i="16" s="1"/>
  <c r="Y14" i="15"/>
  <c r="F9" i="16" s="1"/>
  <c r="Y15" i="15"/>
  <c r="F19" i="16" s="1"/>
  <c r="Y16" i="15"/>
  <c r="F10" i="16" s="1"/>
  <c r="Y17" i="15"/>
  <c r="F11" i="16" s="1"/>
  <c r="Y18" i="15"/>
  <c r="F20" i="16" s="1"/>
  <c r="Y19" i="15"/>
  <c r="F13" i="16" s="1"/>
  <c r="Y20" i="15"/>
  <c r="F17" i="16" s="1"/>
  <c r="Y21" i="15"/>
  <c r="F8" i="16" s="1"/>
  <c r="Y22" i="15"/>
  <c r="F7" i="16" s="1"/>
  <c r="Y23" i="15"/>
  <c r="F27" i="16" s="1"/>
  <c r="Y24" i="15"/>
  <c r="F16" i="16" s="1"/>
  <c r="Y25" i="15"/>
  <c r="F29" i="16" s="1"/>
  <c r="Y26" i="15"/>
  <c r="F32" i="16" s="1"/>
  <c r="Y27" i="15"/>
  <c r="F25" i="16" s="1"/>
  <c r="Y28" i="15"/>
  <c r="F24" i="16" s="1"/>
  <c r="Y29" i="15"/>
  <c r="F23" i="16" s="1"/>
  <c r="Y30" i="15"/>
  <c r="F28" i="16" s="1"/>
  <c r="Y31" i="15"/>
  <c r="F30" i="16" s="1"/>
  <c r="Y32" i="15"/>
  <c r="F21" i="16" s="1"/>
  <c r="Z33" i="15" l="1"/>
  <c r="C5" i="21" s="1"/>
  <c r="Y33" i="15"/>
  <c r="C4" i="21" s="1"/>
  <c r="G9" i="21"/>
  <c r="H9" i="21"/>
  <c r="H11" i="21"/>
  <c r="G11" i="21"/>
  <c r="H13" i="21"/>
  <c r="G13" i="21"/>
  <c r="G10" i="21"/>
  <c r="H10" i="21"/>
  <c r="G12" i="21"/>
  <c r="H12" i="21"/>
  <c r="H14" i="21"/>
  <c r="G14" i="21"/>
  <c r="H15" i="21"/>
  <c r="G15" i="21"/>
  <c r="G8" i="21"/>
  <c r="H8" i="21"/>
  <c r="G33" i="16"/>
  <c r="AH33" i="15"/>
  <c r="C14" i="21" s="1"/>
  <c r="AG33" i="15"/>
  <c r="D12" i="16"/>
  <c r="D32" i="16"/>
  <c r="D20" i="16"/>
  <c r="D15" i="16"/>
  <c r="D29" i="16"/>
  <c r="D11" i="16"/>
  <c r="D22" i="16"/>
  <c r="D13" i="16"/>
  <c r="AI33" i="15"/>
  <c r="D21" i="16"/>
  <c r="D16" i="16"/>
  <c r="D10" i="16"/>
  <c r="D26" i="16"/>
  <c r="D25" i="16"/>
  <c r="D30" i="16"/>
  <c r="D27" i="16"/>
  <c r="D19" i="16"/>
  <c r="D31" i="16"/>
  <c r="D28" i="16"/>
  <c r="D7" i="16"/>
  <c r="D9" i="16"/>
  <c r="D23" i="16"/>
  <c r="D8" i="16"/>
  <c r="D6" i="16"/>
  <c r="D24" i="16"/>
  <c r="D17" i="16"/>
  <c r="D14" i="16"/>
  <c r="D18" i="16"/>
  <c r="AQ33" i="15"/>
  <c r="AL33" i="15"/>
  <c r="O33" i="16"/>
  <c r="I33" i="16"/>
  <c r="AJ33" i="15"/>
  <c r="AM33" i="15"/>
  <c r="AR33" i="15"/>
  <c r="AD33" i="15"/>
  <c r="AC33" i="15"/>
  <c r="AN33" i="15"/>
  <c r="AF33" i="15"/>
  <c r="AK33" i="15"/>
  <c r="AE33" i="15"/>
  <c r="AP33" i="15"/>
  <c r="AA33" i="15"/>
  <c r="AO33" i="15"/>
  <c r="G20" i="21"/>
  <c r="H21" i="21"/>
  <c r="H6" i="21"/>
  <c r="H24" i="21"/>
  <c r="G6" i="21"/>
  <c r="G22" i="21"/>
  <c r="J19" i="21"/>
  <c r="I19" i="21"/>
  <c r="I24" i="21"/>
  <c r="J24" i="21"/>
  <c r="J25" i="21"/>
  <c r="I25" i="21"/>
  <c r="J17" i="21"/>
  <c r="I17" i="21"/>
  <c r="J18" i="21"/>
  <c r="I18" i="21"/>
  <c r="I20" i="21"/>
  <c r="J20" i="21"/>
  <c r="J22" i="21"/>
  <c r="I22" i="21"/>
  <c r="J23" i="21"/>
  <c r="I23" i="21"/>
  <c r="I5" i="21"/>
  <c r="J5" i="21"/>
  <c r="J21" i="21"/>
  <c r="I21" i="21"/>
  <c r="I6" i="21"/>
  <c r="J6" i="21"/>
  <c r="I4" i="21"/>
  <c r="J4" i="21"/>
  <c r="H23" i="21"/>
  <c r="H25" i="21"/>
  <c r="G25" i="21"/>
  <c r="G24" i="21"/>
  <c r="G23" i="21"/>
  <c r="H22" i="21"/>
  <c r="G21" i="21"/>
  <c r="H20" i="21"/>
  <c r="G18" i="21"/>
  <c r="H18" i="21"/>
  <c r="G19" i="21"/>
  <c r="H19" i="21"/>
  <c r="H17" i="21"/>
  <c r="G17" i="21"/>
  <c r="H5" i="21"/>
  <c r="H4" i="21"/>
  <c r="G5" i="21"/>
  <c r="G4" i="21"/>
  <c r="F33" i="16" l="1"/>
  <c r="C12" i="21"/>
  <c r="M33" i="16"/>
  <c r="C19" i="21"/>
  <c r="S33" i="16"/>
  <c r="C22" i="21"/>
  <c r="V33" i="16"/>
  <c r="C10" i="21"/>
  <c r="K33" i="16"/>
  <c r="C24" i="21"/>
  <c r="X33" i="16"/>
  <c r="C9" i="21"/>
  <c r="J33" i="16"/>
  <c r="C15" i="21"/>
  <c r="P33" i="16"/>
  <c r="C6" i="21"/>
  <c r="H33" i="16"/>
  <c r="C25" i="21"/>
  <c r="Y33" i="16"/>
  <c r="C23" i="21"/>
  <c r="W33" i="16"/>
  <c r="C11" i="21"/>
  <c r="L33" i="16"/>
  <c r="C20" i="21"/>
  <c r="T33" i="16"/>
  <c r="C18" i="21"/>
  <c r="R33" i="16"/>
  <c r="C17" i="21"/>
  <c r="Q33" i="16"/>
  <c r="C21" i="21"/>
  <c r="U33" i="16"/>
  <c r="C13" i="21"/>
  <c r="N33" i="16"/>
</calcChain>
</file>

<file path=xl/sharedStrings.xml><?xml version="1.0" encoding="utf-8"?>
<sst xmlns="http://schemas.openxmlformats.org/spreadsheetml/2006/main" count="700" uniqueCount="275">
  <si>
    <t xml:space="preserve">White </t>
  </si>
  <si>
    <t>Hispanic/ Latino</t>
  </si>
  <si>
    <t>Black or African American</t>
  </si>
  <si>
    <t>Asian</t>
  </si>
  <si>
    <t>Female</t>
  </si>
  <si>
    <t>Male</t>
  </si>
  <si>
    <t>ELL</t>
  </si>
  <si>
    <t>Total</t>
  </si>
  <si>
    <t>Student Group</t>
  </si>
  <si>
    <t>White</t>
  </si>
  <si>
    <t>Career Cluster</t>
  </si>
  <si>
    <t>% Asian</t>
  </si>
  <si>
    <t>Multiracial</t>
  </si>
  <si>
    <t>American Indian/ Alaska Native</t>
  </si>
  <si>
    <t>Hawaiian/ Pacific Islander</t>
  </si>
  <si>
    <t>Single Parent</t>
  </si>
  <si>
    <t>Human Services</t>
  </si>
  <si>
    <t>Unknown</t>
  </si>
  <si>
    <t>Hospitality &amp; Tourism</t>
  </si>
  <si>
    <t>Program Name</t>
  </si>
  <si>
    <t xml:space="preserve">
AmInd</t>
  </si>
  <si>
    <t xml:space="preserve">
Asian</t>
  </si>
  <si>
    <t xml:space="preserve">
Hispanic</t>
  </si>
  <si>
    <t xml:space="preserve">
Black</t>
  </si>
  <si>
    <t xml:space="preserve">
White</t>
  </si>
  <si>
    <t xml:space="preserve">
H/PI</t>
  </si>
  <si>
    <t xml:space="preserve">
Multi</t>
  </si>
  <si>
    <t xml:space="preserve">Total Enrollment: </t>
  </si>
  <si>
    <t>COMPARISON POPULATION DEMOGRAPHIC PROFILE</t>
  </si>
  <si>
    <t>CTE PROGRAM ENROLLMENT REPORT</t>
  </si>
  <si>
    <t>Program Code</t>
  </si>
  <si>
    <t>UNDUPLICATED COUNT</t>
  </si>
  <si>
    <t xml:space="preserve">
% AmInd</t>
  </si>
  <si>
    <t>% Hispanic</t>
  </si>
  <si>
    <t xml:space="preserve">
% Black</t>
  </si>
  <si>
    <t xml:space="preserve">
% White</t>
  </si>
  <si>
    <t xml:space="preserve">
% H/PI</t>
  </si>
  <si>
    <t xml:space="preserve">
% Multi</t>
  </si>
  <si>
    <t>Postsec</t>
  </si>
  <si>
    <t>Sec</t>
  </si>
  <si>
    <t>% Sec</t>
  </si>
  <si>
    <t>% Postsec</t>
  </si>
  <si>
    <t>Individuals with Disabilities</t>
  </si>
  <si>
    <t>Economically Disadvantaged</t>
  </si>
  <si>
    <t>Non-traditional</t>
  </si>
  <si>
    <t>Out of Workforce</t>
  </si>
  <si>
    <t>English Learners</t>
  </si>
  <si>
    <t>Individuals Experiencing Homelessness</t>
  </si>
  <si>
    <t>Foster Care Youth</t>
  </si>
  <si>
    <t>Youth with Active Duty Parents</t>
  </si>
  <si>
    <t>Other</t>
  </si>
  <si>
    <t>GENDER</t>
  </si>
  <si>
    <t>RACE/ ETHNICITY</t>
  </si>
  <si>
    <t>SPECIAL POPULATIONS</t>
  </si>
  <si>
    <t>Dis</t>
  </si>
  <si>
    <t>F</t>
  </si>
  <si>
    <t>M</t>
  </si>
  <si>
    <t>ED</t>
  </si>
  <si>
    <t>Non-trad</t>
  </si>
  <si>
    <t>OOW</t>
  </si>
  <si>
    <t>Homeless</t>
  </si>
  <si>
    <t>Foster</t>
  </si>
  <si>
    <t>AD</t>
  </si>
  <si>
    <t>Abbreviation</t>
  </si>
  <si>
    <t>Meaning</t>
  </si>
  <si>
    <t>American Indian/ Alaskan Native</t>
  </si>
  <si>
    <t>Hispanic/ Latinx</t>
  </si>
  <si>
    <t>Hawaiian or Other Pacific Islander</t>
  </si>
  <si>
    <t>Individuals with disabilities</t>
  </si>
  <si>
    <t>Individuals who identify as two or more races</t>
  </si>
  <si>
    <t>Individuals who are economically disadvantaged or from economically disadvantaged families</t>
  </si>
  <si>
    <t xml:space="preserve">Individuals preparing for careers that are non-traditional for their gender (generally defined as fields for which individuals from one gender comprise less than 25 percent of the individuals employed. </t>
  </si>
  <si>
    <t>Individuals who are single parents, including single pregnant women</t>
  </si>
  <si>
    <t>Out of workforce individuals</t>
  </si>
  <si>
    <t>EL</t>
  </si>
  <si>
    <t>Individuals experiencing homelessness</t>
  </si>
  <si>
    <t xml:space="preserve">Youth who are in, or have aged out of, the foster care system </t>
  </si>
  <si>
    <t>Youth with a parent who is a member of the armed forces and is on active duty</t>
  </si>
  <si>
    <t>%F</t>
  </si>
  <si>
    <t>%M</t>
  </si>
  <si>
    <t>% Other</t>
  </si>
  <si>
    <t>% Dis</t>
  </si>
  <si>
    <t>%ED</t>
  </si>
  <si>
    <t>% Non-trad</t>
  </si>
  <si>
    <t>% SP</t>
  </si>
  <si>
    <t>SP</t>
  </si>
  <si>
    <t>%OOW</t>
  </si>
  <si>
    <t>% EL</t>
  </si>
  <si>
    <t>% Homeless</t>
  </si>
  <si>
    <t>% Foster</t>
  </si>
  <si>
    <t>% AD</t>
  </si>
  <si>
    <t>Program Popularity</t>
  </si>
  <si>
    <t>% Unknown</t>
  </si>
  <si>
    <t>Race/ ethnicity is unknown</t>
  </si>
  <si>
    <r>
      <t xml:space="preserve">1. Fill out columns A through X. Each row represents one CTE program. 
2. In row 108 below, fill out the </t>
    </r>
    <r>
      <rPr>
        <u/>
        <sz val="11"/>
        <color theme="1"/>
        <rFont val="Calibri"/>
        <family val="2"/>
        <scheme val="minor"/>
      </rPr>
      <t>unduplicated</t>
    </r>
    <r>
      <rPr>
        <sz val="11"/>
        <color theme="1"/>
        <rFont val="Calibri"/>
        <family val="2"/>
        <scheme val="minor"/>
      </rPr>
      <t xml:space="preserve"> student counts, disaggregated by gender, race/ethnicity and special population status. 
3. Columns Y through AR will automatically calculate enrollment percentages for each program. 
</t>
    </r>
    <r>
      <rPr>
        <i/>
        <sz val="11"/>
        <color theme="1"/>
        <rFont val="Calibri"/>
        <family val="2"/>
        <scheme val="minor"/>
      </rPr>
      <t xml:space="preserve">Note: See the key in the Instructions tab for descriptions of each subgroup and special population. </t>
    </r>
  </si>
  <si>
    <r>
      <t xml:space="preserve">In this tab, enter the demographic data for your comparison population. The comparison population is the total population of individuals from which CTE students are recruited.  
</t>
    </r>
    <r>
      <rPr>
        <b/>
        <sz val="11"/>
        <color theme="1"/>
        <rFont val="Calibri"/>
        <family val="2"/>
        <scheme val="minor"/>
      </rPr>
      <t xml:space="preserve">- </t>
    </r>
    <r>
      <rPr>
        <b/>
        <u/>
        <sz val="11"/>
        <color theme="1"/>
        <rFont val="Calibri"/>
        <family val="2"/>
        <scheme val="minor"/>
      </rPr>
      <t xml:space="preserve">Secondary: </t>
    </r>
    <r>
      <rPr>
        <sz val="11"/>
        <color theme="1"/>
        <rFont val="Calibri"/>
        <family val="2"/>
        <scheme val="minor"/>
      </rPr>
      <t xml:space="preserve">In Column B enter the disaggregated student counts for all comparable secondary students. This should reflect the grade levels of students enrolled in CTE. If most CTE programs include students in grades 10-12, then include the total number of 10-12 grade students in the high school, district, region or state. 
</t>
    </r>
    <r>
      <rPr>
        <b/>
        <sz val="11"/>
        <color theme="1"/>
        <rFont val="Calibri"/>
        <family val="2"/>
        <scheme val="minor"/>
      </rPr>
      <t xml:space="preserve">- </t>
    </r>
    <r>
      <rPr>
        <b/>
        <u/>
        <sz val="11"/>
        <color theme="1"/>
        <rFont val="Calibri"/>
        <family val="2"/>
        <scheme val="minor"/>
      </rPr>
      <t xml:space="preserve">Postsecondary: </t>
    </r>
    <r>
      <rPr>
        <sz val="11"/>
        <color theme="1"/>
        <rFont val="Calibri"/>
        <family val="2"/>
        <scheme val="minor"/>
      </rPr>
      <t xml:space="preserve">In Column D, enter the disaggregated counts for your comparison population. Consider using Census Bureau data to capture demographic information for the overall community that is served by the college, as the student counts may not fully reflect the demographic makeup of the community. </t>
    </r>
  </si>
  <si>
    <t>Enrollment</t>
  </si>
  <si>
    <r>
      <t xml:space="preserve">This heatmap illustrates program-level disaprities at the secondary level by gender, race/ethnicity and special population status. It draws from data in the "Sec Enrollment" tab. 
</t>
    </r>
    <r>
      <rPr>
        <b/>
        <u/>
        <sz val="11"/>
        <color theme="1"/>
        <rFont val="Calibri"/>
        <family val="2"/>
        <scheme val="minor"/>
      </rPr>
      <t xml:space="preserve">Reading the Heatmap: </t>
    </r>
    <r>
      <rPr>
        <sz val="11"/>
        <color theme="1"/>
        <rFont val="Calibri"/>
        <family val="2"/>
        <scheme val="minor"/>
      </rPr>
      <t xml:space="preserve">
- Cells are </t>
    </r>
    <r>
      <rPr>
        <b/>
        <sz val="11"/>
        <color rgb="FF7A99FE"/>
        <rFont val="Calibri"/>
        <family val="2"/>
        <scheme val="minor"/>
      </rPr>
      <t>highlighted blue</t>
    </r>
    <r>
      <rPr>
        <sz val="11"/>
        <color theme="1"/>
        <rFont val="Calibri"/>
        <family val="2"/>
        <scheme val="minor"/>
      </rPr>
      <t xml:space="preserve"> if the student subgroup is over-represented by 10 percentage points or more. 
- Cells are </t>
    </r>
    <r>
      <rPr>
        <b/>
        <sz val="11"/>
        <color theme="5"/>
        <rFont val="Calibri"/>
        <family val="2"/>
        <scheme val="minor"/>
      </rPr>
      <t>highlighted orange</t>
    </r>
    <r>
      <rPr>
        <sz val="11"/>
        <color theme="1"/>
        <rFont val="Calibri"/>
        <family val="2"/>
        <scheme val="minor"/>
      </rPr>
      <t xml:space="preserve"> if the student subgroup is under-represented by 10 percentage points or more.
- Cells in </t>
    </r>
    <r>
      <rPr>
        <b/>
        <sz val="11"/>
        <color theme="1"/>
        <rFont val="Calibri"/>
        <family val="2"/>
        <scheme val="minor"/>
      </rPr>
      <t xml:space="preserve">Column D </t>
    </r>
    <r>
      <rPr>
        <sz val="11"/>
        <color theme="1"/>
        <rFont val="Calibri"/>
        <family val="2"/>
        <scheme val="minor"/>
      </rPr>
      <t xml:space="preserve">are shaded if 10 or fewer students are enrolled in a given program. </t>
    </r>
  </si>
  <si>
    <r>
      <t xml:space="preserve">This heatmap illustrates program-level disaprities at the secondary level by gender, race/ethnicity and special population status. It draws from data in the "PS Enrollment" tab. 
</t>
    </r>
    <r>
      <rPr>
        <b/>
        <u/>
        <sz val="11"/>
        <color theme="1"/>
        <rFont val="Calibri"/>
        <family val="2"/>
        <scheme val="minor"/>
      </rPr>
      <t xml:space="preserve">Reading the Heatmap: </t>
    </r>
    <r>
      <rPr>
        <sz val="11"/>
        <color theme="1"/>
        <rFont val="Calibri"/>
        <family val="2"/>
        <scheme val="minor"/>
      </rPr>
      <t xml:space="preserve">
- Cells are </t>
    </r>
    <r>
      <rPr>
        <b/>
        <sz val="11"/>
        <color rgb="FF7A99FE"/>
        <rFont val="Calibri"/>
        <family val="2"/>
        <scheme val="minor"/>
      </rPr>
      <t>highlighted blue</t>
    </r>
    <r>
      <rPr>
        <sz val="11"/>
        <color theme="1"/>
        <rFont val="Calibri"/>
        <family val="2"/>
        <scheme val="minor"/>
      </rPr>
      <t xml:space="preserve"> if the student subgroup is over-represented by 10 percentage points or more. 
- Cells are </t>
    </r>
    <r>
      <rPr>
        <b/>
        <sz val="11"/>
        <color theme="5"/>
        <rFont val="Calibri"/>
        <family val="2"/>
        <scheme val="minor"/>
      </rPr>
      <t>highlighted orange</t>
    </r>
    <r>
      <rPr>
        <sz val="11"/>
        <color theme="1"/>
        <rFont val="Calibri"/>
        <family val="2"/>
        <scheme val="minor"/>
      </rPr>
      <t xml:space="preserve"> if the student subgroup is under-represented by 10 percentage points or more.
- Cells in </t>
    </r>
    <r>
      <rPr>
        <b/>
        <sz val="11"/>
        <color theme="1"/>
        <rFont val="Calibri"/>
        <family val="2"/>
        <scheme val="minor"/>
      </rPr>
      <t xml:space="preserve">Column D </t>
    </r>
    <r>
      <rPr>
        <sz val="11"/>
        <color theme="1"/>
        <rFont val="Calibri"/>
        <family val="2"/>
        <scheme val="minor"/>
      </rPr>
      <t xml:space="preserve">are shaded if 10 or fewer students are enrolled in a given program. </t>
    </r>
  </si>
  <si>
    <t>Sec CTE</t>
  </si>
  <si>
    <t>Sec All</t>
  </si>
  <si>
    <t>PS CTE</t>
  </si>
  <si>
    <t>PS All</t>
  </si>
  <si>
    <t>Sec Under</t>
  </si>
  <si>
    <t>Sec Over</t>
  </si>
  <si>
    <t>PS Under</t>
  </si>
  <si>
    <t>PS Over</t>
  </si>
  <si>
    <t>Under/ Over Enrollment</t>
  </si>
  <si>
    <t>Agriculture, Food, and Natural Resources</t>
  </si>
  <si>
    <t>Architecture and Construction</t>
  </si>
  <si>
    <t>Arts, Audio/Video Technology &amp; Communications</t>
  </si>
  <si>
    <t>Business, Management &amp; Administration</t>
  </si>
  <si>
    <t>Education &amp; Training</t>
  </si>
  <si>
    <t>Finance</t>
  </si>
  <si>
    <t>Government &amp; Public Administration</t>
  </si>
  <si>
    <t>Health Science</t>
  </si>
  <si>
    <t>Information Technology</t>
  </si>
  <si>
    <t>Law &amp; Public Safety</t>
  </si>
  <si>
    <t>Manufacturing</t>
  </si>
  <si>
    <t>Marketing, Sales, &amp; Service</t>
  </si>
  <si>
    <t>STEM</t>
  </si>
  <si>
    <t>Transportation, Distribution &amp; Logistics</t>
  </si>
  <si>
    <t>AmInd</t>
  </si>
  <si>
    <t>Hispanic</t>
  </si>
  <si>
    <t>Black</t>
  </si>
  <si>
    <t>H/PI</t>
  </si>
  <si>
    <t>Multi</t>
  </si>
  <si>
    <t>Counts</t>
  </si>
  <si>
    <t>Percent</t>
  </si>
  <si>
    <t>Percent in Cluster</t>
  </si>
  <si>
    <t>Percent Overall</t>
  </si>
  <si>
    <t>SECONDARY</t>
  </si>
  <si>
    <t>POSTSECONDARY</t>
  </si>
  <si>
    <t>Enrollment in CTE</t>
  </si>
  <si>
    <t>Under- and Over-Enrollment in CTE Programs</t>
  </si>
  <si>
    <t>Enrollment by Career Cluster</t>
  </si>
  <si>
    <t>Opportunity Gap Analysis Dashboard</t>
  </si>
  <si>
    <t xml:space="preserve">Skip to A Section: </t>
  </si>
  <si>
    <t xml:space="preserve">This dashboard is meant to provide high-level trends and allow you to identify areas for further examination. It includes various charts and graphs to help visualize patterns in enrollment and participation in CTE. Use the links below to skip to different sections of the dashboard. </t>
  </si>
  <si>
    <t xml:space="preserve">Look at CTE enrollment rates by subgroup and special population compared to the demographics of the community. </t>
  </si>
  <si>
    <t>Understand the number of programs in which a given student population is under- or over-represented.</t>
  </si>
  <si>
    <t xml:space="preserve">Filter by Career Cluster to identify enrollment patterns by subgroup and special population. </t>
  </si>
  <si>
    <t>ENROLLMENT IN CTE</t>
  </si>
  <si>
    <t>CTE Enrollment Compared to Community Demographics by Gender</t>
  </si>
  <si>
    <t>CTE Enrollment Compared to Community Demographics by Race/ Ethnicity</t>
  </si>
  <si>
    <t>CTE Enrollment Compared to Community Demographics by Special Population</t>
  </si>
  <si>
    <t>Questions</t>
  </si>
  <si>
    <t xml:space="preserve">Overall, how does CTE student enrollment reflect the demographic makeup of your comparison group?   </t>
  </si>
  <si>
    <t xml:space="preserve">Which specific sub-groups and special populations are under-represented in CTE overall?   </t>
  </si>
  <si>
    <t>Which specific sub-groups and special populations are over-represented in CTE overall?</t>
  </si>
  <si>
    <t>Number of Programs with Under- or Over-Representation of 10pts or More, by Gender</t>
  </si>
  <si>
    <t>Number of Programs with Under- or Over-Representation of 10pts or More, by Race/ Ethnicity</t>
  </si>
  <si>
    <t>Number of Programs with Under- or Over-Representation of 10pts or More, by Special Pop</t>
  </si>
  <si>
    <t xml:space="preserve">Which subgroups or special populations are most consistently underrepresented in CTE programs? </t>
  </si>
  <si>
    <t xml:space="preserve">Which subgroups or special populations are most consistently overrepresented in CTE programs? </t>
  </si>
  <si>
    <t>Select a Career Cluster:</t>
  </si>
  <si>
    <t>Career Cluster Enrollment Compared to Community Demographics by Gender</t>
  </si>
  <si>
    <t>Career Cluster Enrollment Compared to Community Demographics by Race/ Ethnicity</t>
  </si>
  <si>
    <t>Career Cluster Enrollment Compared to Community Demographics by Special Population</t>
  </si>
  <si>
    <t xml:space="preserve">Which Clusters have enrollment by learner subgroup and special population that is consistent with the comparison group's demographics? </t>
  </si>
  <si>
    <t xml:space="preserve">Which Career Clusters have one or more subgroups or special populations that are under-represented? </t>
  </si>
  <si>
    <t xml:space="preserve">Are any specific subgroups or special populations consistently under-represented in multiple Career Clusters? </t>
  </si>
  <si>
    <t>Considerations</t>
  </si>
  <si>
    <t xml:space="preserve">Look at the heatmap tabs to get a closer look at the specific enrollment patterns in each program. </t>
  </si>
  <si>
    <t xml:space="preserve">Be cautious of Career Clusters with low overall enrollment. It is harder to draw meaning from the data with smaller n-sizes. </t>
  </si>
  <si>
    <t xml:space="preserve">Start your analysis with priority Career Clusters such as STEM that are more likely to include programs that are aligned with high-wage, in-demand occupations. </t>
  </si>
  <si>
    <t>Are there any patterns to the types of programs that underrepresent certain subgroups/ special populations (e.g. programs aligned to high-wage, in-demand occupations or STEM programs)?</t>
  </si>
  <si>
    <t>Toggle back and forth between the dashboard and the heatmap tabs to take a look at specific programs</t>
  </si>
  <si>
    <t>Introduction</t>
  </si>
  <si>
    <t>Skip to a Section</t>
  </si>
  <si>
    <t>Entering Your Data</t>
  </si>
  <si>
    <t>Analyzing Your Data</t>
  </si>
  <si>
    <t>Purpose</t>
  </si>
  <si>
    <t xml:space="preserve">What Is A Proportionality Gap Analysis? </t>
  </si>
  <si>
    <t>Participants vs. Concentrators</t>
  </si>
  <si>
    <t>Gathering Your Data</t>
  </si>
  <si>
    <t>Data Fields Key</t>
  </si>
  <si>
    <t xml:space="preserve">INTRODUCTION </t>
  </si>
  <si>
    <t xml:space="preserve">What is a Proportionality Gap Analysis? </t>
  </si>
  <si>
    <t xml:space="preserve">This dashboard uses a proportionality gap analysis approach to identify opportunity gaps. One indication of an equitable CTE program is parity between the students in the program and the broader population of the school community. If there are no barriers to access, we would expect that the students enrolled in CTE programs reflect the demographics of the students in the school, district, college or broader community. 
Conducting a proportionality gap analysis reveals whether or not the students in a given CTE program or program of study are proportionally representative of their community. This can also reveal the programs with the largest disparities and help prioritize interventions. The diagram below illustrates how to conduct this analysis: </t>
  </si>
  <si>
    <t>Step</t>
  </si>
  <si>
    <t>Example</t>
  </si>
  <si>
    <t>Calculate the overall proportion of students in each subgroup in the overall service area</t>
  </si>
  <si>
    <t xml:space="preserve">Calculate the proportion of CTE learners in each subgroup/ special population </t>
  </si>
  <si>
    <t>Calculate the different between both percentages to find the percentage point gap</t>
  </si>
  <si>
    <t>ENTERING YOUR DATA</t>
  </si>
  <si>
    <t>Gathering the Data</t>
  </si>
  <si>
    <t xml:space="preserve">Building out the opportunity gap analysis dashboard requires access to disaggregated data by student subgroup and special population. This includes disaggregated data for CTE programs as well as the comparison population. You will need the following data in order to build your dashboard: </t>
  </si>
  <si>
    <t>(Return to Top)</t>
  </si>
  <si>
    <t>Total counts of CTE students (either participants or concentrators)</t>
  </si>
  <si>
    <t>CTE students disaggregated by race/ ethnicity</t>
  </si>
  <si>
    <t xml:space="preserve"> CTE students disaggregated by gender</t>
  </si>
  <si>
    <t xml:space="preserve">CTE students disaggregated by special population </t>
  </si>
  <si>
    <t>Individuals from economically disadvantaged families</t>
  </si>
  <si>
    <t>Individuals preparing for non-traditional fields</t>
  </si>
  <si>
    <t>Single parents, including single pregnant women</t>
  </si>
  <si>
    <t>Out-of-workforce individuals</t>
  </si>
  <si>
    <t>English learners</t>
  </si>
  <si>
    <t>Homeless individuals</t>
  </si>
  <si>
    <t>Youth who are in, or have aged out of, the foster care system</t>
  </si>
  <si>
    <t xml:space="preserve">Youth with a parent who is an active duty member of the armed forces </t>
  </si>
  <si>
    <t>By CTE Program</t>
  </si>
  <si>
    <t xml:space="preserve">Total counts of CTE students </t>
  </si>
  <si>
    <t>CTE students disaggregated by gender</t>
  </si>
  <si>
    <t>Overall unduplicated totals for the comparison population</t>
  </si>
  <si>
    <t xml:space="preserve">Total student population </t>
  </si>
  <si>
    <t>Student population disaggregated by race/ ethnicity</t>
  </si>
  <si>
    <t>Student population disaggregated by gender</t>
  </si>
  <si>
    <t xml:space="preserve">Student population disaggregated by special population </t>
  </si>
  <si>
    <t>Overall unduplicated totals for CTE</t>
  </si>
  <si>
    <t xml:space="preserve">This exercise can be conducted using either CTE concentrators or CTE participants, depending on the availability of data or the focus of your analysis. Each has its own benefit. You might want to look at CTE concentrators if you are interested in looking at which students are persisting in CTE programs. Conversely, if you are interested in looking at which students are entering CTE programs, participants might be a better unit of analysis. Whichever you choose, it is important to be consistent. </t>
  </si>
  <si>
    <t>Identifying a Comparison Population</t>
  </si>
  <si>
    <t xml:space="preserve">The comparison population should be the group of individuals from which CTE students are recruited. For example, if CTE programs at Heartland High School start in 10th grade and go through 12th grade, your comparison sample would be all students enrolled in 10th-12th grade at Heartland High School. 
At the postsecondary level, it can be tricky to generate a comparison population if the institution primarily offers CTE programs. If this is the case, a good comparison population would be the overall community from which the college recruits. If the college primarily recruits students between the ages of 18 and 35 in Heartland County, you could generate your comparison population from all individuals aged 18-35 in Heartland County. 
For the purpose of this exercise, the comparison population doesn’t have to be an exact match. If you have some CTE students who start as early as 9th grade or some postsecondary students who are above the age of 35, it is okay if these students are not included in the comparison population. </t>
  </si>
  <si>
    <t xml:space="preserve">This dashboard uses shorthand and abbreviations for specific student populations to make it easier to read and understand. The key below provides more detail for each of the fields used. </t>
  </si>
  <si>
    <t>Individuals who do not disclose their gender, or who are non-binary</t>
  </si>
  <si>
    <t xml:space="preserve">Once you have gathered your data you can start building out the opportunity gap analysis dashboard. The dashboard is designed to automatically compare data and generate a proportionality heatmap, so all the work that is needed is entering in the data above in the appropriate fields. The table below describes the tabs and fields for entering your data: </t>
  </si>
  <si>
    <t>Tab</t>
  </si>
  <si>
    <t>Comparison Population</t>
  </si>
  <si>
    <t>Guidelines for Entering Your Data</t>
  </si>
  <si>
    <t>Data must be entered as numbers, not percentages</t>
  </si>
  <si>
    <t>Enter your disaggregated enrollment counts for the total comparison population</t>
  </si>
  <si>
    <t>Enter counts for secondary students in Column C</t>
  </si>
  <si>
    <t>Enter counts for postsecondary students in Column E</t>
  </si>
  <si>
    <t>Sec Enrollment</t>
  </si>
  <si>
    <t>PS Enrollment</t>
  </si>
  <si>
    <t>Enter your disaggregated numerical data for each secondary CTE program</t>
  </si>
  <si>
    <t>Each row represents one program</t>
  </si>
  <si>
    <t>Make sure to select the corresponding Career Cluster for the program using the dropdown menu</t>
  </si>
  <si>
    <r>
      <t xml:space="preserve">In row 108 enter the </t>
    </r>
    <r>
      <rPr>
        <u/>
        <sz val="11"/>
        <color theme="1"/>
        <rFont val="Calibri"/>
        <family val="2"/>
        <scheme val="minor"/>
      </rPr>
      <t>unduplicated</t>
    </r>
    <r>
      <rPr>
        <sz val="11"/>
        <color theme="1"/>
        <rFont val="Calibri"/>
        <family val="2"/>
        <scheme val="minor"/>
      </rPr>
      <t xml:space="preserve"> counts of CTE students</t>
    </r>
  </si>
  <si>
    <t>Enter your disaggregated numerical data for each postsecondary CTE program</t>
  </si>
  <si>
    <t>ANALYZING YOUR DATA</t>
  </si>
  <si>
    <t xml:space="preserve">Once you enter your data, the dashboard will automatically generate charts, tables and heatmaps to illustrate under-and over-representation of CTE students. The dashboard tab includes overall summaries of the data. The “Sec Heatmap” and “Postsec Heatmap” tabs show the programs with notable over- or under-representation by subgroup and program. </t>
  </si>
  <si>
    <t>Dashboard</t>
  </si>
  <si>
    <t>What It Includes</t>
  </si>
  <si>
    <t>Notes</t>
  </si>
  <si>
    <t>High-level graphs and charts illustrating CTE enrollment, under- and over-representation in programs and disparities by Career Cluster</t>
  </si>
  <si>
    <t>Heatmap (Sec)</t>
  </si>
  <si>
    <t xml:space="preserve">Illustration of over- and under-representation of subgroups and special popualtions by program for secondary CTE. </t>
  </si>
  <si>
    <t xml:space="preserve">Cells are highlighted blue if the student subgroup is over-represented by 10 percentage points or more. 
Cells are highlighted orange if the student subgroup is under-represented by 10 percentage points or more. 
CTE programs with small cell counts (10 or fewer students) will be highlighted in Column D. 
</t>
  </si>
  <si>
    <t>Heatmap (PS)</t>
  </si>
  <si>
    <t>Using Data to Identify and Address CTE Opportunity Gaps</t>
  </si>
  <si>
    <r>
      <t xml:space="preserve">The promise of Career Technical Education (CTE) is to provide opportunities for all learners to follow their passion and achieve career goals and future economic success.   While high-quality CTE programs of study across the country are delivering outcomes to students, the reality is that not all learners have access to these programs.  The Strengthening Career and Technical Education for the 21st Century Act (Perkins V) elevated the importance of access and equity and has challenged states and local recipients to prioritize this work to address these gaps.  
This tool is designed to help state and local leaders identify and respond to disparities in access to high-qualtiy CTE programs. It is designed to be user-friendly and to take the guesswork out of the data analysis. However, while this template can help you identify and prioritize opportunity gaps, the data in this tool only provide a partial story. Users should also plan to complete a root cause analysis to identify underlying systemic barriers, and look to evidence-based research to put together an equity action plan. Advance CTE has developed a data-driven process for identfying and addressing opportunity gaps in CTE, including resources for completing a root cause analysis and an action plan. Those resources are available at </t>
    </r>
    <r>
      <rPr>
        <sz val="11"/>
        <color rgb="FFFF0000"/>
        <rFont val="Calibri"/>
        <family val="2"/>
        <scheme val="minor"/>
      </rPr>
      <t>XXXXX</t>
    </r>
    <r>
      <rPr>
        <sz val="11"/>
        <color theme="1"/>
        <rFont val="Calibri"/>
        <family val="2"/>
        <scheme val="minor"/>
      </rPr>
      <t xml:space="preserve">. </t>
    </r>
  </si>
  <si>
    <r>
      <t xml:space="preserve">There are 500 students enrolled at Heartland High School. Out of those students, 50 have an Individualized Education Plan and are categorized as students with disabilities.  Therefore: 
50/500= .1 or 10%
</t>
    </r>
    <r>
      <rPr>
        <b/>
        <sz val="11"/>
        <color theme="1"/>
        <rFont val="Calibri"/>
        <family val="2"/>
        <scheme val="minor"/>
      </rPr>
      <t>Interpretation</t>
    </r>
    <r>
      <rPr>
        <sz val="11"/>
        <color theme="1"/>
        <rFont val="Calibri"/>
        <family val="2"/>
        <scheme val="minor"/>
      </rPr>
      <t xml:space="preserve">: In total, 10% of students at Heartland High School are students with disabilities. </t>
    </r>
  </si>
  <si>
    <r>
      <t xml:space="preserve">Heartland High School has three CTE programs of study: Welding, Allied Health and Culinary Arts. There are 20 students in each program and there is no overlap (so these are nonduplicated counts). Out of the 60 total CTE students, three are students with disabilities. Therefore: 
3/60=.05 or 5%
</t>
    </r>
    <r>
      <rPr>
        <b/>
        <sz val="11"/>
        <color theme="1"/>
        <rFont val="Calibri"/>
        <family val="2"/>
        <scheme val="minor"/>
      </rPr>
      <t>Interpretation</t>
    </r>
    <r>
      <rPr>
        <sz val="11"/>
        <color theme="1"/>
        <rFont val="Calibri"/>
        <family val="2"/>
        <scheme val="minor"/>
      </rPr>
      <t xml:space="preserve">: Out of 60 CTE students at Heartland High School, 5% are students with disabilities. </t>
    </r>
  </si>
  <si>
    <r>
      <t xml:space="preserve">Out of all of the students at Heartland High School, 10% are students with disabilities. Out of all the CTE students at Heartland High School, 5% are students with disabilities. 
10%-5%=5%
There is a 5-percentage point gap between the population of enrolled CTE students with disabilities and the overall population. 
</t>
    </r>
    <r>
      <rPr>
        <b/>
        <sz val="11"/>
        <color theme="1"/>
        <rFont val="Calibri"/>
        <family val="2"/>
        <scheme val="minor"/>
      </rPr>
      <t>Interpretation</t>
    </r>
    <r>
      <rPr>
        <sz val="11"/>
        <color theme="1"/>
        <rFont val="Calibri"/>
        <family val="2"/>
        <scheme val="minor"/>
      </rPr>
      <t xml:space="preserve">: At Heartland High School, students with disabilities are under-represented in CTE by 5 percentage points. </t>
    </r>
  </si>
  <si>
    <t>Applied Horticulture/Horticulture Operations, General</t>
  </si>
  <si>
    <t>Landscaping &amp; Groundskeeping</t>
  </si>
  <si>
    <t>Carpentry/Carpenter</t>
  </si>
  <si>
    <t>Architectural Technology / Technician</t>
  </si>
  <si>
    <t>Radio &amp; TV Broadcasting Technology/Technician</t>
  </si>
  <si>
    <t>Digital Communications &amp; Media/Multimedia</t>
  </si>
  <si>
    <t>Business Administration/Management</t>
  </si>
  <si>
    <t>Administrative Assistant and Secretarial Science, General</t>
  </si>
  <si>
    <t>Child Development</t>
  </si>
  <si>
    <t>Accounting Technology/Technician &amp; Bookkeeping</t>
  </si>
  <si>
    <t>Nursing Assistant/Aide and Patient Care Assistant/Aide</t>
  </si>
  <si>
    <t>Health Services/Allied Health/Health Sciences, General</t>
  </si>
  <si>
    <t>Culinary Arts/Chef Training</t>
  </si>
  <si>
    <t>Food Preparation/Professional Cooking/Kitchen Assistant</t>
  </si>
  <si>
    <t>Restaurant/Food Services Management</t>
  </si>
  <si>
    <t>Cosmetology/Cosmetologist, General</t>
  </si>
  <si>
    <t>Child Care Provider/Assistant</t>
  </si>
  <si>
    <t>Computer Programming/Programmer, General</t>
  </si>
  <si>
    <t>Web Page, Digital/Multimedia and Information Resources Design</t>
  </si>
  <si>
    <t>Criminal Justice/Police Science</t>
  </si>
  <si>
    <t>Welding Technology/Welder</t>
  </si>
  <si>
    <t>Manufacturing Engineering Technology/Technician</t>
  </si>
  <si>
    <t>Engineering, General</t>
  </si>
  <si>
    <t>Mechatronics, Robotics, and Automation Engineering</t>
  </si>
  <si>
    <t>Automobile/Automotive Mechanics Technology/Technician</t>
  </si>
  <si>
    <t>Small Engine Mechanics &amp; Repair Technology/Technician</t>
  </si>
  <si>
    <t>Logistics, Materials, and Supply Chain Management.</t>
  </si>
  <si>
    <t>% Black</t>
  </si>
  <si>
    <t>% White</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</si>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</sst>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b/>
      <sz val="11"/>
      <color theme="0"/>
      <name val="Calibri"/>
      <family val="2"/>
      <scheme val="minor"/>
    </font>
    <font>
      <sz val="8"/>
      <name val="Calibri"/>
      <family val="2"/>
      <scheme val="minor"/>
    </font>
    <font>
      <sz val="11"/>
      <color theme="0"/>
      <name val="Calibri"/>
      <family val="2"/>
      <scheme val="minor"/>
    </font>
    <font>
      <i/>
      <sz val="11"/>
      <color theme="1"/>
      <name val="Calibri"/>
      <family val="2"/>
      <scheme val="minor"/>
    </font>
    <font>
      <sz val="10"/>
      <name val="Arial"/>
    </font>
    <font>
      <b/>
      <sz val="14"/>
      <color theme="1"/>
      <name val="Calibri"/>
      <family val="2"/>
      <scheme val="minor"/>
    </font>
    <font>
      <b/>
      <sz val="14"/>
      <color theme="0"/>
      <name val="Calibri"/>
      <family val="2"/>
      <scheme val="minor"/>
    </font>
    <font>
      <sz val="1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1"/>
      <color rgb="FF7A99FE"/>
      <name val="Calibri"/>
      <family val="2"/>
      <scheme val="minor"/>
    </font>
    <font>
      <b/>
      <sz val="11"/>
      <color theme="5"/>
      <name val="Calibri"/>
      <family val="2"/>
      <scheme val="minor"/>
    </font>
    <font>
      <sz val="11"/>
      <color rgb="FFFF0000"/>
      <name val="Calibri"/>
      <family val="2"/>
      <scheme val="minor"/>
    </font>
    <font>
      <u/>
      <sz val="11"/>
      <color theme="10"/>
      <name val="Calibri"/>
      <family val="2"/>
      <scheme val="minor"/>
    </font>
    <font>
      <b/>
      <sz val="12"/>
      <color theme="1"/>
      <name val="Calibri"/>
      <family val="2"/>
      <scheme val="minor"/>
    </font>
    <font>
      <b/>
      <sz val="12"/>
      <color theme="0"/>
      <name val="Calibri"/>
      <family val="2"/>
      <scheme val="minor"/>
    </font>
    <font>
      <b/>
      <sz val="16"/>
      <color theme="0"/>
      <name val="Calibri"/>
      <family val="2"/>
      <scheme val="minor"/>
    </font>
    <font>
      <b/>
      <sz val="18"/>
      <color theme="0"/>
      <name val="Calibri"/>
      <family val="2"/>
      <scheme val="minor"/>
    </font>
    <font>
      <i/>
      <sz val="14"/>
      <color theme="1"/>
      <name val="Calibri"/>
      <family val="2"/>
      <scheme val="minor"/>
    </font>
    <font>
      <b/>
      <i/>
      <sz val="14"/>
      <color theme="1"/>
      <name val="Calibri"/>
      <family val="2"/>
      <scheme val="minor"/>
    </font>
    <font>
      <u/>
      <sz val="11"/>
      <color theme="0"/>
      <name val="Calibri"/>
      <family val="2"/>
      <scheme val="minor"/>
    </font>
    <font>
      <b/>
      <u/>
      <sz val="18"/>
      <color theme="0"/>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6"/>
        <bgColor indexed="64"/>
      </patternFill>
    </fill>
    <fill>
      <patternFill patternType="solid">
        <fgColor theme="2"/>
        <bgColor indexed="64"/>
      </patternFill>
    </fill>
    <fill>
      <patternFill patternType="solid">
        <fgColor theme="5"/>
        <bgColor indexed="64"/>
      </patternFill>
    </fill>
    <fill>
      <patternFill patternType="solid">
        <fgColor theme="4"/>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59999389629810485"/>
        <bgColor indexed="64"/>
      </patternFill>
    </fill>
  </fills>
  <borders count="2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auto="1"/>
      </top>
      <bottom style="thin">
        <color auto="1"/>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xf numFmtId="0" fontId="16" fillId="0" borderId="0" applyNumberFormat="0" applyFill="0" applyBorder="0" applyAlignment="0" applyProtection="0"/>
  </cellStyleXfs>
  <cellXfs count="187">
    <xf numFmtId="0" fontId="0" fillId="0" borderId="0" xfId="0"/>
    <xf numFmtId="0" fontId="0" fillId="0" borderId="0" xfId="0" applyProtection="1">
      <protection locked="0"/>
    </xf>
    <xf numFmtId="164" fontId="0" fillId="0" borderId="0" xfId="2" applyNumberFormat="1" applyFont="1" applyAlignment="1" applyProtection="1">
      <alignment horizontal="center"/>
      <protection locked="0"/>
    </xf>
    <xf numFmtId="9" fontId="0" fillId="0" borderId="0" xfId="1" applyFont="1" applyAlignment="1" applyProtection="1">
      <alignment horizontal="center"/>
    </xf>
    <xf numFmtId="0" fontId="0" fillId="0" borderId="0" xfId="0" applyProtection="1"/>
    <xf numFmtId="0" fontId="0" fillId="0" borderId="0" xfId="0" applyBorder="1" applyAlignment="1" applyProtection="1">
      <alignment horizontal="left" vertical="top" wrapText="1"/>
    </xf>
    <xf numFmtId="0" fontId="0" fillId="0" borderId="0" xfId="0" applyAlignment="1" applyProtection="1">
      <alignment wrapText="1"/>
    </xf>
    <xf numFmtId="0" fontId="7" fillId="4" borderId="4" xfId="0" applyFont="1" applyFill="1" applyBorder="1" applyProtection="1"/>
    <xf numFmtId="9" fontId="0" fillId="0" borderId="0" xfId="1" applyFont="1"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xf>
    <xf numFmtId="0" fontId="0" fillId="0" borderId="2" xfId="0" applyBorder="1" applyProtection="1">
      <protection locked="0"/>
    </xf>
    <xf numFmtId="164" fontId="0" fillId="5" borderId="0" xfId="2" applyNumberFormat="1" applyFont="1" applyFill="1" applyAlignment="1" applyProtection="1">
      <alignment horizontal="center"/>
      <protection locked="0"/>
    </xf>
    <xf numFmtId="164" fontId="2" fillId="5" borderId="0" xfId="2" applyNumberFormat="1" applyFont="1" applyFill="1" applyAlignment="1" applyProtection="1">
      <alignment horizontal="center"/>
      <protection locked="0"/>
    </xf>
    <xf numFmtId="9" fontId="2" fillId="5" borderId="0" xfId="1" applyNumberFormat="1" applyFont="1" applyFill="1" applyAlignment="1" applyProtection="1">
      <alignment horizontal="center"/>
    </xf>
    <xf numFmtId="9" fontId="2" fillId="5" borderId="0" xfId="1" applyFont="1" applyFill="1" applyAlignment="1" applyProtection="1">
      <alignment horizontal="center"/>
    </xf>
    <xf numFmtId="9" fontId="0" fillId="5" borderId="0" xfId="1" applyFont="1" applyFill="1" applyAlignment="1" applyProtection="1">
      <alignment horizontal="center"/>
    </xf>
    <xf numFmtId="9" fontId="1" fillId="0" borderId="0" xfId="0" applyNumberFormat="1" applyFont="1" applyAlignment="1" applyProtection="1">
      <alignment horizontal="center" vertical="center"/>
    </xf>
    <xf numFmtId="0" fontId="0" fillId="6" borderId="0" xfId="0" applyFill="1" applyBorder="1" applyAlignment="1" applyProtection="1">
      <alignment horizontal="left" vertical="top" wrapText="1"/>
    </xf>
    <xf numFmtId="0" fontId="9" fillId="9" borderId="0" xfId="0" applyFont="1" applyFill="1" applyProtection="1"/>
    <xf numFmtId="0" fontId="9" fillId="9" borderId="0" xfId="0" applyFont="1" applyFill="1" applyAlignment="1" applyProtection="1">
      <alignment wrapText="1"/>
    </xf>
    <xf numFmtId="0" fontId="9" fillId="3" borderId="0" xfId="0" applyFont="1" applyFill="1" applyAlignment="1" applyProtection="1">
      <alignment wrapText="1"/>
    </xf>
    <xf numFmtId="0" fontId="9" fillId="3" borderId="0" xfId="0" applyFont="1" applyFill="1" applyProtection="1"/>
    <xf numFmtId="0" fontId="9" fillId="10" borderId="0" xfId="0" applyFont="1" applyFill="1" applyProtection="1"/>
    <xf numFmtId="0" fontId="9" fillId="10" borderId="0" xfId="0" applyFont="1" applyFill="1" applyAlignment="1" applyProtection="1">
      <alignment wrapText="1"/>
    </xf>
    <xf numFmtId="0" fontId="2" fillId="7" borderId="0" xfId="0" applyFont="1" applyFill="1" applyAlignment="1" applyProtection="1">
      <alignment horizontal="center"/>
    </xf>
    <xf numFmtId="0" fontId="0" fillId="0" borderId="0" xfId="0" applyAlignment="1" applyProtection="1">
      <alignment horizontal="left" indent="1"/>
    </xf>
    <xf numFmtId="0" fontId="0" fillId="4" borderId="2" xfId="0" applyFont="1" applyFill="1" applyBorder="1" applyProtection="1"/>
    <xf numFmtId="164" fontId="0" fillId="0" borderId="0" xfId="2" applyNumberFormat="1" applyFont="1" applyProtection="1"/>
    <xf numFmtId="10" fontId="0" fillId="0" borderId="0" xfId="1" applyNumberFormat="1" applyFont="1" applyProtection="1"/>
    <xf numFmtId="0" fontId="2" fillId="5" borderId="0" xfId="0" applyFont="1" applyFill="1" applyProtection="1"/>
    <xf numFmtId="9" fontId="0" fillId="0" borderId="0" xfId="1" applyNumberFormat="1" applyFont="1" applyProtection="1"/>
    <xf numFmtId="164" fontId="0" fillId="0" borderId="0" xfId="1" applyNumberFormat="1" applyFont="1" applyProtection="1"/>
    <xf numFmtId="0" fontId="0" fillId="0" borderId="0" xfId="0" applyFill="1" applyBorder="1" applyProtection="1"/>
    <xf numFmtId="0" fontId="8" fillId="2" borderId="0" xfId="0" applyFont="1" applyFill="1" applyBorder="1" applyAlignment="1" applyProtection="1">
      <alignment horizontal="left"/>
    </xf>
    <xf numFmtId="0" fontId="0" fillId="0" borderId="0" xfId="0" applyAlignment="1" applyProtection="1">
      <alignment horizontal="left" vertical="center"/>
      <protection locked="0"/>
    </xf>
    <xf numFmtId="0" fontId="0" fillId="0" borderId="0" xfId="0" applyAlignment="1" applyProtection="1">
      <alignment horizontal="left" vertical="center"/>
    </xf>
    <xf numFmtId="0" fontId="7" fillId="4" borderId="7" xfId="0" applyFont="1" applyFill="1" applyBorder="1" applyAlignment="1" applyProtection="1">
      <alignment horizontal="center" vertical="center"/>
    </xf>
    <xf numFmtId="0" fontId="0" fillId="4" borderId="5"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0" borderId="0" xfId="0" applyFill="1"/>
    <xf numFmtId="0" fontId="0" fillId="0" borderId="3" xfId="0" applyBorder="1"/>
    <xf numFmtId="9" fontId="0" fillId="0" borderId="3" xfId="0" applyNumberFormat="1" applyBorder="1"/>
    <xf numFmtId="0" fontId="0" fillId="0" borderId="3" xfId="0" applyBorder="1" applyAlignment="1">
      <alignment horizontal="center"/>
    </xf>
    <xf numFmtId="9" fontId="0" fillId="0" borderId="3" xfId="1" applyFont="1" applyBorder="1" applyAlignment="1">
      <alignment horizontal="center"/>
    </xf>
    <xf numFmtId="0" fontId="0" fillId="0" borderId="0" xfId="0" applyBorder="1" applyAlignment="1">
      <alignment horizontal="center"/>
    </xf>
    <xf numFmtId="0" fontId="0" fillId="0" borderId="0" xfId="0" applyBorder="1"/>
    <xf numFmtId="0" fontId="0" fillId="0" borderId="3" xfId="0" applyBorder="1" applyAlignment="1">
      <alignment wrapText="1"/>
    </xf>
    <xf numFmtId="9" fontId="0" fillId="0" borderId="0" xfId="0" applyNumberFormat="1" applyBorder="1"/>
    <xf numFmtId="0" fontId="19" fillId="8" borderId="0" xfId="0" applyFont="1" applyFill="1" applyBorder="1"/>
    <xf numFmtId="0" fontId="0" fillId="8" borderId="0" xfId="0" applyFill="1" applyBorder="1"/>
    <xf numFmtId="0" fontId="0" fillId="0" borderId="0" xfId="0" applyFill="1" applyBorder="1"/>
    <xf numFmtId="0" fontId="20" fillId="8" borderId="0" xfId="0" applyFont="1" applyFill="1" applyBorder="1"/>
    <xf numFmtId="0" fontId="0" fillId="6" borderId="9" xfId="0" applyFill="1" applyBorder="1"/>
    <xf numFmtId="0" fontId="0" fillId="6" borderId="10" xfId="0" applyFill="1" applyBorder="1"/>
    <xf numFmtId="0" fontId="0" fillId="6" borderId="11" xfId="0" applyFill="1" applyBorder="1"/>
    <xf numFmtId="0" fontId="0" fillId="6" borderId="12" xfId="0" applyFill="1" applyBorder="1"/>
    <xf numFmtId="0" fontId="0" fillId="6" borderId="0" xfId="0" applyFill="1" applyBorder="1"/>
    <xf numFmtId="0" fontId="0" fillId="6" borderId="13" xfId="0" applyFill="1" applyBorder="1"/>
    <xf numFmtId="0" fontId="10" fillId="6" borderId="0" xfId="0" quotePrefix="1" applyFont="1" applyFill="1" applyBorder="1" applyAlignment="1">
      <alignment horizontal="left"/>
    </xf>
    <xf numFmtId="0" fontId="10" fillId="6" borderId="0" xfId="0" applyFont="1" applyFill="1" applyBorder="1"/>
    <xf numFmtId="0" fontId="0" fillId="6" borderId="0" xfId="0" quotePrefix="1" applyFill="1" applyBorder="1" applyAlignment="1">
      <alignment horizontal="left"/>
    </xf>
    <xf numFmtId="0" fontId="0" fillId="6" borderId="14" xfId="0" applyFill="1" applyBorder="1"/>
    <xf numFmtId="0" fontId="0" fillId="6" borderId="1" xfId="0" applyFill="1" applyBorder="1"/>
    <xf numFmtId="0" fontId="0" fillId="6" borderId="15" xfId="0" applyFill="1" applyBorder="1"/>
    <xf numFmtId="0" fontId="0" fillId="6" borderId="0" xfId="0" applyFill="1"/>
    <xf numFmtId="0" fontId="20" fillId="7" borderId="0" xfId="0" applyFont="1" applyFill="1" applyBorder="1"/>
    <xf numFmtId="0" fontId="19" fillId="7" borderId="0" xfId="0" applyFont="1" applyFill="1" applyBorder="1"/>
    <xf numFmtId="0" fontId="0" fillId="7" borderId="0" xfId="0" applyFill="1" applyBorder="1"/>
    <xf numFmtId="0" fontId="20" fillId="5" borderId="0" xfId="0" applyFont="1" applyFill="1" applyBorder="1"/>
    <xf numFmtId="0" fontId="0" fillId="6" borderId="0" xfId="0" applyFont="1" applyFill="1" applyBorder="1"/>
    <xf numFmtId="0" fontId="0" fillId="6" borderId="0" xfId="0" quotePrefix="1" applyFont="1" applyFill="1" applyBorder="1" applyAlignment="1">
      <alignment horizontal="left"/>
    </xf>
    <xf numFmtId="0" fontId="20" fillId="12" borderId="0" xfId="0" applyFont="1" applyFill="1" applyBorder="1"/>
    <xf numFmtId="0" fontId="21" fillId="6" borderId="0" xfId="0" applyFont="1" applyFill="1" applyBorder="1"/>
    <xf numFmtId="0" fontId="10" fillId="6" borderId="1" xfId="0" quotePrefix="1" applyFont="1" applyFill="1" applyBorder="1" applyAlignment="1">
      <alignment horizontal="left"/>
    </xf>
    <xf numFmtId="0" fontId="10" fillId="6" borderId="1" xfId="0" applyFont="1" applyFill="1" applyBorder="1"/>
    <xf numFmtId="0" fontId="16" fillId="6" borderId="0" xfId="4" quotePrefix="1" applyFill="1" applyBorder="1" applyAlignment="1">
      <alignment horizontal="left"/>
    </xf>
    <xf numFmtId="0" fontId="0" fillId="6" borderId="13" xfId="0" applyFill="1" applyBorder="1" applyAlignment="1">
      <alignment horizontal="left" vertical="top" wrapText="1"/>
    </xf>
    <xf numFmtId="0" fontId="0" fillId="6" borderId="8" xfId="0" applyFill="1" applyBorder="1"/>
    <xf numFmtId="0" fontId="0" fillId="6" borderId="24" xfId="0" applyFill="1" applyBorder="1"/>
    <xf numFmtId="0" fontId="0" fillId="6" borderId="8" xfId="0" quotePrefix="1" applyFill="1" applyBorder="1" applyAlignment="1">
      <alignment horizontal="left"/>
    </xf>
    <xf numFmtId="0" fontId="0" fillId="6" borderId="1" xfId="0" quotePrefix="1" applyFill="1" applyBorder="1" applyAlignment="1">
      <alignment horizontal="left"/>
    </xf>
    <xf numFmtId="0" fontId="0" fillId="6" borderId="0" xfId="0" applyFill="1" applyBorder="1" applyAlignment="1">
      <alignment horizontal="center" vertical="top" wrapText="1"/>
    </xf>
    <xf numFmtId="0" fontId="0" fillId="6" borderId="0" xfId="0" applyFill="1" applyBorder="1" applyAlignment="1">
      <alignment horizontal="left" vertical="top" wrapText="1"/>
    </xf>
    <xf numFmtId="0" fontId="16" fillId="6" borderId="0" xfId="4" applyFill="1" applyBorder="1"/>
    <xf numFmtId="0" fontId="0" fillId="6" borderId="0" xfId="0" applyFill="1" applyBorder="1" applyAlignment="1">
      <alignment horizontal="left"/>
    </xf>
    <xf numFmtId="0" fontId="22" fillId="6" borderId="1" xfId="0" applyFont="1" applyFill="1" applyBorder="1"/>
    <xf numFmtId="0" fontId="16" fillId="6" borderId="1" xfId="4" quotePrefix="1" applyFill="1" applyBorder="1" applyAlignment="1">
      <alignment horizontal="left"/>
    </xf>
    <xf numFmtId="0" fontId="22" fillId="6" borderId="0" xfId="0" applyFont="1" applyFill="1" applyBorder="1"/>
    <xf numFmtId="0" fontId="0" fillId="13" borderId="0" xfId="0" applyFill="1" applyBorder="1" applyAlignment="1">
      <alignment horizontal="left" vertical="top"/>
    </xf>
    <xf numFmtId="0" fontId="0" fillId="13" borderId="0" xfId="0" applyFill="1" applyBorder="1" applyAlignment="1">
      <alignment horizontal="left" vertical="top" wrapText="1"/>
    </xf>
    <xf numFmtId="0" fontId="0" fillId="13" borderId="13" xfId="0" applyFill="1" applyBorder="1" applyAlignment="1">
      <alignment horizontal="left" vertical="top" wrapText="1"/>
    </xf>
    <xf numFmtId="0" fontId="0" fillId="13" borderId="0" xfId="0" quotePrefix="1" applyFill="1" applyBorder="1" applyAlignment="1">
      <alignment horizontal="left" vertical="top"/>
    </xf>
    <xf numFmtId="0" fontId="0" fillId="13" borderId="0" xfId="0" applyFill="1" applyBorder="1"/>
    <xf numFmtId="0" fontId="0" fillId="13" borderId="13" xfId="0" applyFill="1" applyBorder="1"/>
    <xf numFmtId="0" fontId="0" fillId="6" borderId="1" xfId="0" applyFill="1" applyBorder="1" applyAlignment="1">
      <alignment horizontal="left" vertical="top"/>
    </xf>
    <xf numFmtId="0" fontId="18" fillId="5" borderId="1" xfId="0" applyFont="1" applyFill="1" applyBorder="1"/>
    <xf numFmtId="0" fontId="18" fillId="5" borderId="15" xfId="0" applyFont="1" applyFill="1" applyBorder="1"/>
    <xf numFmtId="0" fontId="8" fillId="5" borderId="1" xfId="0" applyFont="1" applyFill="1" applyBorder="1"/>
    <xf numFmtId="0" fontId="24" fillId="12" borderId="0" xfId="4" quotePrefix="1" applyFont="1" applyFill="1" applyBorder="1" applyAlignment="1">
      <alignment horizontal="left"/>
    </xf>
    <xf numFmtId="0" fontId="8" fillId="5" borderId="0" xfId="0" applyFont="1" applyFill="1" applyBorder="1"/>
    <xf numFmtId="0" fontId="16" fillId="6" borderId="10" xfId="4" applyFill="1" applyBorder="1"/>
    <xf numFmtId="0" fontId="0" fillId="6" borderId="16" xfId="0" applyFill="1" applyBorder="1"/>
    <xf numFmtId="0" fontId="0" fillId="6" borderId="17" xfId="0" applyFill="1" applyBorder="1"/>
    <xf numFmtId="0" fontId="0" fillId="6" borderId="18" xfId="0" applyFill="1" applyBorder="1"/>
    <xf numFmtId="0" fontId="0" fillId="6" borderId="19" xfId="0" applyFill="1" applyBorder="1"/>
    <xf numFmtId="0" fontId="0" fillId="6" borderId="20" xfId="0" applyFill="1" applyBorder="1"/>
    <xf numFmtId="0" fontId="16" fillId="6" borderId="8" xfId="4" applyFill="1" applyBorder="1" applyAlignment="1">
      <alignment horizontal="left" vertical="center"/>
    </xf>
    <xf numFmtId="0" fontId="0" fillId="6" borderId="8" xfId="0" applyFill="1" applyBorder="1" applyAlignment="1">
      <alignment horizontal="left" vertical="center" wrapText="1"/>
    </xf>
    <xf numFmtId="0" fontId="0" fillId="6" borderId="21" xfId="0" applyFill="1" applyBorder="1"/>
    <xf numFmtId="0" fontId="16" fillId="6" borderId="22" xfId="4" applyFill="1" applyBorder="1" applyAlignment="1">
      <alignment horizontal="left" vertical="center"/>
    </xf>
    <xf numFmtId="0" fontId="0" fillId="6" borderId="22" xfId="0" applyFill="1" applyBorder="1" applyAlignment="1">
      <alignment horizontal="left" vertical="center" wrapText="1"/>
    </xf>
    <xf numFmtId="0" fontId="0" fillId="6" borderId="23" xfId="0" applyFill="1" applyBorder="1"/>
    <xf numFmtId="0" fontId="23" fillId="5" borderId="0" xfId="4" applyFont="1" applyFill="1" applyBorder="1"/>
    <xf numFmtId="0" fontId="7" fillId="11" borderId="2" xfId="0" applyFont="1" applyFill="1" applyBorder="1" applyProtection="1">
      <protection locked="0"/>
    </xf>
    <xf numFmtId="0" fontId="8" fillId="2" borderId="0" xfId="0" applyFont="1" applyFill="1" applyBorder="1" applyAlignment="1" applyProtection="1">
      <alignment horizontal="left"/>
      <protection hidden="1"/>
    </xf>
    <xf numFmtId="0" fontId="0" fillId="0" borderId="0" xfId="0" applyProtection="1">
      <protection hidden="1"/>
    </xf>
    <xf numFmtId="0" fontId="0" fillId="0" borderId="0" xfId="0" applyBorder="1" applyAlignment="1" applyProtection="1">
      <alignment horizontal="left" vertical="top" wrapText="1"/>
      <protection hidden="1"/>
    </xf>
    <xf numFmtId="0" fontId="0" fillId="6" borderId="0" xfId="0" applyFill="1" applyBorder="1" applyAlignment="1" applyProtection="1">
      <alignment horizontal="left" vertical="top" wrapText="1"/>
      <protection hidden="1"/>
    </xf>
    <xf numFmtId="0" fontId="2" fillId="7" borderId="0" xfId="0" applyFont="1" applyFill="1" applyAlignment="1" applyProtection="1">
      <alignment horizontal="center"/>
      <protection hidden="1"/>
    </xf>
    <xf numFmtId="0" fontId="0" fillId="0" borderId="0" xfId="0" applyAlignment="1" applyProtection="1">
      <alignment wrapText="1"/>
      <protection hidden="1"/>
    </xf>
    <xf numFmtId="0" fontId="9" fillId="9" borderId="0" xfId="0" applyFont="1" applyFill="1" applyProtection="1">
      <protection hidden="1"/>
    </xf>
    <xf numFmtId="0" fontId="9" fillId="9" borderId="0" xfId="0" applyFont="1" applyFill="1" applyAlignment="1" applyProtection="1">
      <alignment wrapText="1"/>
      <protection hidden="1"/>
    </xf>
    <xf numFmtId="0" fontId="9" fillId="10" borderId="0" xfId="0" applyFont="1" applyFill="1" applyProtection="1">
      <protection hidden="1"/>
    </xf>
    <xf numFmtId="0" fontId="0" fillId="0" borderId="0" xfId="0" applyAlignment="1" applyProtection="1">
      <alignment horizontal="left" vertical="center"/>
      <protection hidden="1"/>
    </xf>
    <xf numFmtId="9" fontId="0" fillId="0" borderId="0" xfId="1"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lignment horizontal="center"/>
    </xf>
    <xf numFmtId="164" fontId="0" fillId="0" borderId="0" xfId="2" applyNumberFormat="1" applyFont="1" applyProtection="1">
      <protection locked="0"/>
    </xf>
    <xf numFmtId="9" fontId="0" fillId="0" borderId="0" xfId="0" applyNumberFormat="1" applyFont="1" applyAlignment="1" applyProtection="1">
      <alignment horizontal="center" vertical="center"/>
    </xf>
    <xf numFmtId="0" fontId="0" fillId="6" borderId="10" xfId="0" quotePrefix="1" applyFill="1" applyBorder="1" applyAlignment="1">
      <alignment horizontal="left" vertical="top" wrapText="1"/>
    </xf>
    <xf numFmtId="0" fontId="0" fillId="6" borderId="0" xfId="0" quotePrefix="1" applyFill="1" applyBorder="1" applyAlignment="1">
      <alignment horizontal="left" vertical="top" wrapText="1"/>
    </xf>
    <xf numFmtId="0" fontId="0" fillId="6" borderId="1" xfId="0" quotePrefix="1" applyFill="1" applyBorder="1" applyAlignment="1">
      <alignment horizontal="left" vertical="top" wrapText="1"/>
    </xf>
    <xf numFmtId="0" fontId="0" fillId="6" borderId="12" xfId="0" applyFill="1" applyBorder="1" applyAlignment="1">
      <alignment horizontal="left" vertical="top" wrapText="1"/>
    </xf>
    <xf numFmtId="0" fontId="0" fillId="6" borderId="0" xfId="0" applyFill="1" applyBorder="1" applyAlignment="1">
      <alignment horizontal="left" vertical="top" wrapText="1"/>
    </xf>
    <xf numFmtId="0" fontId="0" fillId="6" borderId="13" xfId="0" applyFill="1" applyBorder="1" applyAlignment="1">
      <alignment horizontal="left" vertical="top" wrapText="1"/>
    </xf>
    <xf numFmtId="0" fontId="0" fillId="6" borderId="14" xfId="0" applyFill="1" applyBorder="1" applyAlignment="1">
      <alignment horizontal="left" vertical="top" wrapText="1"/>
    </xf>
    <xf numFmtId="0" fontId="0" fillId="6" borderId="1" xfId="0" applyFill="1" applyBorder="1" applyAlignment="1">
      <alignment horizontal="left" vertical="top" wrapText="1"/>
    </xf>
    <xf numFmtId="0" fontId="0" fillId="6" borderId="15"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0" fillId="6" borderId="12" xfId="0" quotePrefix="1" applyFill="1" applyBorder="1" applyAlignment="1">
      <alignment horizontal="left" vertical="top" wrapText="1"/>
    </xf>
    <xf numFmtId="0" fontId="0" fillId="6" borderId="13" xfId="0" quotePrefix="1" applyFill="1" applyBorder="1" applyAlignment="1">
      <alignment horizontal="left" vertical="top" wrapText="1"/>
    </xf>
    <xf numFmtId="0" fontId="0" fillId="6" borderId="14" xfId="0" quotePrefix="1" applyFill="1" applyBorder="1" applyAlignment="1">
      <alignment horizontal="left" vertical="top" wrapText="1"/>
    </xf>
    <xf numFmtId="0" fontId="0" fillId="6" borderId="15" xfId="0" quotePrefix="1" applyFill="1" applyBorder="1" applyAlignment="1">
      <alignment horizontal="left" vertical="top" wrapText="1"/>
    </xf>
    <xf numFmtId="0" fontId="0" fillId="6" borderId="10" xfId="0" applyFill="1" applyBorder="1" applyAlignment="1">
      <alignment horizontal="left" vertical="top"/>
    </xf>
    <xf numFmtId="0" fontId="0" fillId="6" borderId="11" xfId="0" applyFill="1" applyBorder="1" applyAlignment="1">
      <alignment horizontal="left" vertical="top"/>
    </xf>
    <xf numFmtId="0" fontId="0" fillId="6" borderId="1" xfId="0" applyFill="1" applyBorder="1" applyAlignment="1">
      <alignment horizontal="left" vertical="top"/>
    </xf>
    <xf numFmtId="0" fontId="0" fillId="6" borderId="15" xfId="0" applyFill="1" applyBorder="1" applyAlignment="1">
      <alignment horizontal="left" vertical="top"/>
    </xf>
    <xf numFmtId="0" fontId="0" fillId="6" borderId="9" xfId="0" applyFill="1" applyBorder="1" applyAlignment="1">
      <alignment horizontal="center"/>
    </xf>
    <xf numFmtId="0" fontId="0" fillId="6" borderId="14" xfId="0" applyFill="1" applyBorder="1" applyAlignment="1">
      <alignment horizontal="center"/>
    </xf>
    <xf numFmtId="0" fontId="0" fillId="13" borderId="0" xfId="0" applyFill="1" applyBorder="1" applyAlignment="1">
      <alignment horizontal="left" vertical="top" wrapText="1"/>
    </xf>
    <xf numFmtId="0" fontId="0" fillId="6" borderId="8" xfId="0" applyFill="1" applyBorder="1" applyAlignment="1">
      <alignment horizontal="left" vertical="top" wrapText="1"/>
    </xf>
    <xf numFmtId="0" fontId="0" fillId="6" borderId="24" xfId="0" applyFill="1" applyBorder="1" applyAlignment="1">
      <alignment horizontal="left" vertical="top" wrapText="1"/>
    </xf>
    <xf numFmtId="0" fontId="0" fillId="6" borderId="8" xfId="0" quotePrefix="1" applyFill="1" applyBorder="1" applyAlignment="1">
      <alignment horizontal="left" vertical="top" wrapText="1"/>
    </xf>
    <xf numFmtId="0" fontId="0" fillId="6" borderId="0" xfId="0" applyFill="1" applyBorder="1" applyAlignment="1">
      <alignment horizontal="left" vertical="top"/>
    </xf>
    <xf numFmtId="0" fontId="8" fillId="5" borderId="0" xfId="0" applyFont="1" applyFill="1" applyBorder="1" applyAlignment="1">
      <alignment horizontal="center"/>
    </xf>
    <xf numFmtId="0" fontId="0" fillId="13" borderId="0" xfId="0" quotePrefix="1" applyFill="1" applyBorder="1" applyAlignment="1">
      <alignment horizontal="left" vertical="top" wrapText="1"/>
    </xf>
    <xf numFmtId="0" fontId="23" fillId="5" borderId="0" xfId="4" applyFont="1" applyFill="1" applyBorder="1" applyAlignment="1">
      <alignment horizontal="center"/>
    </xf>
    <xf numFmtId="0" fontId="0" fillId="6" borderId="0" xfId="0" quotePrefix="1" applyFont="1" applyFill="1" applyBorder="1" applyAlignment="1">
      <alignment horizontal="left" vertical="center" wrapText="1"/>
    </xf>
    <xf numFmtId="0" fontId="0" fillId="6" borderId="0" xfId="0" applyFont="1" applyFill="1" applyBorder="1" applyAlignment="1">
      <alignment horizontal="left" vertical="center" wrapText="1"/>
    </xf>
    <xf numFmtId="0" fontId="20" fillId="12" borderId="0" xfId="0" applyFont="1" applyFill="1" applyBorder="1" applyAlignment="1">
      <alignment horizontal="left"/>
    </xf>
    <xf numFmtId="0" fontId="17" fillId="6" borderId="1" xfId="0" applyFont="1" applyFill="1" applyBorder="1" applyAlignment="1">
      <alignment horizontal="left"/>
    </xf>
    <xf numFmtId="0" fontId="0" fillId="6" borderId="0" xfId="0" applyFill="1" applyBorder="1" applyAlignment="1">
      <alignment horizontal="center"/>
    </xf>
    <xf numFmtId="0" fontId="23" fillId="7" borderId="0" xfId="4" applyFont="1" applyFill="1" applyBorder="1" applyAlignment="1">
      <alignment horizontal="center"/>
    </xf>
    <xf numFmtId="0" fontId="23" fillId="8" borderId="0" xfId="4" applyFont="1" applyFill="1" applyBorder="1" applyAlignment="1">
      <alignment horizontal="center"/>
    </xf>
    <xf numFmtId="0" fontId="8" fillId="2" borderId="0" xfId="0" applyFont="1" applyFill="1" applyAlignment="1" applyProtection="1">
      <alignment horizontal="left"/>
    </xf>
    <xf numFmtId="0" fontId="0" fillId="0" borderId="0" xfId="0" applyFont="1" applyAlignment="1" applyProtection="1">
      <alignment horizontal="left" vertical="top" wrapText="1"/>
    </xf>
    <xf numFmtId="0" fontId="4" fillId="5" borderId="0" xfId="0" applyFont="1" applyFill="1" applyAlignment="1" applyProtection="1">
      <alignment horizontal="center"/>
    </xf>
    <xf numFmtId="0" fontId="2" fillId="8" borderId="0" xfId="0" applyFont="1" applyFill="1" applyAlignment="1" applyProtection="1">
      <alignment horizontal="center"/>
    </xf>
    <xf numFmtId="0" fontId="0" fillId="0" borderId="3" xfId="0" applyBorder="1" applyAlignment="1" applyProtection="1">
      <alignment horizontal="left" vertical="top" wrapText="1"/>
    </xf>
    <xf numFmtId="0" fontId="8" fillId="2" borderId="3" xfId="0" applyFont="1" applyFill="1" applyBorder="1" applyAlignment="1" applyProtection="1">
      <alignment horizontal="left"/>
    </xf>
    <xf numFmtId="0" fontId="2" fillId="7" borderId="0" xfId="0" applyFont="1" applyFill="1" applyAlignment="1" applyProtection="1">
      <alignment horizontal="center"/>
    </xf>
    <xf numFmtId="0" fontId="8" fillId="2" borderId="3" xfId="0" applyFont="1" applyFill="1" applyBorder="1" applyAlignment="1" applyProtection="1">
      <alignment horizontal="left"/>
      <protection hidden="1"/>
    </xf>
    <xf numFmtId="0" fontId="0" fillId="0" borderId="3" xfId="0" applyBorder="1" applyAlignment="1" applyProtection="1">
      <alignment horizontal="left" vertical="top" wrapText="1"/>
      <protection hidden="1"/>
    </xf>
    <xf numFmtId="0" fontId="4" fillId="5" borderId="0" xfId="0" applyFont="1" applyFill="1" applyAlignment="1" applyProtection="1">
      <alignment horizontal="center"/>
      <protection hidden="1"/>
    </xf>
    <xf numFmtId="0" fontId="2" fillId="7" borderId="0" xfId="0" applyFont="1" applyFill="1" applyAlignment="1" applyProtection="1">
      <alignment horizontal="center"/>
      <protection hidden="1"/>
    </xf>
    <xf numFmtId="0" fontId="2" fillId="8" borderId="0" xfId="0" applyFont="1" applyFill="1" applyAlignment="1" applyProtection="1">
      <alignment horizontal="center"/>
      <protection hidden="1"/>
    </xf>
    <xf numFmtId="0" fontId="0" fillId="0" borderId="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0" xfId="0" applyAlignment="1">
      <alignment horizontal="left"/>
    </xf>
    <xf numFmtId="0" fontId="9" fillId="3" borderId="0" xfId="0" quotePrefix="1" applyFont="1" applyFill="1" applyAlignment="1" applyProtection="1">
      <alignment horizontal="left" wrapText="1"/>
    </xf>
    <xf numFmtId="0" fontId="9" fillId="3" borderId="0" xfId="0" quotePrefix="1" applyFont="1" applyFill="1" applyAlignment="1" applyProtection="1">
      <alignment horizontal="left" wrapText="1"/>
      <protection hidden="1"/>
    </xf>
    <xf numFmtId="0" fontId="9" fillId="3" borderId="0" xfId="0" quotePrefix="1" applyFont="1" applyFill="1" applyAlignment="1" applyProtection="1">
      <alignment horizontal="left"/>
      <protection hidden="1"/>
    </xf>
    <xf numFmtId="0" fontId="9" fillId="3" borderId="0" xfId="0" quotePrefix="1" applyFont="1" applyFill="1" applyAlignment="1" applyProtection="1">
      <alignment horizontal="left"/>
    </xf>
  </cellXfs>
  <cellStyles count="5">
    <cellStyle name="Comma" xfId="2" builtinId="3"/>
    <cellStyle name="Hyperlink" xfId="4" builtinId="8"/>
    <cellStyle name="Normal" xfId="0" builtinId="0"/>
    <cellStyle name="Normal 2" xfId="3" xr:uid="{53D9800D-627D-4F30-8F8C-D924AF55AFC6}"/>
    <cellStyle name="Percent" xfId="1" builtinId="5"/>
  </cellStyles>
  <dxfs count="305">
    <dxf>
      <font>
        <b/>
        <i/>
        <color rgb="FFC00000"/>
      </font>
      <fill>
        <patternFill patternType="solid">
          <bgColor rgb="FFFFE7E7"/>
        </patternFill>
      </fill>
      <border>
        <left style="thin">
          <color rgb="FFC00000"/>
        </left>
        <right style="thin">
          <color rgb="FFC00000"/>
        </right>
        <top style="thin">
          <color rgb="FFC00000"/>
        </top>
        <bottom style="thin">
          <color rgb="FFC00000"/>
        </bottom>
      </border>
    </dxf>
    <dxf>
      <fill>
        <patternFill>
          <bgColor theme="5" tint="0.59996337778862885"/>
        </patternFill>
      </fill>
    </dxf>
    <dxf>
      <font>
        <color theme="1"/>
      </font>
      <fill>
        <patternFill>
          <bgColor rgb="FF8FCFFF"/>
        </patternFill>
      </fill>
    </dxf>
    <dxf>
      <numFmt numFmtId="165" formatCode=";;;"/>
    </dxf>
    <dxf>
      <font>
        <b/>
        <i/>
        <color rgb="FFC00000"/>
      </font>
      <fill>
        <patternFill patternType="solid">
          <bgColor rgb="FFFFE7E7"/>
        </patternFill>
      </fill>
      <border>
        <left style="thin">
          <color rgb="FFC00000"/>
        </left>
        <right style="thin">
          <color rgb="FFC00000"/>
        </right>
        <top style="thin">
          <color rgb="FFC00000"/>
        </top>
        <bottom style="thin">
          <color rgb="FFC00000"/>
        </bottom>
      </border>
    </dxf>
    <dxf>
      <fill>
        <patternFill>
          <bgColor theme="5" tint="0.59996337778862885"/>
        </patternFill>
      </fill>
    </dxf>
    <dxf>
      <font>
        <color theme="1"/>
      </font>
      <fill>
        <patternFill>
          <bgColor rgb="FF8FCFFF"/>
        </patternFill>
      </fill>
    </dxf>
    <dxf>
      <numFmt numFmtId="165" formatCode=";;;"/>
    </dxf>
    <dxf>
      <numFmt numFmtId="165" formatCode=";;;"/>
    </dxf>
    <dxf>
      <numFmt numFmtId="165" formatCode=";;;"/>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protection locked="1" hidden="0"/>
    </dxf>
    <dxf>
      <protection locked="1" hidden="0"/>
    </dxf>
    <dxf>
      <protection locked="1" hidden="0"/>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protection locked="1" hidden="1"/>
    </dxf>
    <dxf>
      <protection locked="1" hidden="1"/>
    </dxf>
    <dxf>
      <protection locked="1" hidden="1"/>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left" vertical="center" textRotation="0" wrapText="0" indent="0" justifyLastLine="0" shrinkToFit="0" readingOrder="0"/>
      <protection locked="1" hidden="0"/>
    </dxf>
    <dxf>
      <alignment horizontal="left" vertical="center" textRotation="0" wrapText="0" indent="0" justifyLastLine="0" shrinkToFit="0" readingOrder="0"/>
      <protection locked="1" hidden="0"/>
    </dxf>
    <dxf>
      <alignment horizontal="left"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numFmt numFmtId="0" formatCode="General"/>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left" vertical="center" textRotation="0" wrapText="0" indent="0" justifyLastLine="0" shrinkToFit="0" readingOrder="0"/>
      <protection locked="1" hidden="0"/>
    </dxf>
    <dxf>
      <numFmt numFmtId="0" formatCode="General"/>
      <alignment horizontal="left" vertical="center" textRotation="0" wrapText="0" indent="0" justifyLastLine="0" shrinkToFit="0" readingOrder="0"/>
      <protection locked="1" hidden="0"/>
    </dxf>
    <dxf>
      <alignment horizontal="left" vertical="center" textRotation="0" wrapText="0" indent="0" justifyLastLine="0" shrinkToFit="0" readingOrder="0"/>
      <protection locked="1" hidden="0"/>
    </dxf>
    <dxf>
      <protection locked="1" hidden="0"/>
    </dxf>
    <dxf>
      <protection locked="1" hidden="0"/>
    </dxf>
    <dxf>
      <protection locked="1" hidden="0"/>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numFmt numFmtId="13" formatCode="0%"/>
      <alignment horizontal="center" vertical="center" textRotation="0" wrapText="0" indent="0" justifyLastLine="0" shrinkToFit="0" readingOrder="0"/>
      <protection locked="1" hidden="1"/>
    </dxf>
    <dxf>
      <numFmt numFmtId="0" formatCode="General"/>
      <alignment horizontal="center" vertical="center" textRotation="0" wrapText="0" indent="0" justifyLastLine="0" shrinkToFit="0" readingOrder="0"/>
      <protection locked="1" hidden="1"/>
    </dxf>
    <dxf>
      <alignment horizontal="center" vertical="center" textRotation="0" wrapText="0" indent="0" justifyLastLine="0" shrinkToFit="0" readingOrder="0"/>
      <protection locked="1" hidden="1"/>
    </dxf>
    <dxf>
      <alignment horizontal="left" vertical="center" textRotation="0" wrapText="0" indent="0" justifyLastLine="0" shrinkToFit="0" readingOrder="0"/>
      <protection locked="1" hidden="1"/>
    </dxf>
    <dxf>
      <numFmt numFmtId="0" formatCode="General"/>
      <alignment horizontal="left" vertical="center" textRotation="0" wrapText="0" indent="0" justifyLastLine="0" shrinkToFit="0" readingOrder="0"/>
      <protection locked="1" hidden="1"/>
    </dxf>
    <dxf>
      <alignment horizontal="left" vertical="center" textRotation="0" wrapText="0" indent="0" justifyLastLine="0" shrinkToFit="0" readingOrder="0"/>
      <protection locked="1" hidden="1"/>
    </dxf>
    <dxf>
      <protection locked="1" hidden="1"/>
    </dxf>
    <dxf>
      <protection locked="1" hidden="1"/>
    </dxf>
    <dxf>
      <protection locked="1" hidden="1"/>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0" hidden="0"/>
    </dxf>
    <dxf>
      <alignment horizontal="left" vertical="center" textRotation="0" wrapText="0" indent="0" justifyLastLine="0" shrinkToFit="0" readingOrder="0"/>
      <protection locked="1" hidden="0"/>
    </dxf>
    <dxf>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1" hidden="0"/>
    </dxf>
    <dxf>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1" hidden="0"/>
    </dxf>
    <dxf>
      <alignment horizontal="left" vertical="center" textRotation="0" wrapText="0" indent="0" justifyLastLine="0" shrinkToFit="0" readingOrder="0"/>
      <protection locked="0"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4" formatCode="_(* #,##0_);_(* \(#,##0\);_(* &quot;-&quot;??_);_(@_)"/>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protection locked="1" hidden="0"/>
    </dxf>
    <dxf>
      <numFmt numFmtId="164" formatCode="_(* #,##0_);_(* \(#,##0\);_(* &quot;-&quot;??_);_(@_)"/>
      <alignment horizontal="center" vertical="bottom" textRotation="0" wrapText="0" indent="0" justifyLastLine="0" shrinkToFit="0" readingOrder="0"/>
      <protection locked="0" hidden="0"/>
    </dxf>
    <dxf>
      <protection locked="1" hidden="0"/>
    </dxf>
    <dxf>
      <protection locked="1" hidden="0"/>
    </dxf>
    <dxf>
      <protection locked="1" hidden="0"/>
    </dxf>
  </dxfs>
  <tableStyles count="0" defaultTableStyle="TableStyleMedium2" defaultPivotStyle="PivotStyleLight16"/>
  <colors>
    <mruColors>
      <color rgb="FFFFE7E7"/>
      <color rgb="FFFCAAAA"/>
      <color rgb="FF7A99FE"/>
      <color rgb="FF8FCFFF"/>
      <color rgb="FFA3D8FF"/>
      <color rgb="FFBDE3FF"/>
      <color rgb="FF57D3FF"/>
      <color rgb="FFBDD7EE"/>
      <color rgb="FFFFD1D1"/>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'Dashboard Data'!$L$59</c:f>
              <c:strCache>
                <c:ptCount val="1"/>
                <c:pt idx="0">
                  <c:v>F</c:v>
                </c:pt>
              </c:strCache>
            </c:strRef>
          </c:tx>
          <c:spPr>
            <a:solidFill>
              <a:schemeClr val="accent1"/>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Data'!$M$58:$N$58</c:f>
              <c:strCache>
                <c:ptCount val="2"/>
                <c:pt idx="0">
                  <c:v>Percent in Cluster</c:v>
                </c:pt>
                <c:pt idx="1">
                  <c:v>Percent Overall</c:v>
                </c:pt>
              </c:strCache>
            </c:strRef>
          </c:cat>
          <c:val>
            <c:numRef>
              <c:f>'Dashboard Data'!$M$59:$N$59</c:f>
              <c:numCache>
                <c:formatCode>0%</c:formatCode>
                <c:ptCount val="2"/>
                <c:pt idx="0">
                  <c:v>0.38709677419354838</c:v>
                </c:pt>
                <c:pt idx="1">
                  <c:v>0.51</c:v>
                </c:pt>
              </c:numCache>
            </c:numRef>
          </c:val>
          <c:extLst>
            <c:ext xmlns:c16="http://schemas.microsoft.com/office/drawing/2014/chart" uri="{C3380CC4-5D6E-409C-BE32-E72D297353CC}">
              <c16:uniqueId val="{00000000-72D7-4838-8B24-004346301A5B}"/>
            </c:ext>
          </c:extLst>
        </c:ser>
        <c:ser>
          <c:idx val="1"/>
          <c:order val="1"/>
          <c:tx>
            <c:strRef>
              <c:f>'Dashboard Data'!$L$60</c:f>
              <c:strCache>
                <c:ptCount val="1"/>
                <c:pt idx="0">
                  <c:v>M</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Data'!$M$58:$N$58</c:f>
              <c:strCache>
                <c:ptCount val="2"/>
                <c:pt idx="0">
                  <c:v>Percent in Cluster</c:v>
                </c:pt>
                <c:pt idx="1">
                  <c:v>Percent Overall</c:v>
                </c:pt>
              </c:strCache>
            </c:strRef>
          </c:cat>
          <c:val>
            <c:numRef>
              <c:f>'Dashboard Data'!$M$60:$N$60</c:f>
              <c:numCache>
                <c:formatCode>0%</c:formatCode>
                <c:ptCount val="2"/>
                <c:pt idx="0">
                  <c:v>0.58064516129032262</c:v>
                </c:pt>
                <c:pt idx="1">
                  <c:v>0.49</c:v>
                </c:pt>
              </c:numCache>
            </c:numRef>
          </c:val>
          <c:extLst>
            <c:ext xmlns:c16="http://schemas.microsoft.com/office/drawing/2014/chart" uri="{C3380CC4-5D6E-409C-BE32-E72D297353CC}">
              <c16:uniqueId val="{00000001-72D7-4838-8B24-004346301A5B}"/>
            </c:ext>
          </c:extLst>
        </c:ser>
        <c:ser>
          <c:idx val="2"/>
          <c:order val="2"/>
          <c:tx>
            <c:strRef>
              <c:f>'Dashboard Data'!$L$61</c:f>
              <c:strCache>
                <c:ptCount val="1"/>
                <c:pt idx="0">
                  <c:v>Other</c:v>
                </c:pt>
              </c:strCache>
            </c:strRef>
          </c:tx>
          <c:spPr>
            <a:solidFill>
              <a:schemeClr val="accent3"/>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Data'!$M$58:$N$58</c:f>
              <c:strCache>
                <c:ptCount val="2"/>
                <c:pt idx="0">
                  <c:v>Percent in Cluster</c:v>
                </c:pt>
                <c:pt idx="1">
                  <c:v>Percent Overall</c:v>
                </c:pt>
              </c:strCache>
            </c:strRef>
          </c:cat>
          <c:val>
            <c:numRef>
              <c:f>'Dashboard Data'!$M$61:$N$61</c:f>
            </c:numRef>
          </c:val>
          <c:extLst>
            <c:ext xmlns:c16="http://schemas.microsoft.com/office/drawing/2014/chart" uri="{C3380CC4-5D6E-409C-BE32-E72D297353CC}">
              <c16:uniqueId val="{00000000-0568-44A1-8E47-1A3329EEBC82}"/>
            </c:ext>
          </c:extLst>
        </c:ser>
        <c:dLbls>
          <c:dLblPos val="ctr"/>
          <c:showLegendKey val="0"/>
          <c:showVal val="1"/>
          <c:showCatName val="0"/>
          <c:showSerName val="0"/>
          <c:showPercent val="0"/>
          <c:showBubbleSize val="0"/>
        </c:dLbls>
        <c:gapWidth val="50"/>
        <c:overlap val="100"/>
        <c:axId val="2003166751"/>
        <c:axId val="1900108655"/>
      </c:barChart>
      <c:catAx>
        <c:axId val="2003166751"/>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0108655"/>
        <c:crosses val="autoZero"/>
        <c:auto val="1"/>
        <c:lblAlgn val="ctr"/>
        <c:lblOffset val="100"/>
        <c:noMultiLvlLbl val="0"/>
      </c:catAx>
      <c:valAx>
        <c:axId val="1900108655"/>
        <c:scaling>
          <c:orientation val="minMax"/>
        </c:scaling>
        <c:delete val="0"/>
        <c:axPos val="b"/>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3166751"/>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'Dashboard Data'!$B$4</c:f>
              <c:strCache>
                <c:ptCount val="1"/>
                <c:pt idx="0">
                  <c:v>F</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Data'!$E$3:$F$3</c:f>
              <c:strCache>
                <c:ptCount val="2"/>
                <c:pt idx="0">
                  <c:v>PS CTE</c:v>
                </c:pt>
                <c:pt idx="1">
                  <c:v>PS All</c:v>
                </c:pt>
              </c:strCache>
            </c:strRef>
          </c:cat>
          <c:val>
            <c:numRef>
              <c:f>'Dashboard Data'!$E$4:$F$4</c:f>
              <c:numCache>
                <c:formatCode>0%</c:formatCode>
                <c:ptCount val="2"/>
                <c:pt idx="0">
                  <c:v>0</c:v>
                </c:pt>
                <c:pt idx="1">
                  <c:v>0</c:v>
                </c:pt>
              </c:numCache>
            </c:numRef>
          </c:val>
          <c:extLst>
            <c:ext xmlns:c16="http://schemas.microsoft.com/office/drawing/2014/chart" uri="{C3380CC4-5D6E-409C-BE32-E72D297353CC}">
              <c16:uniqueId val="{00000000-BFFA-4DC1-A356-5B4D3CE9A0CB}"/>
            </c:ext>
          </c:extLst>
        </c:ser>
        <c:ser>
          <c:idx val="1"/>
          <c:order val="1"/>
          <c:tx>
            <c:strRef>
              <c:f>'Dashboard Data'!$B$5</c:f>
              <c:strCache>
                <c:ptCount val="1"/>
                <c:pt idx="0">
                  <c:v>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Data'!$E$3:$F$3</c:f>
              <c:strCache>
                <c:ptCount val="2"/>
                <c:pt idx="0">
                  <c:v>PS CTE</c:v>
                </c:pt>
                <c:pt idx="1">
                  <c:v>PS All</c:v>
                </c:pt>
              </c:strCache>
            </c:strRef>
          </c:cat>
          <c:val>
            <c:numRef>
              <c:f>'Dashboard Data'!$E$5:$F$5</c:f>
              <c:numCache>
                <c:formatCode>0%</c:formatCode>
                <c:ptCount val="2"/>
                <c:pt idx="0">
                  <c:v>0</c:v>
                </c:pt>
                <c:pt idx="1">
                  <c:v>0</c:v>
                </c:pt>
              </c:numCache>
            </c:numRef>
          </c:val>
          <c:extLst>
            <c:ext xmlns:c16="http://schemas.microsoft.com/office/drawing/2014/chart" uri="{C3380CC4-5D6E-409C-BE32-E72D297353CC}">
              <c16:uniqueId val="{00000001-BFFA-4DC1-A356-5B4D3CE9A0CB}"/>
            </c:ext>
          </c:extLst>
        </c:ser>
        <c:ser>
          <c:idx val="2"/>
          <c:order val="2"/>
          <c:tx>
            <c:strRef>
              <c:f>'Dashboard Data'!$B$6</c:f>
              <c:strCache>
                <c:ptCount val="1"/>
                <c:pt idx="0">
                  <c:v>Other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Data'!$E$3:$F$3</c:f>
              <c:strCache>
                <c:ptCount val="2"/>
                <c:pt idx="0">
                  <c:v>PS CTE</c:v>
                </c:pt>
                <c:pt idx="1">
                  <c:v>PS All</c:v>
                </c:pt>
              </c:strCache>
            </c:strRef>
          </c:cat>
          <c:val>
            <c:numRef>
              <c:f>'Dashboard Data'!$E$6:$F$6</c:f>
            </c:numRef>
          </c:val>
          <c:extLst>
            <c:ext xmlns:c16="http://schemas.microsoft.com/office/drawing/2014/chart" uri="{C3380CC4-5D6E-409C-BE32-E72D297353CC}">
              <c16:uniqueId val="{00000002-BFFA-4DC1-A356-5B4D3CE9A0CB}"/>
            </c:ext>
          </c:extLst>
        </c:ser>
        <c:dLbls>
          <c:dLblPos val="ctr"/>
          <c:showLegendKey val="0"/>
          <c:showVal val="1"/>
          <c:showCatName val="0"/>
          <c:showSerName val="0"/>
          <c:showPercent val="0"/>
          <c:showBubbleSize val="0"/>
        </c:dLbls>
        <c:gapWidth val="50"/>
        <c:overlap val="100"/>
        <c:axId val="1153369919"/>
        <c:axId val="439432079"/>
      </c:barChart>
      <c:catAx>
        <c:axId val="11533699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432079"/>
        <c:crosses val="autoZero"/>
        <c:auto val="1"/>
        <c:lblAlgn val="ctr"/>
        <c:lblOffset val="100"/>
        <c:noMultiLvlLbl val="0"/>
      </c:catAx>
      <c:valAx>
        <c:axId val="4394320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33699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 Race/ 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Data'!$E$7</c:f>
              <c:strCache>
                <c:ptCount val="1"/>
                <c:pt idx="0">
                  <c:v>PS CTE</c:v>
                </c:pt>
              </c:strCache>
            </c:strRef>
          </c:tx>
          <c:spPr>
            <a:solidFill>
              <a:schemeClr val="accent1"/>
            </a:solidFill>
            <a:ln>
              <a:noFill/>
            </a:ln>
            <a:effectLst/>
          </c:spPr>
          <c:invertIfNegative val="0"/>
          <c:cat>
            <c:strRef>
              <c:f>'Dashboard Data'!$B$8:$B$15</c:f>
              <c:strCache>
                <c:ptCount val="4"/>
                <c:pt idx="0">
                  <c:v>Asian</c:v>
                </c:pt>
                <c:pt idx="1">
                  <c:v>Hispanic</c:v>
                </c:pt>
                <c:pt idx="2">
                  <c:v>Black</c:v>
                </c:pt>
                <c:pt idx="3">
                  <c:v>White</c:v>
                </c:pt>
              </c:strCache>
            </c:strRef>
          </c:cat>
          <c:val>
            <c:numRef>
              <c:f>'Dashboard Data'!$E$8:$E$15</c:f>
              <c:numCache>
                <c:formatCode>0%</c:formatCode>
                <c:ptCount val="4"/>
                <c:pt idx="0">
                  <c:v>0</c:v>
                </c:pt>
                <c:pt idx="1">
                  <c:v>0</c:v>
                </c:pt>
                <c:pt idx="2">
                  <c:v>0</c:v>
                </c:pt>
                <c:pt idx="3">
                  <c:v>0</c:v>
                </c:pt>
              </c:numCache>
            </c:numRef>
          </c:val>
          <c:extLst>
            <c:ext xmlns:c16="http://schemas.microsoft.com/office/drawing/2014/chart" uri="{C3380CC4-5D6E-409C-BE32-E72D297353CC}">
              <c16:uniqueId val="{00000000-B439-46C4-AE0E-620E0B567184}"/>
            </c:ext>
          </c:extLst>
        </c:ser>
        <c:ser>
          <c:idx val="1"/>
          <c:order val="1"/>
          <c:tx>
            <c:strRef>
              <c:f>'Dashboard Data'!$F$7</c:f>
              <c:strCache>
                <c:ptCount val="1"/>
                <c:pt idx="0">
                  <c:v>PS All</c:v>
                </c:pt>
              </c:strCache>
            </c:strRef>
          </c:tx>
          <c:spPr>
            <a:solidFill>
              <a:schemeClr val="accent2"/>
            </a:solidFill>
            <a:ln>
              <a:noFill/>
            </a:ln>
            <a:effectLst/>
          </c:spPr>
          <c:invertIfNegative val="0"/>
          <c:cat>
            <c:strRef>
              <c:f>'Dashboard Data'!$B$8:$B$15</c:f>
              <c:strCache>
                <c:ptCount val="4"/>
                <c:pt idx="0">
                  <c:v>Asian</c:v>
                </c:pt>
                <c:pt idx="1">
                  <c:v>Hispanic</c:v>
                </c:pt>
                <c:pt idx="2">
                  <c:v>Black</c:v>
                </c:pt>
                <c:pt idx="3">
                  <c:v>White</c:v>
                </c:pt>
              </c:strCache>
            </c:strRef>
          </c:cat>
          <c:val>
            <c:numRef>
              <c:f>'Dashboard Data'!$F$8:$F$15</c:f>
              <c:numCache>
                <c:formatCode>0%</c:formatCode>
                <c:ptCount val="4"/>
                <c:pt idx="0">
                  <c:v>0</c:v>
                </c:pt>
                <c:pt idx="1">
                  <c:v>0</c:v>
                </c:pt>
                <c:pt idx="2">
                  <c:v>0</c:v>
                </c:pt>
                <c:pt idx="3">
                  <c:v>0</c:v>
                </c:pt>
              </c:numCache>
            </c:numRef>
          </c:val>
          <c:extLst>
            <c:ext xmlns:c16="http://schemas.microsoft.com/office/drawing/2014/chart" uri="{C3380CC4-5D6E-409C-BE32-E72D297353CC}">
              <c16:uniqueId val="{00000001-B439-46C4-AE0E-620E0B567184}"/>
            </c:ext>
          </c:extLst>
        </c:ser>
        <c:dLbls>
          <c:showLegendKey val="0"/>
          <c:showVal val="0"/>
          <c:showCatName val="0"/>
          <c:showSerName val="0"/>
          <c:showPercent val="0"/>
          <c:showBubbleSize val="0"/>
        </c:dLbls>
        <c:gapWidth val="219"/>
        <c:overlap val="-27"/>
        <c:axId val="1270211071"/>
        <c:axId val="1267075215"/>
      </c:barChart>
      <c:catAx>
        <c:axId val="1270211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7075215"/>
        <c:crosses val="autoZero"/>
        <c:auto val="1"/>
        <c:lblAlgn val="ctr"/>
        <c:lblOffset val="100"/>
        <c:noMultiLvlLbl val="0"/>
      </c:catAx>
      <c:valAx>
        <c:axId val="12670752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0211071"/>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Data'!$E$16</c:f>
              <c:strCache>
                <c:ptCount val="1"/>
                <c:pt idx="0">
                  <c:v>PS CTE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Data'!$B$17:$B$25</c:f>
              <c:strCache>
                <c:ptCount val="3"/>
                <c:pt idx="0">
                  <c:v>Dis</c:v>
                </c:pt>
                <c:pt idx="1">
                  <c:v>ED</c:v>
                </c:pt>
                <c:pt idx="2">
                  <c:v>EL</c:v>
                </c:pt>
              </c:strCache>
            </c:strRef>
          </c:cat>
          <c:val>
            <c:numRef>
              <c:f>'Dashboard Data'!$E$17:$E$25</c:f>
              <c:numCache>
                <c:formatCode>0%</c:formatCode>
                <c:ptCount val="3"/>
                <c:pt idx="0">
                  <c:v>0</c:v>
                </c:pt>
                <c:pt idx="1">
                  <c:v>0</c:v>
                </c:pt>
                <c:pt idx="2">
                  <c:v>0</c:v>
                </c:pt>
              </c:numCache>
            </c:numRef>
          </c:val>
          <c:extLst>
            <c:ext xmlns:c16="http://schemas.microsoft.com/office/drawing/2014/chart" uri="{C3380CC4-5D6E-409C-BE32-E72D297353CC}">
              <c16:uniqueId val="{00000000-3F79-4334-BE1C-FA82C4A5513B}"/>
            </c:ext>
          </c:extLst>
        </c:ser>
        <c:ser>
          <c:idx val="1"/>
          <c:order val="1"/>
          <c:tx>
            <c:strRef>
              <c:f>'Dashboard Data'!$F$16</c:f>
              <c:strCache>
                <c:ptCount val="1"/>
                <c:pt idx="0">
                  <c:v>PS All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Data'!$B$17:$B$25</c:f>
              <c:strCache>
                <c:ptCount val="3"/>
                <c:pt idx="0">
                  <c:v>Dis</c:v>
                </c:pt>
                <c:pt idx="1">
                  <c:v>ED</c:v>
                </c:pt>
                <c:pt idx="2">
                  <c:v>EL</c:v>
                </c:pt>
              </c:strCache>
            </c:strRef>
          </c:cat>
          <c:val>
            <c:numRef>
              <c:f>'Dashboard Data'!$F$17:$F$25</c:f>
              <c:numCache>
                <c:formatCode>0%</c:formatCode>
                <c:ptCount val="3"/>
                <c:pt idx="0">
                  <c:v>0</c:v>
                </c:pt>
                <c:pt idx="1">
                  <c:v>0</c:v>
                </c:pt>
                <c:pt idx="2">
                  <c:v>0</c:v>
                </c:pt>
              </c:numCache>
            </c:numRef>
          </c:val>
          <c:extLst>
            <c:ext xmlns:c16="http://schemas.microsoft.com/office/drawing/2014/chart" uri="{C3380CC4-5D6E-409C-BE32-E72D297353CC}">
              <c16:uniqueId val="{00000001-3F79-4334-BE1C-FA82C4A5513B}"/>
            </c:ext>
          </c:extLst>
        </c:ser>
        <c:dLbls>
          <c:dLblPos val="ctr"/>
          <c:showLegendKey val="0"/>
          <c:showVal val="1"/>
          <c:showCatName val="0"/>
          <c:showSerName val="0"/>
          <c:showPercent val="0"/>
          <c:showBubbleSize val="0"/>
        </c:dLbls>
        <c:gapWidth val="219"/>
        <c:overlap val="-27"/>
        <c:axId val="1049245935"/>
        <c:axId val="1267055663"/>
      </c:barChart>
      <c:catAx>
        <c:axId val="10492459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7055663"/>
        <c:crosses val="autoZero"/>
        <c:auto val="1"/>
        <c:lblAlgn val="ctr"/>
        <c:lblOffset val="100"/>
        <c:noMultiLvlLbl val="0"/>
      </c:catAx>
      <c:valAx>
        <c:axId val="12670556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245935"/>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a:t>
            </a:r>
            <a:r>
              <a:rPr lang="en-US" baseline="0"/>
              <a:t> Programs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Data'!$G$3</c:f>
              <c:strCache>
                <c:ptCount val="1"/>
                <c:pt idx="0">
                  <c:v>Sec Under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Data'!$B$4:$B$6</c:f>
              <c:strCache>
                <c:ptCount val="2"/>
                <c:pt idx="0">
                  <c:v>F</c:v>
                </c:pt>
                <c:pt idx="1">
                  <c:v>M</c:v>
                </c:pt>
              </c:strCache>
            </c:strRef>
          </c:cat>
          <c:val>
            <c:numRef>
              <c:f>'Dashboard Data'!$G$4:$G$6</c:f>
              <c:numCache>
                <c:formatCode>General</c:formatCode>
                <c:ptCount val="2"/>
                <c:pt idx="0">
                  <c:v>12</c:v>
                </c:pt>
                <c:pt idx="1">
                  <c:v>7</c:v>
                </c:pt>
              </c:numCache>
            </c:numRef>
          </c:val>
          <c:extLst>
            <c:ext xmlns:c16="http://schemas.microsoft.com/office/drawing/2014/chart" uri="{C3380CC4-5D6E-409C-BE32-E72D297353CC}">
              <c16:uniqueId val="{00000000-FE61-4AE4-987D-CF8B075FEB4E}"/>
            </c:ext>
          </c:extLst>
        </c:ser>
        <c:ser>
          <c:idx val="1"/>
          <c:order val="1"/>
          <c:tx>
            <c:strRef>
              <c:f>'Dashboard Data'!$H$3</c:f>
              <c:strCache>
                <c:ptCount val="1"/>
                <c:pt idx="0">
                  <c:v>Sec Over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Data'!$B$4:$B$6</c:f>
              <c:strCache>
                <c:ptCount val="2"/>
                <c:pt idx="0">
                  <c:v>F</c:v>
                </c:pt>
                <c:pt idx="1">
                  <c:v>M</c:v>
                </c:pt>
              </c:strCache>
            </c:strRef>
          </c:cat>
          <c:val>
            <c:numRef>
              <c:f>'Dashboard Data'!$H$4:$H$6</c:f>
              <c:numCache>
                <c:formatCode>General</c:formatCode>
                <c:ptCount val="2"/>
                <c:pt idx="0">
                  <c:v>7</c:v>
                </c:pt>
                <c:pt idx="1">
                  <c:v>12</c:v>
                </c:pt>
              </c:numCache>
            </c:numRef>
          </c:val>
          <c:extLst>
            <c:ext xmlns:c16="http://schemas.microsoft.com/office/drawing/2014/chart" uri="{C3380CC4-5D6E-409C-BE32-E72D297353CC}">
              <c16:uniqueId val="{00000001-FE61-4AE4-987D-CF8B075FEB4E}"/>
            </c:ext>
          </c:extLst>
        </c:ser>
        <c:dLbls>
          <c:dLblPos val="outEnd"/>
          <c:showLegendKey val="0"/>
          <c:showVal val="1"/>
          <c:showCatName val="0"/>
          <c:showSerName val="0"/>
          <c:showPercent val="0"/>
          <c:showBubbleSize val="0"/>
        </c:dLbls>
        <c:gapWidth val="219"/>
        <c:axId val="1049203535"/>
        <c:axId val="1267063567"/>
      </c:barChart>
      <c:catAx>
        <c:axId val="1049203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7063567"/>
        <c:crosses val="autoZero"/>
        <c:auto val="1"/>
        <c:lblAlgn val="ctr"/>
        <c:lblOffset val="100"/>
        <c:noMultiLvlLbl val="0"/>
      </c:catAx>
      <c:valAx>
        <c:axId val="12670635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203535"/>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en-US" sz="1400" b="0" i="0" u="none" strike="noStrike" baseline="0">
                <a:solidFill>
                  <a:sysClr val="windowText" lastClr="000000">
                    <a:lumMod val="65000"/>
                    <a:lumOff val="35000"/>
                  </a:sysClr>
                </a:solidFill>
                <a:latin typeface="Calibri" panose="020F0502020204030204"/>
              </a:rPr>
              <a:t>Secondary Programs</a:t>
            </a:r>
          </a:p>
        </c:rich>
      </c:tx>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Data'!$G$7</c:f>
              <c:strCache>
                <c:ptCount val="1"/>
                <c:pt idx="0">
                  <c:v>Sec Under</c:v>
                </c:pt>
              </c:strCache>
            </c:strRef>
          </c:tx>
          <c:spPr>
            <a:solidFill>
              <a:schemeClr val="accent1"/>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Data'!$B$8:$B$15</c:f>
              <c:strCache>
                <c:ptCount val="4"/>
                <c:pt idx="0">
                  <c:v>Asian</c:v>
                </c:pt>
                <c:pt idx="1">
                  <c:v>Hispanic</c:v>
                </c:pt>
                <c:pt idx="2">
                  <c:v>Black</c:v>
                </c:pt>
                <c:pt idx="3">
                  <c:v>White</c:v>
                </c:pt>
              </c:strCache>
            </c:strRef>
          </c:cat>
          <c:val>
            <c:numRef>
              <c:f>'Dashboard Data'!$G$8:$G$15</c:f>
              <c:numCache>
                <c:formatCode>General</c:formatCode>
                <c:ptCount val="4"/>
                <c:pt idx="0">
                  <c:v>0</c:v>
                </c:pt>
                <c:pt idx="1">
                  <c:v>12</c:v>
                </c:pt>
                <c:pt idx="2">
                  <c:v>6</c:v>
                </c:pt>
                <c:pt idx="3">
                  <c:v>3</c:v>
                </c:pt>
              </c:numCache>
            </c:numRef>
          </c:val>
          <c:extLst>
            <c:ext xmlns:c16="http://schemas.microsoft.com/office/drawing/2014/chart" uri="{C3380CC4-5D6E-409C-BE32-E72D297353CC}">
              <c16:uniqueId val="{00000000-61E9-429F-8FC0-C024E3E59410}"/>
            </c:ext>
          </c:extLst>
        </c:ser>
        <c:ser>
          <c:idx val="1"/>
          <c:order val="1"/>
          <c:tx>
            <c:strRef>
              <c:f>'Dashboard Data'!$H$7</c:f>
              <c:strCache>
                <c:ptCount val="1"/>
                <c:pt idx="0">
                  <c:v>Sec Over</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Data'!$B$8:$B$15</c:f>
              <c:strCache>
                <c:ptCount val="4"/>
                <c:pt idx="0">
                  <c:v>Asian</c:v>
                </c:pt>
                <c:pt idx="1">
                  <c:v>Hispanic</c:v>
                </c:pt>
                <c:pt idx="2">
                  <c:v>Black</c:v>
                </c:pt>
                <c:pt idx="3">
                  <c:v>White</c:v>
                </c:pt>
              </c:strCache>
            </c:strRef>
          </c:cat>
          <c:val>
            <c:numRef>
              <c:f>'Dashboard Data'!$H$8:$H$15</c:f>
              <c:numCache>
                <c:formatCode>General</c:formatCode>
                <c:ptCount val="4"/>
                <c:pt idx="0">
                  <c:v>3</c:v>
                </c:pt>
                <c:pt idx="1">
                  <c:v>3</c:v>
                </c:pt>
                <c:pt idx="2">
                  <c:v>2</c:v>
                </c:pt>
                <c:pt idx="3">
                  <c:v>12</c:v>
                </c:pt>
              </c:numCache>
            </c:numRef>
          </c:val>
          <c:extLst>
            <c:ext xmlns:c16="http://schemas.microsoft.com/office/drawing/2014/chart" uri="{C3380CC4-5D6E-409C-BE32-E72D297353CC}">
              <c16:uniqueId val="{00000001-61E9-429F-8FC0-C024E3E59410}"/>
            </c:ext>
          </c:extLst>
        </c:ser>
        <c:dLbls>
          <c:dLblPos val="ctr"/>
          <c:showLegendKey val="0"/>
          <c:showVal val="0"/>
          <c:showCatName val="1"/>
          <c:showSerName val="0"/>
          <c:showPercent val="0"/>
          <c:showBubbleSize val="0"/>
        </c:dLbls>
        <c:gapWidth val="100"/>
        <c:axId val="1144944815"/>
        <c:axId val="1267056495"/>
      </c:barChart>
      <c:catAx>
        <c:axId val="114494481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1267056495"/>
        <c:crosses val="autoZero"/>
        <c:auto val="1"/>
        <c:lblAlgn val="ctr"/>
        <c:lblOffset val="100"/>
        <c:noMultiLvlLbl val="0"/>
      </c:catAx>
      <c:valAx>
        <c:axId val="1267056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crossAx val="1144944815"/>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Data'!$G$16</c:f>
              <c:strCache>
                <c:ptCount val="1"/>
                <c:pt idx="0">
                  <c:v>Sec Under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Data'!$B$17:$B$25</c:f>
              <c:strCache>
                <c:ptCount val="3"/>
                <c:pt idx="0">
                  <c:v>Dis</c:v>
                </c:pt>
                <c:pt idx="1">
                  <c:v>ED</c:v>
                </c:pt>
                <c:pt idx="2">
                  <c:v>EL</c:v>
                </c:pt>
              </c:strCache>
            </c:strRef>
          </c:cat>
          <c:val>
            <c:numRef>
              <c:f>'Dashboard Data'!$G$17:$G$25</c:f>
              <c:numCache>
                <c:formatCode>General</c:formatCode>
                <c:ptCount val="3"/>
                <c:pt idx="0">
                  <c:v>7</c:v>
                </c:pt>
                <c:pt idx="1">
                  <c:v>0</c:v>
                </c:pt>
                <c:pt idx="2">
                  <c:v>0</c:v>
                </c:pt>
              </c:numCache>
            </c:numRef>
          </c:val>
          <c:extLst>
            <c:ext xmlns:c16="http://schemas.microsoft.com/office/drawing/2014/chart" uri="{C3380CC4-5D6E-409C-BE32-E72D297353CC}">
              <c16:uniqueId val="{00000000-84CB-40E1-813D-E3A8685ADAFF}"/>
            </c:ext>
          </c:extLst>
        </c:ser>
        <c:ser>
          <c:idx val="1"/>
          <c:order val="1"/>
          <c:tx>
            <c:strRef>
              <c:f>'Dashboard Data'!$H$16</c:f>
              <c:strCache>
                <c:ptCount val="1"/>
                <c:pt idx="0">
                  <c:v>Sec Over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Data'!$B$17:$B$25</c:f>
              <c:strCache>
                <c:ptCount val="3"/>
                <c:pt idx="0">
                  <c:v>Dis</c:v>
                </c:pt>
                <c:pt idx="1">
                  <c:v>ED</c:v>
                </c:pt>
                <c:pt idx="2">
                  <c:v>EL</c:v>
                </c:pt>
              </c:strCache>
            </c:strRef>
          </c:cat>
          <c:val>
            <c:numRef>
              <c:f>'Dashboard Data'!$H$17:$H$25</c:f>
              <c:numCache>
                <c:formatCode>General</c:formatCode>
                <c:ptCount val="3"/>
                <c:pt idx="0">
                  <c:v>10</c:v>
                </c:pt>
                <c:pt idx="1">
                  <c:v>16</c:v>
                </c:pt>
                <c:pt idx="2">
                  <c:v>0</c:v>
                </c:pt>
              </c:numCache>
            </c:numRef>
          </c:val>
          <c:extLst>
            <c:ext xmlns:c16="http://schemas.microsoft.com/office/drawing/2014/chart" uri="{C3380CC4-5D6E-409C-BE32-E72D297353CC}">
              <c16:uniqueId val="{00000001-84CB-40E1-813D-E3A8685ADAFF}"/>
            </c:ext>
          </c:extLst>
        </c:ser>
        <c:dLbls>
          <c:dLblPos val="outEnd"/>
          <c:showLegendKey val="0"/>
          <c:showVal val="1"/>
          <c:showCatName val="0"/>
          <c:showSerName val="0"/>
          <c:showPercent val="0"/>
          <c:showBubbleSize val="0"/>
        </c:dLbls>
        <c:gapWidth val="219"/>
        <c:overlap val="-27"/>
        <c:axId val="1312626015"/>
        <c:axId val="1267084783"/>
      </c:barChart>
      <c:catAx>
        <c:axId val="131262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7084783"/>
        <c:crosses val="autoZero"/>
        <c:auto val="1"/>
        <c:lblAlgn val="ctr"/>
        <c:lblOffset val="100"/>
        <c:noMultiLvlLbl val="0"/>
      </c:catAx>
      <c:valAx>
        <c:axId val="126708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2626015"/>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Data'!$I$3</c:f>
              <c:strCache>
                <c:ptCount val="1"/>
                <c:pt idx="0">
                  <c:v>PS Under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Data'!$B$4:$B$6</c:f>
              <c:strCache>
                <c:ptCount val="2"/>
                <c:pt idx="0">
                  <c:v>F</c:v>
                </c:pt>
                <c:pt idx="1">
                  <c:v>M</c:v>
                </c:pt>
              </c:strCache>
            </c:strRef>
          </c:cat>
          <c:val>
            <c:numRef>
              <c:f>'Dashboard Data'!$I$4:$I$6</c:f>
              <c:numCache>
                <c:formatCode>General</c:formatCode>
                <c:ptCount val="2"/>
                <c:pt idx="0">
                  <c:v>0</c:v>
                </c:pt>
                <c:pt idx="1">
                  <c:v>0</c:v>
                </c:pt>
              </c:numCache>
            </c:numRef>
          </c:val>
          <c:extLst>
            <c:ext xmlns:c16="http://schemas.microsoft.com/office/drawing/2014/chart" uri="{C3380CC4-5D6E-409C-BE32-E72D297353CC}">
              <c16:uniqueId val="{00000000-BF67-42F3-B2C1-223C657F9117}"/>
            </c:ext>
          </c:extLst>
        </c:ser>
        <c:ser>
          <c:idx val="1"/>
          <c:order val="1"/>
          <c:tx>
            <c:strRef>
              <c:f>'Dashboard Data'!$J$3</c:f>
              <c:strCache>
                <c:ptCount val="1"/>
                <c:pt idx="0">
                  <c:v>PS Over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Data'!$B$4:$B$6</c:f>
              <c:strCache>
                <c:ptCount val="2"/>
                <c:pt idx="0">
                  <c:v>F</c:v>
                </c:pt>
                <c:pt idx="1">
                  <c:v>M</c:v>
                </c:pt>
              </c:strCache>
            </c:strRef>
          </c:cat>
          <c:val>
            <c:numRef>
              <c:f>'Dashboard Data'!$J$4:$J$6</c:f>
              <c:numCache>
                <c:formatCode>General</c:formatCode>
                <c:ptCount val="2"/>
                <c:pt idx="0">
                  <c:v>0</c:v>
                </c:pt>
                <c:pt idx="1">
                  <c:v>0</c:v>
                </c:pt>
              </c:numCache>
            </c:numRef>
          </c:val>
          <c:extLst>
            <c:ext xmlns:c16="http://schemas.microsoft.com/office/drawing/2014/chart" uri="{C3380CC4-5D6E-409C-BE32-E72D297353CC}">
              <c16:uniqueId val="{00000001-BF67-42F3-B2C1-223C657F9117}"/>
            </c:ext>
          </c:extLst>
        </c:ser>
        <c:dLbls>
          <c:dLblPos val="ctr"/>
          <c:showLegendKey val="0"/>
          <c:showVal val="1"/>
          <c:showCatName val="0"/>
          <c:showSerName val="0"/>
          <c:showPercent val="0"/>
          <c:showBubbleSize val="0"/>
        </c:dLbls>
        <c:gapWidth val="219"/>
        <c:overlap val="-27"/>
        <c:axId val="1153460719"/>
        <c:axId val="1267081871"/>
      </c:barChart>
      <c:catAx>
        <c:axId val="115346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7081871"/>
        <c:crosses val="autoZero"/>
        <c:auto val="1"/>
        <c:lblAlgn val="ctr"/>
        <c:lblOffset val="100"/>
        <c:noMultiLvlLbl val="0"/>
      </c:catAx>
      <c:valAx>
        <c:axId val="12670818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3460719"/>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Data'!$I$7</c:f>
              <c:strCache>
                <c:ptCount val="1"/>
                <c:pt idx="0">
                  <c:v>PS Under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Data'!$B$8:$B$15</c:f>
              <c:strCache>
                <c:ptCount val="4"/>
                <c:pt idx="0">
                  <c:v>Asian</c:v>
                </c:pt>
                <c:pt idx="1">
                  <c:v>Hispanic</c:v>
                </c:pt>
                <c:pt idx="2">
                  <c:v>Black</c:v>
                </c:pt>
                <c:pt idx="3">
                  <c:v>White</c:v>
                </c:pt>
              </c:strCache>
            </c:strRef>
          </c:cat>
          <c:val>
            <c:numRef>
              <c:f>'Dashboard Data'!$I$8:$I$15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8FBA-4524-AFB3-AD6394728CFA}"/>
            </c:ext>
          </c:extLst>
        </c:ser>
        <c:ser>
          <c:idx val="1"/>
          <c:order val="1"/>
          <c:tx>
            <c:strRef>
              <c:f>'Dashboard Data'!$J$7</c:f>
              <c:strCache>
                <c:ptCount val="1"/>
                <c:pt idx="0">
                  <c:v>PS Over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Data'!$B$8:$B$15</c:f>
              <c:strCache>
                <c:ptCount val="4"/>
                <c:pt idx="0">
                  <c:v>Asian</c:v>
                </c:pt>
                <c:pt idx="1">
                  <c:v>Hispanic</c:v>
                </c:pt>
                <c:pt idx="2">
                  <c:v>Black</c:v>
                </c:pt>
                <c:pt idx="3">
                  <c:v>White</c:v>
                </c:pt>
              </c:strCache>
            </c:strRef>
          </c:cat>
          <c:val>
            <c:numRef>
              <c:f>'Dashboard Data'!$J$8:$J$15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8FBA-4524-AFB3-AD6394728CFA}"/>
            </c:ext>
          </c:extLst>
        </c:ser>
        <c:dLbls>
          <c:dLblPos val="ctr"/>
          <c:showLegendKey val="0"/>
          <c:showVal val="1"/>
          <c:showCatName val="0"/>
          <c:showSerName val="0"/>
          <c:showPercent val="0"/>
          <c:showBubbleSize val="0"/>
        </c:dLbls>
        <c:gapWidth val="219"/>
        <c:overlap val="-27"/>
        <c:axId val="1049238735"/>
        <c:axId val="488782687"/>
      </c:barChart>
      <c:catAx>
        <c:axId val="10492387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782687"/>
        <c:crosses val="autoZero"/>
        <c:auto val="1"/>
        <c:lblAlgn val="ctr"/>
        <c:lblOffset val="100"/>
        <c:noMultiLvlLbl val="0"/>
      </c:catAx>
      <c:valAx>
        <c:axId val="4887826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238735"/>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Data'!$I$16</c:f>
              <c:strCache>
                <c:ptCount val="1"/>
                <c:pt idx="0">
                  <c:v>PS Under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Data'!$B$17:$B$25</c:f>
              <c:strCache>
                <c:ptCount val="3"/>
                <c:pt idx="0">
                  <c:v>Dis</c:v>
                </c:pt>
                <c:pt idx="1">
                  <c:v>ED</c:v>
                </c:pt>
                <c:pt idx="2">
                  <c:v>EL</c:v>
                </c:pt>
              </c:strCache>
            </c:strRef>
          </c:cat>
          <c:val>
            <c:numRef>
              <c:f>'Dashboard Data'!$I$17:$I$25</c:f>
              <c:numCache>
                <c:formatCode>General</c:formatCode>
                <c:ptCount val="3"/>
                <c:pt idx="0">
                  <c:v>0</c:v>
                </c:pt>
                <c:pt idx="1">
                  <c:v>0</c:v>
                </c:pt>
                <c:pt idx="2">
                  <c:v>0</c:v>
                </c:pt>
              </c:numCache>
            </c:numRef>
          </c:val>
          <c:extLst>
            <c:ext xmlns:c16="http://schemas.microsoft.com/office/drawing/2014/chart" uri="{C3380CC4-5D6E-409C-BE32-E72D297353CC}">
              <c16:uniqueId val="{00000000-6315-4AA0-8D36-51CDB60E79B3}"/>
            </c:ext>
          </c:extLst>
        </c:ser>
        <c:ser>
          <c:idx val="1"/>
          <c:order val="1"/>
          <c:tx>
            <c:strRef>
              <c:f>'Dashboard Data'!$J$16</c:f>
              <c:strCache>
                <c:ptCount val="1"/>
                <c:pt idx="0">
                  <c:v>PS Over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Data'!$B$17:$B$25</c:f>
              <c:strCache>
                <c:ptCount val="3"/>
                <c:pt idx="0">
                  <c:v>Dis</c:v>
                </c:pt>
                <c:pt idx="1">
                  <c:v>ED</c:v>
                </c:pt>
                <c:pt idx="2">
                  <c:v>EL</c:v>
                </c:pt>
              </c:strCache>
            </c:strRef>
          </c:cat>
          <c:val>
            <c:numRef>
              <c:f>'Dashboard Data'!$J$17:$J$25</c:f>
              <c:numCache>
                <c:formatCode>General</c:formatCode>
                <c:ptCount val="3"/>
                <c:pt idx="0">
                  <c:v>0</c:v>
                </c:pt>
                <c:pt idx="1">
                  <c:v>0</c:v>
                </c:pt>
                <c:pt idx="2">
                  <c:v>0</c:v>
                </c:pt>
              </c:numCache>
            </c:numRef>
          </c:val>
          <c:extLst>
            <c:ext xmlns:c16="http://schemas.microsoft.com/office/drawing/2014/chart" uri="{C3380CC4-5D6E-409C-BE32-E72D297353CC}">
              <c16:uniqueId val="{00000001-6315-4AA0-8D36-51CDB60E79B3}"/>
            </c:ext>
          </c:extLst>
        </c:ser>
        <c:dLbls>
          <c:dLblPos val="ctr"/>
          <c:showLegendKey val="0"/>
          <c:showVal val="1"/>
          <c:showCatName val="0"/>
          <c:showSerName val="0"/>
          <c:showPercent val="0"/>
          <c:showBubbleSize val="0"/>
        </c:dLbls>
        <c:gapWidth val="219"/>
        <c:overlap val="-27"/>
        <c:axId val="1270277471"/>
        <c:axId val="1267073551"/>
      </c:barChart>
      <c:catAx>
        <c:axId val="1270277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7073551"/>
        <c:crosses val="autoZero"/>
        <c:auto val="1"/>
        <c:lblAlgn val="ctr"/>
        <c:lblOffset val="100"/>
        <c:noMultiLvlLbl val="0"/>
      </c:catAx>
      <c:valAx>
        <c:axId val="12670735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0277471"/>
        <c:crosses val="autoZero"/>
        <c:crossBetween val="between"/>
        <c:majorUnit val="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Data'!$M$58</c:f>
              <c:strCache>
                <c:ptCount val="1"/>
                <c:pt idx="0">
                  <c:v>Percent in Cluster</c:v>
                </c:pt>
              </c:strCache>
            </c:strRef>
          </c:tx>
          <c:spPr>
            <a:solidFill>
              <a:schemeClr val="accent1"/>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Data'!$L$63:$L$70</c:f>
              <c:strCache>
                <c:ptCount val="4"/>
                <c:pt idx="0">
                  <c:v>Asian</c:v>
                </c:pt>
                <c:pt idx="1">
                  <c:v>Hispanic</c:v>
                </c:pt>
                <c:pt idx="2">
                  <c:v>Black</c:v>
                </c:pt>
                <c:pt idx="3">
                  <c:v>White</c:v>
                </c:pt>
              </c:strCache>
            </c:strRef>
          </c:cat>
          <c:val>
            <c:numRef>
              <c:f>'Dashboard Data'!$M$63:$M$70</c:f>
              <c:numCache>
                <c:formatCode>0%</c:formatCode>
                <c:ptCount val="4"/>
                <c:pt idx="0">
                  <c:v>0</c:v>
                </c:pt>
                <c:pt idx="1">
                  <c:v>0.41935483870967744</c:v>
                </c:pt>
                <c:pt idx="2">
                  <c:v>0.29032258064516131</c:v>
                </c:pt>
                <c:pt idx="3">
                  <c:v>0.25806451612903225</c:v>
                </c:pt>
              </c:numCache>
            </c:numRef>
          </c:val>
          <c:extLst>
            <c:ext xmlns:c16="http://schemas.microsoft.com/office/drawing/2014/chart" uri="{C3380CC4-5D6E-409C-BE32-E72D297353CC}">
              <c16:uniqueId val="{00000000-C7F8-4796-AAF0-28D63BEE9EC5}"/>
            </c:ext>
          </c:extLst>
        </c:ser>
        <c:ser>
          <c:idx val="1"/>
          <c:order val="1"/>
          <c:tx>
            <c:strRef>
              <c:f>'Dashboard Data'!$N$58</c:f>
              <c:strCache>
                <c:ptCount val="1"/>
                <c:pt idx="0">
                  <c:v>Percent Overall</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Data'!$L$63:$L$70</c:f>
              <c:strCache>
                <c:ptCount val="4"/>
                <c:pt idx="0">
                  <c:v>Asian</c:v>
                </c:pt>
                <c:pt idx="1">
                  <c:v>Hispanic</c:v>
                </c:pt>
                <c:pt idx="2">
                  <c:v>Black</c:v>
                </c:pt>
                <c:pt idx="3">
                  <c:v>White</c:v>
                </c:pt>
              </c:strCache>
            </c:strRef>
          </c:cat>
          <c:val>
            <c:numRef>
              <c:f>'Dashboard Data'!$N$63:$N$70</c:f>
              <c:numCache>
                <c:formatCode>0%</c:formatCode>
                <c:ptCount val="4"/>
                <c:pt idx="0">
                  <c:v>7.4999999999999997E-2</c:v>
                </c:pt>
                <c:pt idx="1">
                  <c:v>0.31666666666666665</c:v>
                </c:pt>
                <c:pt idx="2">
                  <c:v>0.25833333333333336</c:v>
                </c:pt>
                <c:pt idx="3">
                  <c:v>0.35</c:v>
                </c:pt>
              </c:numCache>
            </c:numRef>
          </c:val>
          <c:extLst>
            <c:ext xmlns:c16="http://schemas.microsoft.com/office/drawing/2014/chart" uri="{C3380CC4-5D6E-409C-BE32-E72D297353CC}">
              <c16:uniqueId val="{00000001-C7F8-4796-AAF0-28D63BEE9EC5}"/>
            </c:ext>
          </c:extLst>
        </c:ser>
        <c:dLbls>
          <c:dLblPos val="outEnd"/>
          <c:showLegendKey val="0"/>
          <c:showVal val="1"/>
          <c:showCatName val="0"/>
          <c:showSerName val="0"/>
          <c:showPercent val="0"/>
          <c:showBubbleSize val="0"/>
        </c:dLbls>
        <c:gapWidth val="150"/>
        <c:axId val="2003166751"/>
        <c:axId val="1900108655"/>
      </c:barChart>
      <c:catAx>
        <c:axId val="200316675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0108655"/>
        <c:crosses val="autoZero"/>
        <c:auto val="1"/>
        <c:lblAlgn val="ctr"/>
        <c:lblOffset val="100"/>
        <c:noMultiLvlLbl val="0"/>
      </c:catAx>
      <c:valAx>
        <c:axId val="19001086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3166751"/>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Data'!$M$58</c:f>
              <c:strCache>
                <c:ptCount val="1"/>
                <c:pt idx="0">
                  <c:v>Percent in Cluster</c:v>
                </c:pt>
              </c:strCache>
            </c:strRef>
          </c:tx>
          <c:spPr>
            <a:solidFill>
              <a:schemeClr val="accent1"/>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Data'!$L$72:$L$80</c:f>
              <c:strCache>
                <c:ptCount val="3"/>
                <c:pt idx="0">
                  <c:v>Dis</c:v>
                </c:pt>
                <c:pt idx="1">
                  <c:v>ED</c:v>
                </c:pt>
                <c:pt idx="2">
                  <c:v>EL</c:v>
                </c:pt>
              </c:strCache>
            </c:strRef>
          </c:cat>
          <c:val>
            <c:numRef>
              <c:f>'Dashboard Data'!$M$72:$M$80</c:f>
              <c:numCache>
                <c:formatCode>0%</c:formatCode>
                <c:ptCount val="3"/>
                <c:pt idx="0">
                  <c:v>0.70967741935483875</c:v>
                </c:pt>
                <c:pt idx="1">
                  <c:v>0.70967741935483875</c:v>
                </c:pt>
                <c:pt idx="2">
                  <c:v>4.8387096774193547E-2</c:v>
                </c:pt>
              </c:numCache>
            </c:numRef>
          </c:val>
          <c:extLst>
            <c:ext xmlns:c16="http://schemas.microsoft.com/office/drawing/2014/chart" uri="{C3380CC4-5D6E-409C-BE32-E72D297353CC}">
              <c16:uniqueId val="{00000000-FD93-48B0-870C-DC86DF2E0B58}"/>
            </c:ext>
          </c:extLst>
        </c:ser>
        <c:ser>
          <c:idx val="1"/>
          <c:order val="1"/>
          <c:tx>
            <c:strRef>
              <c:f>'Dashboard Data'!$N$58</c:f>
              <c:strCache>
                <c:ptCount val="1"/>
                <c:pt idx="0">
                  <c:v>Percent Overall</c:v>
                </c:pt>
              </c:strCache>
            </c:strRef>
          </c:tx>
          <c:spPr>
            <a:solidFill>
              <a:schemeClr val="accent2"/>
            </a:solidFill>
            <a:ln w="1905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Data'!$L$72:$L$80</c:f>
              <c:strCache>
                <c:ptCount val="3"/>
                <c:pt idx="0">
                  <c:v>Dis</c:v>
                </c:pt>
                <c:pt idx="1">
                  <c:v>ED</c:v>
                </c:pt>
                <c:pt idx="2">
                  <c:v>EL</c:v>
                </c:pt>
              </c:strCache>
            </c:strRef>
          </c:cat>
          <c:val>
            <c:numRef>
              <c:f>'Dashboard Data'!$N$72:$N$80</c:f>
              <c:numCache>
                <c:formatCode>0%</c:formatCode>
                <c:ptCount val="3"/>
                <c:pt idx="0">
                  <c:v>0.14000000000000001</c:v>
                </c:pt>
                <c:pt idx="1">
                  <c:v>0.38619205298013243</c:v>
                </c:pt>
                <c:pt idx="2">
                  <c:v>5.1854304635761586E-2</c:v>
                </c:pt>
              </c:numCache>
            </c:numRef>
          </c:val>
          <c:extLst>
            <c:ext xmlns:c16="http://schemas.microsoft.com/office/drawing/2014/chart" uri="{C3380CC4-5D6E-409C-BE32-E72D297353CC}">
              <c16:uniqueId val="{00000001-FD93-48B0-870C-DC86DF2E0B58}"/>
            </c:ext>
          </c:extLst>
        </c:ser>
        <c:dLbls>
          <c:dLblPos val="outEnd"/>
          <c:showLegendKey val="0"/>
          <c:showVal val="1"/>
          <c:showCatName val="0"/>
          <c:showSerName val="0"/>
          <c:showPercent val="0"/>
          <c:showBubbleSize val="0"/>
        </c:dLbls>
        <c:gapWidth val="150"/>
        <c:axId val="2003166751"/>
        <c:axId val="1900108655"/>
      </c:barChart>
      <c:catAx>
        <c:axId val="200316675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0108655"/>
        <c:crosses val="autoZero"/>
        <c:auto val="1"/>
        <c:lblAlgn val="ctr"/>
        <c:lblOffset val="100"/>
        <c:noMultiLvlLbl val="0"/>
      </c:catAx>
      <c:valAx>
        <c:axId val="19001086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3166751"/>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'Dashboard Data'!$P$59</c:f>
              <c:strCache>
                <c:ptCount val="1"/>
                <c:pt idx="0">
                  <c:v>F</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Data'!$Q$58:$R$58</c:f>
              <c:strCache>
                <c:ptCount val="2"/>
                <c:pt idx="0">
                  <c:v>Percent in Cluster</c:v>
                </c:pt>
                <c:pt idx="1">
                  <c:v>Percent Overall</c:v>
                </c:pt>
              </c:strCache>
            </c:strRef>
          </c:cat>
          <c:val>
            <c:numRef>
              <c:f>'Dashboard Data'!$Q$59:$R$59</c:f>
              <c:numCache>
                <c:formatCode>0%</c:formatCode>
                <c:ptCount val="2"/>
                <c:pt idx="0">
                  <c:v>0</c:v>
                </c:pt>
                <c:pt idx="1">
                  <c:v>0</c:v>
                </c:pt>
              </c:numCache>
            </c:numRef>
          </c:val>
          <c:extLst>
            <c:ext xmlns:c16="http://schemas.microsoft.com/office/drawing/2014/chart" uri="{C3380CC4-5D6E-409C-BE32-E72D297353CC}">
              <c16:uniqueId val="{00000000-452B-4DDE-8B34-C7A734CCA137}"/>
            </c:ext>
          </c:extLst>
        </c:ser>
        <c:ser>
          <c:idx val="1"/>
          <c:order val="1"/>
          <c:tx>
            <c:strRef>
              <c:f>'Dashboard Data'!$P$60</c:f>
              <c:strCache>
                <c:ptCount val="1"/>
                <c:pt idx="0">
                  <c:v>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Data'!$Q$58:$R$58</c:f>
              <c:strCache>
                <c:ptCount val="2"/>
                <c:pt idx="0">
                  <c:v>Percent in Cluster</c:v>
                </c:pt>
                <c:pt idx="1">
                  <c:v>Percent Overall</c:v>
                </c:pt>
              </c:strCache>
            </c:strRef>
          </c:cat>
          <c:val>
            <c:numRef>
              <c:f>'Dashboard Data'!$Q$60:$R$60</c:f>
              <c:numCache>
                <c:formatCode>0%</c:formatCode>
                <c:ptCount val="2"/>
                <c:pt idx="0">
                  <c:v>0</c:v>
                </c:pt>
                <c:pt idx="1">
                  <c:v>0</c:v>
                </c:pt>
              </c:numCache>
            </c:numRef>
          </c:val>
          <c:extLst>
            <c:ext xmlns:c16="http://schemas.microsoft.com/office/drawing/2014/chart" uri="{C3380CC4-5D6E-409C-BE32-E72D297353CC}">
              <c16:uniqueId val="{00000001-452B-4DDE-8B34-C7A734CCA137}"/>
            </c:ext>
          </c:extLst>
        </c:ser>
        <c:ser>
          <c:idx val="2"/>
          <c:order val="2"/>
          <c:tx>
            <c:strRef>
              <c:f>'Dashboard Data'!$P$61</c:f>
              <c:strCache>
                <c:ptCount val="1"/>
                <c:pt idx="0">
                  <c:v>Other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Data'!$Q$58:$R$58</c:f>
              <c:strCache>
                <c:ptCount val="2"/>
                <c:pt idx="0">
                  <c:v>Percent in Cluster</c:v>
                </c:pt>
                <c:pt idx="1">
                  <c:v>Percent Overall</c:v>
                </c:pt>
              </c:strCache>
            </c:strRef>
          </c:cat>
          <c:val>
            <c:numRef>
              <c:f>'Dashboard Data'!$Q$61:$R$61</c:f>
            </c:numRef>
          </c:val>
          <c:extLst>
            <c:ext xmlns:c16="http://schemas.microsoft.com/office/drawing/2014/chart" uri="{C3380CC4-5D6E-409C-BE32-E72D297353CC}">
              <c16:uniqueId val="{00000000-FAF6-436F-95DC-2FE2C23FA3E8}"/>
            </c:ext>
          </c:extLst>
        </c:ser>
        <c:dLbls>
          <c:dLblPos val="ctr"/>
          <c:showLegendKey val="0"/>
          <c:showVal val="1"/>
          <c:showCatName val="0"/>
          <c:showSerName val="0"/>
          <c:showPercent val="0"/>
          <c:showBubbleSize val="0"/>
        </c:dLbls>
        <c:gapWidth val="50"/>
        <c:overlap val="100"/>
        <c:axId val="1358574799"/>
        <c:axId val="810882927"/>
      </c:barChart>
      <c:catAx>
        <c:axId val="13585747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882927"/>
        <c:crosses val="autoZero"/>
        <c:auto val="1"/>
        <c:lblAlgn val="ctr"/>
        <c:lblOffset val="100"/>
        <c:noMultiLvlLbl val="0"/>
      </c:catAx>
      <c:valAx>
        <c:axId val="810882927"/>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574799"/>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Data'!$Q$58</c:f>
              <c:strCache>
                <c:ptCount val="1"/>
                <c:pt idx="0">
                  <c:v>Percent in Cluster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Data'!$P$63:$P$70</c:f>
              <c:strCache>
                <c:ptCount val="4"/>
                <c:pt idx="0">
                  <c:v>Asian</c:v>
                </c:pt>
                <c:pt idx="1">
                  <c:v>Hispanic</c:v>
                </c:pt>
                <c:pt idx="2">
                  <c:v>Black</c:v>
                </c:pt>
                <c:pt idx="3">
                  <c:v>White</c:v>
                </c:pt>
              </c:strCache>
            </c:strRef>
          </c:cat>
          <c:val>
            <c:numRef>
              <c:f>'Dashboard Data'!$Q$63:$Q$70</c:f>
              <c:numCache>
                <c:formatCode>0%</c:formatCode>
                <c:ptCount val="4"/>
                <c:pt idx="0">
                  <c:v>0</c:v>
                </c:pt>
                <c:pt idx="1">
                  <c:v>0</c:v>
                </c:pt>
                <c:pt idx="2">
                  <c:v>0</c:v>
                </c:pt>
                <c:pt idx="3">
                  <c:v>0</c:v>
                </c:pt>
              </c:numCache>
            </c:numRef>
          </c:val>
          <c:extLst>
            <c:ext xmlns:c16="http://schemas.microsoft.com/office/drawing/2014/chart" uri="{C3380CC4-5D6E-409C-BE32-E72D297353CC}">
              <c16:uniqueId val="{00000000-C2B4-4523-B433-3D30E9F37931}"/>
            </c:ext>
          </c:extLst>
        </c:ser>
        <c:ser>
          <c:idx val="1"/>
          <c:order val="1"/>
          <c:tx>
            <c:strRef>
              <c:f>'Dashboard Data'!$R$58</c:f>
              <c:strCache>
                <c:ptCount val="1"/>
                <c:pt idx="0">
                  <c:v>Percent Overall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Data'!$P$63:$P$70</c:f>
              <c:strCache>
                <c:ptCount val="4"/>
                <c:pt idx="0">
                  <c:v>Asian</c:v>
                </c:pt>
                <c:pt idx="1">
                  <c:v>Hispanic</c:v>
                </c:pt>
                <c:pt idx="2">
                  <c:v>Black</c:v>
                </c:pt>
                <c:pt idx="3">
                  <c:v>White</c:v>
                </c:pt>
              </c:strCache>
            </c:strRef>
          </c:cat>
          <c:val>
            <c:numRef>
              <c:f>'Dashboard Data'!$R$63:$R$70</c:f>
              <c:numCache>
                <c:formatCode>0%</c:formatCode>
                <c:ptCount val="4"/>
                <c:pt idx="0">
                  <c:v>0</c:v>
                </c:pt>
                <c:pt idx="1">
                  <c:v>0</c:v>
                </c:pt>
                <c:pt idx="2">
                  <c:v>0</c:v>
                </c:pt>
                <c:pt idx="3">
                  <c:v>0</c:v>
                </c:pt>
              </c:numCache>
            </c:numRef>
          </c:val>
          <c:extLst>
            <c:ext xmlns:c16="http://schemas.microsoft.com/office/drawing/2014/chart" uri="{C3380CC4-5D6E-409C-BE32-E72D297353CC}">
              <c16:uniqueId val="{00000001-C2B4-4523-B433-3D30E9F37931}"/>
            </c:ext>
          </c:extLst>
        </c:ser>
        <c:dLbls>
          <c:dLblPos val="outEnd"/>
          <c:showLegendKey val="0"/>
          <c:showVal val="1"/>
          <c:showCatName val="0"/>
          <c:showSerName val="0"/>
          <c:showPercent val="0"/>
          <c:showBubbleSize val="0"/>
        </c:dLbls>
        <c:gapWidth val="219"/>
        <c:overlap val="-27"/>
        <c:axId val="1358574799"/>
        <c:axId val="810882927"/>
      </c:barChart>
      <c:catAx>
        <c:axId val="1358574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882927"/>
        <c:crosses val="autoZero"/>
        <c:auto val="1"/>
        <c:lblAlgn val="ctr"/>
        <c:lblOffset val="100"/>
        <c:noMultiLvlLbl val="0"/>
      </c:catAx>
      <c:valAx>
        <c:axId val="8108829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574799"/>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Data'!$Q$58</c:f>
              <c:strCache>
                <c:ptCount val="1"/>
                <c:pt idx="0">
                  <c:v>Percent in Cluster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Data'!$P$72:$P$80</c:f>
              <c:strCache>
                <c:ptCount val="3"/>
                <c:pt idx="0">
                  <c:v>Dis</c:v>
                </c:pt>
                <c:pt idx="1">
                  <c:v>ED</c:v>
                </c:pt>
                <c:pt idx="2">
                  <c:v>EL</c:v>
                </c:pt>
              </c:strCache>
            </c:strRef>
          </c:cat>
          <c:val>
            <c:numRef>
              <c:f>'Dashboard Data'!$Q$72:$Q$80</c:f>
              <c:numCache>
                <c:formatCode>0%</c:formatCode>
                <c:ptCount val="3"/>
                <c:pt idx="0">
                  <c:v>0</c:v>
                </c:pt>
                <c:pt idx="1">
                  <c:v>0</c:v>
                </c:pt>
                <c:pt idx="2">
                  <c:v>0</c:v>
                </c:pt>
              </c:numCache>
            </c:numRef>
          </c:val>
          <c:extLst>
            <c:ext xmlns:c16="http://schemas.microsoft.com/office/drawing/2014/chart" uri="{C3380CC4-5D6E-409C-BE32-E72D297353CC}">
              <c16:uniqueId val="{00000000-5126-4312-A751-6C614AAAA6D7}"/>
            </c:ext>
          </c:extLst>
        </c:ser>
        <c:ser>
          <c:idx val="1"/>
          <c:order val="1"/>
          <c:tx>
            <c:strRef>
              <c:f>'Dashboard Data'!$R$58</c:f>
              <c:strCache>
                <c:ptCount val="1"/>
                <c:pt idx="0">
                  <c:v>Percent Overall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Data'!$P$72:$P$80</c:f>
              <c:strCache>
                <c:ptCount val="3"/>
                <c:pt idx="0">
                  <c:v>Dis</c:v>
                </c:pt>
                <c:pt idx="1">
                  <c:v>ED</c:v>
                </c:pt>
                <c:pt idx="2">
                  <c:v>EL</c:v>
                </c:pt>
              </c:strCache>
            </c:strRef>
          </c:cat>
          <c:val>
            <c:numRef>
              <c:f>'Dashboard Data'!$R$72:$R$80</c:f>
              <c:numCache>
                <c:formatCode>0%</c:formatCode>
                <c:ptCount val="3"/>
                <c:pt idx="0">
                  <c:v>0</c:v>
                </c:pt>
                <c:pt idx="1">
                  <c:v>0</c:v>
                </c:pt>
                <c:pt idx="2">
                  <c:v>0</c:v>
                </c:pt>
              </c:numCache>
            </c:numRef>
          </c:val>
          <c:extLst>
            <c:ext xmlns:c16="http://schemas.microsoft.com/office/drawing/2014/chart" uri="{C3380CC4-5D6E-409C-BE32-E72D297353CC}">
              <c16:uniqueId val="{00000001-5126-4312-A751-6C614AAAA6D7}"/>
            </c:ext>
          </c:extLst>
        </c:ser>
        <c:dLbls>
          <c:dLblPos val="outEnd"/>
          <c:showLegendKey val="0"/>
          <c:showVal val="1"/>
          <c:showCatName val="0"/>
          <c:showSerName val="0"/>
          <c:showPercent val="0"/>
          <c:showBubbleSize val="0"/>
        </c:dLbls>
        <c:gapWidth val="219"/>
        <c:overlap val="-27"/>
        <c:axId val="1358574799"/>
        <c:axId val="810882927"/>
      </c:barChart>
      <c:catAx>
        <c:axId val="1358574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882927"/>
        <c:crosses val="autoZero"/>
        <c:auto val="1"/>
        <c:lblAlgn val="ctr"/>
        <c:lblOffset val="100"/>
        <c:noMultiLvlLbl val="0"/>
      </c:catAx>
      <c:valAx>
        <c:axId val="8108829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574799"/>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'Dashboard Data'!$B$4</c:f>
              <c:strCache>
                <c:ptCount val="1"/>
                <c:pt idx="0">
                  <c:v>F</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Data'!$C$3:$D$3</c:f>
              <c:strCache>
                <c:ptCount val="2"/>
                <c:pt idx="0">
                  <c:v>Sec CTE</c:v>
                </c:pt>
                <c:pt idx="1">
                  <c:v>Sec All</c:v>
                </c:pt>
              </c:strCache>
            </c:strRef>
          </c:cat>
          <c:val>
            <c:numRef>
              <c:f>'Dashboard Data'!$C$4:$D$4</c:f>
              <c:numCache>
                <c:formatCode>0%</c:formatCode>
                <c:ptCount val="2"/>
                <c:pt idx="0">
                  <c:v>0.48603723404255317</c:v>
                </c:pt>
                <c:pt idx="1">
                  <c:v>0.51</c:v>
                </c:pt>
              </c:numCache>
            </c:numRef>
          </c:val>
          <c:extLst>
            <c:ext xmlns:c16="http://schemas.microsoft.com/office/drawing/2014/chart" uri="{C3380CC4-5D6E-409C-BE32-E72D297353CC}">
              <c16:uniqueId val="{00000000-5B23-4659-9AFD-D748E2D755DD}"/>
            </c:ext>
          </c:extLst>
        </c:ser>
        <c:ser>
          <c:idx val="1"/>
          <c:order val="1"/>
          <c:tx>
            <c:strRef>
              <c:f>'Dashboard Data'!$B$5</c:f>
              <c:strCache>
                <c:ptCount val="1"/>
                <c:pt idx="0">
                  <c:v>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Data'!$C$3:$D$3</c:f>
              <c:strCache>
                <c:ptCount val="2"/>
                <c:pt idx="0">
                  <c:v>Sec CTE</c:v>
                </c:pt>
                <c:pt idx="1">
                  <c:v>Sec All</c:v>
                </c:pt>
              </c:strCache>
            </c:strRef>
          </c:cat>
          <c:val>
            <c:numRef>
              <c:f>'Dashboard Data'!$C$5:$D$5</c:f>
              <c:numCache>
                <c:formatCode>0%</c:formatCode>
                <c:ptCount val="2"/>
                <c:pt idx="0">
                  <c:v>0.5126329787234043</c:v>
                </c:pt>
                <c:pt idx="1">
                  <c:v>0.49</c:v>
                </c:pt>
              </c:numCache>
            </c:numRef>
          </c:val>
          <c:extLst>
            <c:ext xmlns:c16="http://schemas.microsoft.com/office/drawing/2014/chart" uri="{C3380CC4-5D6E-409C-BE32-E72D297353CC}">
              <c16:uniqueId val="{00000001-5B23-4659-9AFD-D748E2D755DD}"/>
            </c:ext>
          </c:extLst>
        </c:ser>
        <c:ser>
          <c:idx val="2"/>
          <c:order val="2"/>
          <c:tx>
            <c:strRef>
              <c:f>'Dashboard Data'!$B$6</c:f>
              <c:strCache>
                <c:ptCount val="1"/>
                <c:pt idx="0">
                  <c:v>Other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Data'!$C$3:$D$3</c:f>
              <c:strCache>
                <c:ptCount val="2"/>
                <c:pt idx="0">
                  <c:v>Sec CTE</c:v>
                </c:pt>
                <c:pt idx="1">
                  <c:v>Sec All</c:v>
                </c:pt>
              </c:strCache>
            </c:strRef>
          </c:cat>
          <c:val>
            <c:numRef>
              <c:f>'Dashboard Data'!$C$6:$D$6</c:f>
            </c:numRef>
          </c:val>
          <c:extLst>
            <c:ext xmlns:c16="http://schemas.microsoft.com/office/drawing/2014/chart" uri="{C3380CC4-5D6E-409C-BE32-E72D297353CC}">
              <c16:uniqueId val="{00000002-5B23-4659-9AFD-D748E2D755DD}"/>
            </c:ext>
          </c:extLst>
        </c:ser>
        <c:dLbls>
          <c:showLegendKey val="0"/>
          <c:showVal val="0"/>
          <c:showCatName val="0"/>
          <c:showSerName val="0"/>
          <c:showPercent val="0"/>
          <c:showBubbleSize val="0"/>
        </c:dLbls>
        <c:gapWidth val="50"/>
        <c:overlap val="100"/>
        <c:axId val="1049255135"/>
        <c:axId val="488788927"/>
      </c:barChart>
      <c:catAx>
        <c:axId val="10492551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788927"/>
        <c:crosses val="autoZero"/>
        <c:auto val="1"/>
        <c:lblAlgn val="ctr"/>
        <c:lblOffset val="100"/>
        <c:noMultiLvlLbl val="0"/>
      </c:catAx>
      <c:valAx>
        <c:axId val="48878892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92551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 Race/ 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Data'!$C$7</c:f>
              <c:strCache>
                <c:ptCount val="1"/>
                <c:pt idx="0">
                  <c:v>Sec CTE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Data'!$B$8:$B$15</c:f>
              <c:strCache>
                <c:ptCount val="4"/>
                <c:pt idx="0">
                  <c:v>Asian</c:v>
                </c:pt>
                <c:pt idx="1">
                  <c:v>Hispanic</c:v>
                </c:pt>
                <c:pt idx="2">
                  <c:v>Black</c:v>
                </c:pt>
                <c:pt idx="3">
                  <c:v>White</c:v>
                </c:pt>
              </c:strCache>
            </c:strRef>
          </c:cat>
          <c:val>
            <c:numRef>
              <c:f>'Dashboard Data'!$C$8:$C$15</c:f>
              <c:numCache>
                <c:formatCode>0%</c:formatCode>
                <c:ptCount val="4"/>
                <c:pt idx="0">
                  <c:v>7.7792553191489366E-2</c:v>
                </c:pt>
                <c:pt idx="1">
                  <c:v>0.24335106382978725</c:v>
                </c:pt>
                <c:pt idx="2">
                  <c:v>0.22539893617021275</c:v>
                </c:pt>
                <c:pt idx="3">
                  <c:v>0.45279255319148937</c:v>
                </c:pt>
              </c:numCache>
            </c:numRef>
          </c:val>
          <c:extLst>
            <c:ext xmlns:c16="http://schemas.microsoft.com/office/drawing/2014/chart" uri="{C3380CC4-5D6E-409C-BE32-E72D297353CC}">
              <c16:uniqueId val="{00000000-0035-4B2B-988A-22D9B48BD2C7}"/>
            </c:ext>
          </c:extLst>
        </c:ser>
        <c:ser>
          <c:idx val="1"/>
          <c:order val="1"/>
          <c:tx>
            <c:strRef>
              <c:f>'Dashboard Data'!$D$7</c:f>
              <c:strCache>
                <c:ptCount val="1"/>
                <c:pt idx="0">
                  <c:v>Sec All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Data'!$B$8:$B$15</c:f>
              <c:strCache>
                <c:ptCount val="4"/>
                <c:pt idx="0">
                  <c:v>Asian</c:v>
                </c:pt>
                <c:pt idx="1">
                  <c:v>Hispanic</c:v>
                </c:pt>
                <c:pt idx="2">
                  <c:v>Black</c:v>
                </c:pt>
                <c:pt idx="3">
                  <c:v>White</c:v>
                </c:pt>
              </c:strCache>
            </c:strRef>
          </c:cat>
          <c:val>
            <c:numRef>
              <c:f>'Dashboard Data'!$D$8:$D$15</c:f>
              <c:numCache>
                <c:formatCode>0%</c:formatCode>
                <c:ptCount val="4"/>
                <c:pt idx="0">
                  <c:v>7.4999999999999997E-2</c:v>
                </c:pt>
                <c:pt idx="1">
                  <c:v>0.31666666666666665</c:v>
                </c:pt>
                <c:pt idx="2">
                  <c:v>0.25833333333333336</c:v>
                </c:pt>
                <c:pt idx="3">
                  <c:v>0.35</c:v>
                </c:pt>
              </c:numCache>
            </c:numRef>
          </c:val>
          <c:extLst>
            <c:ext xmlns:c16="http://schemas.microsoft.com/office/drawing/2014/chart" uri="{C3380CC4-5D6E-409C-BE32-E72D297353CC}">
              <c16:uniqueId val="{00000001-0035-4B2B-988A-22D9B48BD2C7}"/>
            </c:ext>
          </c:extLst>
        </c:ser>
        <c:dLbls>
          <c:dLblPos val="outEnd"/>
          <c:showLegendKey val="0"/>
          <c:showVal val="1"/>
          <c:showCatName val="0"/>
          <c:showSerName val="0"/>
          <c:showPercent val="0"/>
          <c:showBubbleSize val="0"/>
        </c:dLbls>
        <c:gapWidth val="219"/>
        <c:axId val="1144953615"/>
        <c:axId val="488786847"/>
      </c:barChart>
      <c:catAx>
        <c:axId val="1144953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786847"/>
        <c:crosses val="autoZero"/>
        <c:auto val="1"/>
        <c:lblAlgn val="ctr"/>
        <c:lblOffset val="100"/>
        <c:noMultiLvlLbl val="0"/>
      </c:catAx>
      <c:valAx>
        <c:axId val="4887868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4953615"/>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 Data'!$C$16</c:f>
              <c:strCache>
                <c:ptCount val="1"/>
                <c:pt idx="0">
                  <c:v>Sec CTE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Data'!$B$17:$B$25</c:f>
              <c:strCache>
                <c:ptCount val="3"/>
                <c:pt idx="0">
                  <c:v>Dis</c:v>
                </c:pt>
                <c:pt idx="1">
                  <c:v>ED</c:v>
                </c:pt>
                <c:pt idx="2">
                  <c:v>EL</c:v>
                </c:pt>
              </c:strCache>
            </c:strRef>
          </c:cat>
          <c:val>
            <c:numRef>
              <c:f>'Dashboard Data'!$C$17:$C$25</c:f>
              <c:numCache>
                <c:formatCode>0%</c:formatCode>
                <c:ptCount val="3"/>
                <c:pt idx="0">
                  <c:v>0.19813829787234041</c:v>
                </c:pt>
                <c:pt idx="1">
                  <c:v>0.51196808510638303</c:v>
                </c:pt>
                <c:pt idx="2">
                  <c:v>5.3191489361702126E-3</c:v>
                </c:pt>
              </c:numCache>
            </c:numRef>
          </c:val>
          <c:extLst>
            <c:ext xmlns:c16="http://schemas.microsoft.com/office/drawing/2014/chart" uri="{C3380CC4-5D6E-409C-BE32-E72D297353CC}">
              <c16:uniqueId val="{00000000-639C-4F51-B698-3DADAF65A567}"/>
            </c:ext>
          </c:extLst>
        </c:ser>
        <c:ser>
          <c:idx val="1"/>
          <c:order val="1"/>
          <c:tx>
            <c:strRef>
              <c:f>'Dashboard Data'!$D$16</c:f>
              <c:strCache>
                <c:ptCount val="1"/>
                <c:pt idx="0">
                  <c:v>Sec All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 Data'!$B$17:$B$25</c:f>
              <c:strCache>
                <c:ptCount val="3"/>
                <c:pt idx="0">
                  <c:v>Dis</c:v>
                </c:pt>
                <c:pt idx="1">
                  <c:v>ED</c:v>
                </c:pt>
                <c:pt idx="2">
                  <c:v>EL</c:v>
                </c:pt>
              </c:strCache>
            </c:strRef>
          </c:cat>
          <c:val>
            <c:numRef>
              <c:f>'Dashboard Data'!$D$17:$D$25</c:f>
              <c:numCache>
                <c:formatCode>0%</c:formatCode>
                <c:ptCount val="3"/>
                <c:pt idx="0">
                  <c:v>0.14000000000000001</c:v>
                </c:pt>
                <c:pt idx="1">
                  <c:v>0.38619205298013243</c:v>
                </c:pt>
                <c:pt idx="2">
                  <c:v>5.1854304635761586E-2</c:v>
                </c:pt>
              </c:numCache>
            </c:numRef>
          </c:val>
          <c:extLst>
            <c:ext xmlns:c16="http://schemas.microsoft.com/office/drawing/2014/chart" uri="{C3380CC4-5D6E-409C-BE32-E72D297353CC}">
              <c16:uniqueId val="{00000001-639C-4F51-B698-3DADAF65A567}"/>
            </c:ext>
          </c:extLst>
        </c:ser>
        <c:dLbls>
          <c:dLblPos val="outEnd"/>
          <c:showLegendKey val="0"/>
          <c:showVal val="1"/>
          <c:showCatName val="0"/>
          <c:showSerName val="0"/>
          <c:showPercent val="0"/>
          <c:showBubbleSize val="0"/>
        </c:dLbls>
        <c:gapWidth val="219"/>
        <c:axId val="1041876975"/>
        <c:axId val="488770207"/>
      </c:barChart>
      <c:catAx>
        <c:axId val="1041876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770207"/>
        <c:crosses val="autoZero"/>
        <c:auto val="1"/>
        <c:lblAlgn val="ctr"/>
        <c:lblOffset val="100"/>
        <c:noMultiLvlLbl val="0"/>
      </c:catAx>
      <c:valAx>
        <c:axId val="488770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1876975"/>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85724</xdr:colOff>
      <xdr:row>86</xdr:row>
      <xdr:rowOff>14287</xdr:rowOff>
    </xdr:from>
    <xdr:to>
      <xdr:col>3</xdr:col>
      <xdr:colOff>2114549</xdr:colOff>
      <xdr:row>95</xdr:row>
      <xdr:rowOff>128587</xdr:rowOff>
    </xdr:to>
    <xdr:graphicFrame macro="">
      <xdr:nvGraphicFramePr>
        <xdr:cNvPr id="9" name="Chart 8">
          <a:extLst>
            <a:ext uri="{FF2B5EF4-FFF2-40B4-BE49-F238E27FC236}">
              <a16:creationId xmlns:a16="http://schemas.microsoft.com/office/drawing/2014/main" id="{3E4F128D-C3FB-494C-9923-B29910F808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66674</xdr:colOff>
      <xdr:row>86</xdr:row>
      <xdr:rowOff>9525</xdr:rowOff>
    </xdr:from>
    <xdr:to>
      <xdr:col>19</xdr:col>
      <xdr:colOff>95249</xdr:colOff>
      <xdr:row>95</xdr:row>
      <xdr:rowOff>123825</xdr:rowOff>
    </xdr:to>
    <xdr:graphicFrame macro="">
      <xdr:nvGraphicFramePr>
        <xdr:cNvPr id="10" name="Chart 9">
          <a:extLst>
            <a:ext uri="{FF2B5EF4-FFF2-40B4-BE49-F238E27FC236}">
              <a16:creationId xmlns:a16="http://schemas.microsoft.com/office/drawing/2014/main" id="{4C811F86-2B58-4768-BB4D-0AD1E10709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400049</xdr:colOff>
      <xdr:row>86</xdr:row>
      <xdr:rowOff>9525</xdr:rowOff>
    </xdr:from>
    <xdr:to>
      <xdr:col>30</xdr:col>
      <xdr:colOff>66674</xdr:colOff>
      <xdr:row>95</xdr:row>
      <xdr:rowOff>123825</xdr:rowOff>
    </xdr:to>
    <xdr:graphicFrame macro="">
      <xdr:nvGraphicFramePr>
        <xdr:cNvPr id="11" name="Chart 10">
          <a:extLst>
            <a:ext uri="{FF2B5EF4-FFF2-40B4-BE49-F238E27FC236}">
              <a16:creationId xmlns:a16="http://schemas.microsoft.com/office/drawing/2014/main" id="{EA860247-EA49-4FFC-AD26-8EC02041E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96</xdr:row>
      <xdr:rowOff>14287</xdr:rowOff>
    </xdr:from>
    <xdr:to>
      <xdr:col>3</xdr:col>
      <xdr:colOff>2114550</xdr:colOff>
      <xdr:row>105</xdr:row>
      <xdr:rowOff>128587</xdr:rowOff>
    </xdr:to>
    <xdr:graphicFrame macro="">
      <xdr:nvGraphicFramePr>
        <xdr:cNvPr id="12" name="Chart 11">
          <a:extLst>
            <a:ext uri="{FF2B5EF4-FFF2-40B4-BE49-F238E27FC236}">
              <a16:creationId xmlns:a16="http://schemas.microsoft.com/office/drawing/2014/main" id="{1EB87708-4B3D-45E0-B150-7C95F8F99A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76199</xdr:colOff>
      <xdr:row>96</xdr:row>
      <xdr:rowOff>9525</xdr:rowOff>
    </xdr:from>
    <xdr:to>
      <xdr:col>19</xdr:col>
      <xdr:colOff>104774</xdr:colOff>
      <xdr:row>105</xdr:row>
      <xdr:rowOff>123825</xdr:rowOff>
    </xdr:to>
    <xdr:graphicFrame macro="">
      <xdr:nvGraphicFramePr>
        <xdr:cNvPr id="13" name="Chart 12">
          <a:extLst>
            <a:ext uri="{FF2B5EF4-FFF2-40B4-BE49-F238E27FC236}">
              <a16:creationId xmlns:a16="http://schemas.microsoft.com/office/drawing/2014/main" id="{BD8750D9-4095-4208-9296-B819354E6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400050</xdr:colOff>
      <xdr:row>96</xdr:row>
      <xdr:rowOff>9525</xdr:rowOff>
    </xdr:from>
    <xdr:to>
      <xdr:col>30</xdr:col>
      <xdr:colOff>64770</xdr:colOff>
      <xdr:row>105</xdr:row>
      <xdr:rowOff>123825</xdr:rowOff>
    </xdr:to>
    <xdr:graphicFrame macro="">
      <xdr:nvGraphicFramePr>
        <xdr:cNvPr id="14" name="Chart 13">
          <a:extLst>
            <a:ext uri="{FF2B5EF4-FFF2-40B4-BE49-F238E27FC236}">
              <a16:creationId xmlns:a16="http://schemas.microsoft.com/office/drawing/2014/main" id="{71A8E5AD-6558-4C04-A147-3EDEB685D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28575</xdr:colOff>
      <xdr:row>15</xdr:row>
      <xdr:rowOff>90487</xdr:rowOff>
    </xdr:from>
    <xdr:to>
      <xdr:col>3</xdr:col>
      <xdr:colOff>2140403</xdr:colOff>
      <xdr:row>25</xdr:row>
      <xdr:rowOff>14287</xdr:rowOff>
    </xdr:to>
    <xdr:graphicFrame macro="">
      <xdr:nvGraphicFramePr>
        <xdr:cNvPr id="3" name="Chart 2">
          <a:extLst>
            <a:ext uri="{FF2B5EF4-FFF2-40B4-BE49-F238E27FC236}">
              <a16:creationId xmlns:a16="http://schemas.microsoft.com/office/drawing/2014/main" id="{A39AE9BC-00B5-48FC-8650-0B73283E43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3131002</xdr:colOff>
      <xdr:row>15</xdr:row>
      <xdr:rowOff>61912</xdr:rowOff>
    </xdr:from>
    <xdr:to>
      <xdr:col>18</xdr:col>
      <xdr:colOff>378277</xdr:colOff>
      <xdr:row>24</xdr:row>
      <xdr:rowOff>176212</xdr:rowOff>
    </xdr:to>
    <xdr:graphicFrame macro="">
      <xdr:nvGraphicFramePr>
        <xdr:cNvPr id="4" name="Chart 3">
          <a:extLst>
            <a:ext uri="{FF2B5EF4-FFF2-40B4-BE49-F238E27FC236}">
              <a16:creationId xmlns:a16="http://schemas.microsoft.com/office/drawing/2014/main" id="{34B501D2-D18F-4D58-A8F9-0EE08AD10F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73479</xdr:colOff>
      <xdr:row>15</xdr:row>
      <xdr:rowOff>56469</xdr:rowOff>
    </xdr:from>
    <xdr:to>
      <xdr:col>30</xdr:col>
      <xdr:colOff>48986</xdr:colOff>
      <xdr:row>24</xdr:row>
      <xdr:rowOff>170769</xdr:rowOff>
    </xdr:to>
    <xdr:graphicFrame macro="">
      <xdr:nvGraphicFramePr>
        <xdr:cNvPr id="5" name="Chart 4">
          <a:extLst>
            <a:ext uri="{FF2B5EF4-FFF2-40B4-BE49-F238E27FC236}">
              <a16:creationId xmlns:a16="http://schemas.microsoft.com/office/drawing/2014/main" id="{C517935D-6D6A-4209-9F43-5A7A8CF1B4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23812</xdr:colOff>
      <xdr:row>25</xdr:row>
      <xdr:rowOff>138112</xdr:rowOff>
    </xdr:from>
    <xdr:to>
      <xdr:col>3</xdr:col>
      <xdr:colOff>2135640</xdr:colOff>
      <xdr:row>35</xdr:row>
      <xdr:rowOff>61912</xdr:rowOff>
    </xdr:to>
    <xdr:graphicFrame macro="">
      <xdr:nvGraphicFramePr>
        <xdr:cNvPr id="6" name="Chart 5">
          <a:extLst>
            <a:ext uri="{FF2B5EF4-FFF2-40B4-BE49-F238E27FC236}">
              <a16:creationId xmlns:a16="http://schemas.microsoft.com/office/drawing/2014/main" id="{27074224-6220-486F-A112-6EE0D25322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3129643</xdr:colOff>
      <xdr:row>25</xdr:row>
      <xdr:rowOff>151719</xdr:rowOff>
    </xdr:from>
    <xdr:to>
      <xdr:col>18</xdr:col>
      <xdr:colOff>376918</xdr:colOff>
      <xdr:row>35</xdr:row>
      <xdr:rowOff>75519</xdr:rowOff>
    </xdr:to>
    <xdr:graphicFrame macro="">
      <xdr:nvGraphicFramePr>
        <xdr:cNvPr id="7" name="Chart 6">
          <a:extLst>
            <a:ext uri="{FF2B5EF4-FFF2-40B4-BE49-F238E27FC236}">
              <a16:creationId xmlns:a16="http://schemas.microsoft.com/office/drawing/2014/main" id="{8764CEEB-4F98-4CBB-BAEB-ADDD56FAD0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21</xdr:col>
      <xdr:colOff>51707</xdr:colOff>
      <xdr:row>25</xdr:row>
      <xdr:rowOff>159883</xdr:rowOff>
    </xdr:from>
    <xdr:to>
      <xdr:col>30</xdr:col>
      <xdr:colOff>27214</xdr:colOff>
      <xdr:row>35</xdr:row>
      <xdr:rowOff>83683</xdr:rowOff>
    </xdr:to>
    <xdr:graphicFrame macro="">
      <xdr:nvGraphicFramePr>
        <xdr:cNvPr id="8" name="Chart 7">
          <a:extLst>
            <a:ext uri="{FF2B5EF4-FFF2-40B4-BE49-F238E27FC236}">
              <a16:creationId xmlns:a16="http://schemas.microsoft.com/office/drawing/2014/main" id="{C9E148CF-7EF9-470A-A512-FFA15BF12E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9525</xdr:colOff>
      <xdr:row>47</xdr:row>
      <xdr:rowOff>109537</xdr:rowOff>
    </xdr:from>
    <xdr:to>
      <xdr:col>3</xdr:col>
      <xdr:colOff>2124075</xdr:colOff>
      <xdr:row>57</xdr:row>
      <xdr:rowOff>33337</xdr:rowOff>
    </xdr:to>
    <xdr:graphicFrame macro="">
      <xdr:nvGraphicFramePr>
        <xdr:cNvPr id="15" name="Chart 14">
          <a:extLst>
            <a:ext uri="{FF2B5EF4-FFF2-40B4-BE49-F238E27FC236}">
              <a16:creationId xmlns:a16="http://schemas.microsoft.com/office/drawing/2014/main" id="{139E3BEB-8EEF-4801-BBF7-98693B462A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3105149</xdr:colOff>
      <xdr:row>47</xdr:row>
      <xdr:rowOff>80962</xdr:rowOff>
    </xdr:from>
    <xdr:to>
      <xdr:col>18</xdr:col>
      <xdr:colOff>352424</xdr:colOff>
      <xdr:row>57</xdr:row>
      <xdr:rowOff>4762</xdr:rowOff>
    </xdr:to>
    <xdr:graphicFrame macro="">
      <xdr:nvGraphicFramePr>
        <xdr:cNvPr id="16" name="Chart 15">
          <a:extLst>
            <a:ext uri="{FF2B5EF4-FFF2-40B4-BE49-F238E27FC236}">
              <a16:creationId xmlns:a16="http://schemas.microsoft.com/office/drawing/2014/main" id="{7FBCDDCF-2ABC-4D8E-B658-C9805A6545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21</xdr:col>
      <xdr:colOff>19050</xdr:colOff>
      <xdr:row>47</xdr:row>
      <xdr:rowOff>80962</xdr:rowOff>
    </xdr:from>
    <xdr:to>
      <xdr:col>30</xdr:col>
      <xdr:colOff>19050</xdr:colOff>
      <xdr:row>57</xdr:row>
      <xdr:rowOff>4762</xdr:rowOff>
    </xdr:to>
    <xdr:graphicFrame macro="">
      <xdr:nvGraphicFramePr>
        <xdr:cNvPr id="17" name="Chart 16">
          <a:extLst>
            <a:ext uri="{FF2B5EF4-FFF2-40B4-BE49-F238E27FC236}">
              <a16:creationId xmlns:a16="http://schemas.microsoft.com/office/drawing/2014/main" id="{49488E80-146B-4749-AF58-59B04F41E9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19050</xdr:colOff>
      <xdr:row>57</xdr:row>
      <xdr:rowOff>128587</xdr:rowOff>
    </xdr:from>
    <xdr:to>
      <xdr:col>3</xdr:col>
      <xdr:colOff>2133600</xdr:colOff>
      <xdr:row>67</xdr:row>
      <xdr:rowOff>52387</xdr:rowOff>
    </xdr:to>
    <xdr:graphicFrame macro="">
      <xdr:nvGraphicFramePr>
        <xdr:cNvPr id="18" name="Chart 17">
          <a:extLst>
            <a:ext uri="{FF2B5EF4-FFF2-40B4-BE49-F238E27FC236}">
              <a16:creationId xmlns:a16="http://schemas.microsoft.com/office/drawing/2014/main" id="{15C20BF1-5AE0-4292-BF2F-BD3FC952C2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3100386</xdr:colOff>
      <xdr:row>57</xdr:row>
      <xdr:rowOff>100012</xdr:rowOff>
    </xdr:from>
    <xdr:to>
      <xdr:col>18</xdr:col>
      <xdr:colOff>347661</xdr:colOff>
      <xdr:row>67</xdr:row>
      <xdr:rowOff>23812</xdr:rowOff>
    </xdr:to>
    <xdr:graphicFrame macro="">
      <xdr:nvGraphicFramePr>
        <xdr:cNvPr id="19" name="Chart 18">
          <a:extLst>
            <a:ext uri="{FF2B5EF4-FFF2-40B4-BE49-F238E27FC236}">
              <a16:creationId xmlns:a16="http://schemas.microsoft.com/office/drawing/2014/main" id="{D3FDCC6D-423F-4815-99C0-2C8387E407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21</xdr:col>
      <xdr:colOff>23812</xdr:colOff>
      <xdr:row>57</xdr:row>
      <xdr:rowOff>71437</xdr:rowOff>
    </xdr:from>
    <xdr:to>
      <xdr:col>30</xdr:col>
      <xdr:colOff>23812</xdr:colOff>
      <xdr:row>66</xdr:row>
      <xdr:rowOff>185737</xdr:rowOff>
    </xdr:to>
    <xdr:graphicFrame macro="">
      <xdr:nvGraphicFramePr>
        <xdr:cNvPr id="20" name="Chart 19">
          <a:extLst>
            <a:ext uri="{FF2B5EF4-FFF2-40B4-BE49-F238E27FC236}">
              <a16:creationId xmlns:a16="http://schemas.microsoft.com/office/drawing/2014/main" id="{96AF1E2D-201A-4C2F-8621-D49C30EE2D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5D590E-DBCF-4022-817F-DE66391EC1BE}" name="Table32" displayName="Table32" ref="A4:E27" totalsRowShown="0" headerRowDxfId="304" dataDxfId="303">
  <autoFilter ref="A4:E27" xr:uid="{9CD9879E-7020-4FF0-9156-A330E7D12E99}"/>
  <tableColumns count="5">
    <tableColumn id="1" xr3:uid="{DC46DB4F-B48F-478F-9896-C8984468E17A}" name="Student Group" dataDxfId="302"/>
    <tableColumn id="2" xr3:uid="{B3441AFA-2833-4ACF-8759-4821DAC02A38}" name="Sec" dataDxfId="301" dataCellStyle="Comma"/>
    <tableColumn id="5" xr3:uid="{B6DE706C-B0EC-45DF-B289-EAFA2C39756A}" name="% Sec" dataDxfId="300" dataCellStyle="Percent">
      <calculatedColumnFormula>IFERROR((B5/$B$28), "")</calculatedColumnFormula>
    </tableColumn>
    <tableColumn id="4" xr3:uid="{90C2ABDD-0753-45BA-926C-B32C35BEC571}" name="Postsec" dataDxfId="299" dataCellStyle="Comma"/>
    <tableColumn id="3" xr3:uid="{5814ABAC-0917-4319-8026-1AFF0448776C}" name="% Postsec" dataDxfId="298" dataCellStyle="Percent">
      <calculatedColumnFormula>IFERROR((D5/$D$28), "")</calculatedColumn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6591A3-BF88-4AFD-B330-0826B37C7D8F}" name="Table3" displayName="Table3" ref="A5:AR33" totalsRowCount="1" headerRowDxfId="297" dataDxfId="296" totalsRowDxfId="295">
  <autoFilter ref="A5:AR32" xr:uid="{968E93E0-34DA-44E6-B6EB-615C4274BDF5}"/>
  <sortState xmlns:xlrd2="http://schemas.microsoft.com/office/spreadsheetml/2017/richdata2" ref="A6:AR32">
    <sortCondition ref="C5:C32"/>
  </sortState>
  <tableColumns count="44">
    <tableColumn id="1" xr3:uid="{04FB290A-2E6B-4F20-B632-13FA9194C733}" name="Program Code" totalsRowLabel="Total" dataDxfId="147" totalsRowDxfId="103"/>
    <tableColumn id="2" xr3:uid="{1BA52569-109A-4D6A-A20E-6C493446B503}" name="Program Name" dataDxfId="146" totalsRowDxfId="102"/>
    <tableColumn id="43" xr3:uid="{467970E6-9CE8-4A00-A129-D99635C552C6}" name="Career Cluster" dataDxfId="145" totalsRowDxfId="101"/>
    <tableColumn id="3" xr3:uid="{6769FDF0-B64E-41AF-A449-C7B6129112E8}" name="Total" totalsRowFunction="sum" dataDxfId="144" totalsRowDxfId="100"/>
    <tableColumn id="5" xr3:uid="{A763516D-204D-46E8-9041-FC1D85138BB1}" name="F" totalsRowFunction="sum" dataDxfId="143" totalsRowDxfId="99"/>
    <tableColumn id="6" xr3:uid="{AD2137F1-A4C4-4EF7-811F-58D8B8FF888F}" name="M" totalsRowFunction="sum" dataDxfId="142" totalsRowDxfId="98"/>
    <tableColumn id="4" xr3:uid="{E563EC10-9C31-47D4-8F3C-5A97CF434163}" name="Other" totalsRowFunction="sum" dataDxfId="141" totalsRowDxfId="97"/>
    <tableColumn id="8" xr3:uid="{741F85BE-3212-4A56-AAE8-71E99967B4BC}" name="AmInd" totalsRowFunction="sum" dataDxfId="140" totalsRowDxfId="96"/>
    <tableColumn id="9" xr3:uid="{8B070765-3394-4AE4-9497-7D42B27CD740}" name="Asian" totalsRowFunction="sum" dataDxfId="139" totalsRowDxfId="95"/>
    <tableColumn id="10" xr3:uid="{A658C907-4554-4C28-A97A-5B5CB70E65A5}" name="Hispanic" totalsRowFunction="sum" dataDxfId="138" totalsRowDxfId="94"/>
    <tableColumn id="11" xr3:uid="{A42D3597-E193-4844-A8B6-9384DB3ED78D}" name="Black" totalsRowFunction="sum" dataDxfId="137" totalsRowDxfId="93"/>
    <tableColumn id="12" xr3:uid="{E1D82E09-B353-492C-8C23-4ADF5DAE36B7}" name="White" totalsRowFunction="sum" dataDxfId="136" totalsRowDxfId="92"/>
    <tableColumn id="13" xr3:uid="{8EAF2273-5DB6-4686-AB4C-D51C489CFD2F}" name="H/PI" totalsRowFunction="sum" dataDxfId="135" totalsRowDxfId="91"/>
    <tableColumn id="14" xr3:uid="{48ED611E-9712-437D-9785-3AC43FF64B27}" name="Multi" totalsRowFunction="sum" dataDxfId="134" totalsRowDxfId="90"/>
    <tableColumn id="44" xr3:uid="{7CB858CE-CB58-4DD4-83E1-548437C8B752}" name="Unknown" totalsRowFunction="sum" dataDxfId="133" totalsRowDxfId="89"/>
    <tableColumn id="16" xr3:uid="{CB741026-20BC-4CAC-8AD6-2E19F92B98BB}" name="Dis" totalsRowFunction="sum" dataDxfId="132" totalsRowDxfId="88"/>
    <tableColumn id="17" xr3:uid="{3981C8EE-E15C-49C5-BCDA-757F65F63258}" name="ED" totalsRowFunction="sum" dataDxfId="131" totalsRowDxfId="87"/>
    <tableColumn id="18" xr3:uid="{0D12EB2D-C953-455B-B7C1-A1703EEF2047}" name="Non-trad" totalsRowFunction="sum" dataDxfId="130" totalsRowDxfId="86"/>
    <tableColumn id="15" xr3:uid="{AF3F0B51-4B41-484E-8F48-85C2AD1F65EE}" name="SP" totalsRowFunction="sum" dataDxfId="129" totalsRowDxfId="85"/>
    <tableColumn id="31" xr3:uid="{CC8D2618-61C9-44CE-B074-9E55A8DE0C34}" name="OOW" totalsRowFunction="sum" dataDxfId="128" totalsRowDxfId="84"/>
    <tableColumn id="32" xr3:uid="{FB5DA9C3-BEC5-4CDB-91D8-EB39C41E4B78}" name="EL" totalsRowFunction="sum" dataDxfId="127" totalsRowDxfId="83"/>
    <tableColumn id="33" xr3:uid="{38D2875D-A010-49D8-908E-26D939209B6F}" name="Homeless" totalsRowFunction="sum" dataDxfId="126" totalsRowDxfId="82"/>
    <tableColumn id="34" xr3:uid="{F3A9674E-6463-4F4C-A07C-19086AB925CA}" name="Foster" totalsRowFunction="sum" dataDxfId="125" totalsRowDxfId="81"/>
    <tableColumn id="35" xr3:uid="{F74FF436-A37B-4286-86B8-A8E08480724B}" name="AD" totalsRowFunction="sum" dataDxfId="124" totalsRowDxfId="80"/>
    <tableColumn id="19" xr3:uid="{D4E734E1-55C7-4D34-A99B-0E7E217D0CD1}" name="%F" totalsRowFunction="custom" dataDxfId="123" totalsRowDxfId="79" dataCellStyle="Percent">
      <calculatedColumnFormula>IFERROR((Table3[[#This Row],[F]]/Table3[[#This Row],[Total]]), "")</calculatedColumnFormula>
      <totalsRowFormula>IFERROR(E35/$D$35, "")</totalsRowFormula>
    </tableColumn>
    <tableColumn id="20" xr3:uid="{671B6B54-2CB5-42C6-B2AE-1DDE1E9CB894}" name="%M" totalsRowFunction="custom" dataDxfId="122" totalsRowDxfId="78" dataCellStyle="Percent">
      <calculatedColumnFormula>IFERROR((Table3[[#This Row],[M]]/Table3[[#This Row],[Total]]), "")</calculatedColumnFormula>
      <totalsRowFormula>IFERROR(F35/$D$35, "")</totalsRowFormula>
    </tableColumn>
    <tableColumn id="36" xr3:uid="{0BDCA28B-7936-42F3-8532-5F91AA87FA21}" name="% Other" totalsRowFunction="custom" dataDxfId="121" totalsRowDxfId="77" dataCellStyle="Percent">
      <calculatedColumnFormula>IFERROR((Table3[[#This Row],[Other]]/Table3[[#This Row],[Total]]), "")</calculatedColumnFormula>
      <totalsRowFormula>IFERROR(G35/$D$35, "")</totalsRowFormula>
    </tableColumn>
    <tableColumn id="21" xr3:uid="{966D841F-409E-4117-9F74-88A0480ED168}" name="_x000a_% AmInd" totalsRowFunction="custom" dataDxfId="120" totalsRowDxfId="76" dataCellStyle="Percent">
      <calculatedColumnFormula>IFERROR((Table3[[#This Row],[AmInd]]/Table3[[#This Row],[Total]]), "")</calculatedColumnFormula>
      <totalsRowFormula>IFERROR(H35/$D$35, "")</totalsRowFormula>
    </tableColumn>
    <tableColumn id="22" xr3:uid="{30ADD333-B97B-4E77-934F-B159B72354FE}" name="% Asian" totalsRowFunction="custom" dataDxfId="119" totalsRowDxfId="75" dataCellStyle="Percent">
      <calculatedColumnFormula>IFERROR((Table3[[#This Row],[Asian]]/Table3[[#This Row],[Total]]), "")</calculatedColumnFormula>
      <totalsRowFormula>IFERROR(I35/$D$35, "")</totalsRowFormula>
    </tableColumn>
    <tableColumn id="23" xr3:uid="{465E7508-BD0D-455A-9AA5-2BDB49245342}" name="% Hispanic" totalsRowFunction="custom" dataDxfId="118" totalsRowDxfId="74" dataCellStyle="Percent">
      <calculatedColumnFormula>IFERROR((Table3[[#This Row],[Hispanic]]/Table3[[#This Row],[Total]]), "")</calculatedColumnFormula>
      <totalsRowFormula>IFERROR(J35/$D$35, "")</totalsRowFormula>
    </tableColumn>
    <tableColumn id="24" xr3:uid="{AAB25E3D-42F2-4766-B2B6-606C522B96AC}" name="% Black" totalsRowFunction="custom" dataDxfId="117" totalsRowDxfId="73" dataCellStyle="Percent">
      <calculatedColumnFormula>IFERROR((Table3[[#This Row],[Black]]/Table3[[#This Row],[Total]]), "")</calculatedColumnFormula>
      <totalsRowFormula>IFERROR(K35/$D$35, "")</totalsRowFormula>
    </tableColumn>
    <tableColumn id="25" xr3:uid="{82D9BB8F-8010-461F-8DEB-D81FB838888F}" name="% White" totalsRowFunction="custom" dataDxfId="116" totalsRowDxfId="72" dataCellStyle="Percent">
      <calculatedColumnFormula>IFERROR((Table3[[#This Row],[White]]/Table3[[#This Row],[Total]]), "")</calculatedColumnFormula>
      <totalsRowFormula>IFERROR(L35/$D$35, "")</totalsRowFormula>
    </tableColumn>
    <tableColumn id="26" xr3:uid="{4025DE73-9496-431B-B3AB-1DE58D8C5964}" name="_x000a_% H/PI" totalsRowFunction="custom" dataDxfId="115" totalsRowDxfId="71" dataCellStyle="Percent">
      <calculatedColumnFormula>IFERROR((Table3[[#This Row],[H/PI]]/Table3[[#This Row],[Total]]), "")</calculatedColumnFormula>
      <totalsRowFormula>IFERROR(M35/$D$35, "")</totalsRowFormula>
    </tableColumn>
    <tableColumn id="27" xr3:uid="{747A66F1-B712-4724-B13E-3CDBAFF8F51C}" name="_x000a_% Multi" totalsRowFunction="custom" dataDxfId="114" totalsRowDxfId="70" dataCellStyle="Percent">
      <calculatedColumnFormula>IFERROR((Table3[[#This Row],[Multi]]/Table3[[#This Row],[Total]]), "")</calculatedColumnFormula>
      <totalsRowFormula>IFERROR(N35/$D$35, "")</totalsRowFormula>
    </tableColumn>
    <tableColumn id="7" xr3:uid="{B95D17B0-2BA2-4993-83DA-A27BD50B7F58}" name="% Unknown" totalsRowFunction="custom" dataDxfId="113" totalsRowDxfId="69" dataCellStyle="Percent">
      <calculatedColumnFormula>IFERROR((Table3[[#This Row],[Unknown]]/Table3[[#This Row],[Total]]), "")</calculatedColumnFormula>
      <totalsRowFormula>IFERROR(O35/$D$35, "")</totalsRowFormula>
    </tableColumn>
    <tableColumn id="28" xr3:uid="{FCA9DA2A-2BCD-47E1-AC51-8B1129C33B6F}" name="% Dis" totalsRowFunction="custom" dataDxfId="112" totalsRowDxfId="68" dataCellStyle="Percent">
      <calculatedColumnFormula>IFERROR((Table3[[#This Row],[Dis]]/Table3[[#This Row],[Total]]), "")</calculatedColumnFormula>
      <totalsRowFormula>IFERROR(P35/$D$35, "")</totalsRowFormula>
    </tableColumn>
    <tableColumn id="29" xr3:uid="{0B5CD773-4BF3-4632-B8D5-105F167D64B6}" name="%ED" totalsRowFunction="custom" dataDxfId="111" totalsRowDxfId="67" dataCellStyle="Percent">
      <calculatedColumnFormula>IFERROR((Table3[[#This Row],[ED]]/Table3[[#This Row],[Total]]), "")</calculatedColumnFormula>
      <totalsRowFormula>IFERROR(Q35/$D$35, "")</totalsRowFormula>
    </tableColumn>
    <tableColumn id="30" xr3:uid="{C3A104EE-3AD5-471A-A428-92FE12ED67EB}" name="% Non-trad" totalsRowFunction="custom" dataDxfId="110" totalsRowDxfId="66" dataCellStyle="Percent">
      <calculatedColumnFormula>IFERROR((Table3[[#This Row],[Non-trad]]/Table3[[#This Row],[Total]]), "")</calculatedColumnFormula>
      <totalsRowFormula>IFERROR(R35/$D$35, "")</totalsRowFormula>
    </tableColumn>
    <tableColumn id="37" xr3:uid="{01BC8717-1FC4-4568-94C3-69BF94BD0879}" name="% SP" totalsRowFunction="custom" dataDxfId="109" totalsRowDxfId="65" dataCellStyle="Percent">
      <calculatedColumnFormula>IFERROR((Table3[[#This Row],[SP]]/Table3[[#This Row],[Total]]), "")</calculatedColumnFormula>
      <totalsRowFormula>IFERROR(S35/$D$35, "")</totalsRowFormula>
    </tableColumn>
    <tableColumn id="38" xr3:uid="{BD221180-6EA1-4D8F-856F-494877178A3A}" name="%OOW" totalsRowFunction="custom" dataDxfId="108" totalsRowDxfId="64" dataCellStyle="Percent">
      <calculatedColumnFormula>IFERROR((Table3[[#This Row],[OOW]]/Table3[[#This Row],[Total]]), "")</calculatedColumnFormula>
      <totalsRowFormula>IFERROR(T35/$D$35, "")</totalsRowFormula>
    </tableColumn>
    <tableColumn id="39" xr3:uid="{7D467741-5D56-4C30-8CA3-424526162CED}" name="% EL" totalsRowFunction="custom" dataDxfId="107" totalsRowDxfId="63" dataCellStyle="Percent">
      <calculatedColumnFormula>IFERROR((Table3[[#This Row],[EL]]/Table3[[#This Row],[Total]]), "")</calculatedColumnFormula>
      <totalsRowFormula>IFERROR(U35/$D$35, "")</totalsRowFormula>
    </tableColumn>
    <tableColumn id="40" xr3:uid="{DD5909C6-581C-4195-85D6-148BB4BAA412}" name="% Homeless" totalsRowFunction="custom" dataDxfId="106" totalsRowDxfId="62" dataCellStyle="Percent">
      <calculatedColumnFormula>IFERROR((Table3[[#This Row],[Homeless]]/Table3[[#This Row],[Total]]), "")</calculatedColumnFormula>
      <totalsRowFormula>IFERROR(V35/$D$35, "")</totalsRowFormula>
    </tableColumn>
    <tableColumn id="41" xr3:uid="{644D39EA-0A1D-47DD-9265-572A9F240BB6}" name="% Foster" totalsRowFunction="custom" dataDxfId="105" totalsRowDxfId="61" dataCellStyle="Percent">
      <calculatedColumnFormula>IFERROR((Table3[[#This Row],[Foster]]/Table3[[#This Row],[Total]]), "")</calculatedColumnFormula>
      <totalsRowFormula>IFERROR(W35/$D$35, "")</totalsRowFormula>
    </tableColumn>
    <tableColumn id="42" xr3:uid="{5CF64689-C24A-4155-AFC8-1CFC5A43F9B4}" name="% AD" totalsRowFunction="custom" dataDxfId="104" totalsRowDxfId="60" dataCellStyle="Percent">
      <calculatedColumnFormula>IFERROR((Table3[[#This Row],[AD]]/Table3[[#This Row],[Total]]), "")</calculatedColumnFormula>
      <totalsRowFormula>IFERROR(X35/$D$35, "")</totalsRowFormula>
    </tableColumn>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AE7C42A-7C14-48DE-ACE4-1AD14F1E1C25}" name="Table35" displayName="Table35" ref="A5:AR106" totalsRowCount="1" headerRowDxfId="294" dataDxfId="293" totalsRowDxfId="292">
  <autoFilter ref="A5:AR105" xr:uid="{968E93E0-34DA-44E6-B6EB-615C4274BDF5}"/>
  <tableColumns count="44">
    <tableColumn id="1" xr3:uid="{5AE8E853-5882-4E67-BBCA-4DFB7F9393D5}" name="Program Code" totalsRowLabel="Total" dataDxfId="291" totalsRowDxfId="290"/>
    <tableColumn id="2" xr3:uid="{27A96DCA-4397-4655-8A11-50EE24B11178}" name="Program Name" dataDxfId="289" totalsRowDxfId="288"/>
    <tableColumn id="43" xr3:uid="{D0039856-7C15-4362-B7B1-9DBE7BECFF61}" name="Career Cluster" dataDxfId="287" totalsRowDxfId="286"/>
    <tableColumn id="3" xr3:uid="{505090B3-2AA4-418F-BCD6-79A50CD2380A}" name="Total" totalsRowFunction="sum" dataDxfId="285" totalsRowDxfId="284"/>
    <tableColumn id="5" xr3:uid="{4414D181-ACCC-4090-B258-8ED751AA03C4}" name="F" totalsRowFunction="sum" dataDxfId="283" totalsRowDxfId="282"/>
    <tableColumn id="6" xr3:uid="{DDD1C32E-3C1C-4D11-8816-F51E83E795F5}" name="M" totalsRowFunction="sum" dataDxfId="281" totalsRowDxfId="280"/>
    <tableColumn id="4" xr3:uid="{0C4D85F0-A0EC-4C15-94CC-A48FFAF0A3AB}" name="Other" totalsRowFunction="sum" dataDxfId="279" totalsRowDxfId="278"/>
    <tableColumn id="8" xr3:uid="{DDCB45DE-16ED-403C-804B-A0403243D33C}" name="AmInd" totalsRowFunction="sum" dataDxfId="277" totalsRowDxfId="276"/>
    <tableColumn id="9" xr3:uid="{22A454A7-03DC-446A-A7D6-E7A4D8AC10D5}" name="Asian" totalsRowFunction="sum" dataDxfId="275" totalsRowDxfId="274"/>
    <tableColumn id="10" xr3:uid="{9862C5AC-CCC6-48BE-A0DC-3C8912BD3D5E}" name="Hispanic" totalsRowFunction="sum" dataDxfId="273" totalsRowDxfId="272"/>
    <tableColumn id="11" xr3:uid="{6810A2E5-E82A-4C52-8685-E0F6A62495BE}" name="Black" totalsRowFunction="sum" dataDxfId="271" totalsRowDxfId="270"/>
    <tableColumn id="12" xr3:uid="{7D1AA1DF-8686-48E1-91BF-DC6F48A67A44}" name="White" totalsRowFunction="sum" dataDxfId="269" totalsRowDxfId="268"/>
    <tableColumn id="13" xr3:uid="{D69B2684-5BA3-4DEA-8928-306A4FF0AFCF}" name="H/PI" totalsRowFunction="sum" dataDxfId="267" totalsRowDxfId="266"/>
    <tableColumn id="14" xr3:uid="{D9BD7BE3-EA35-4CDF-B55D-D40F1D698C64}" name="Multi" totalsRowFunction="sum" dataDxfId="265" totalsRowDxfId="264"/>
    <tableColumn id="44" xr3:uid="{313B4AFA-A5A0-42FE-9C0C-98BA9DFCF93A}" name="Unknown" dataDxfId="263" totalsRowDxfId="262"/>
    <tableColumn id="16" xr3:uid="{6EDE1CCC-77F2-4C28-A739-AA944836A62C}" name="Dis" totalsRowFunction="sum" dataDxfId="261" totalsRowDxfId="260"/>
    <tableColumn id="17" xr3:uid="{EC77CA84-7C4B-4DF4-8F9E-4386D2822A7E}" name="ED" totalsRowFunction="sum" dataDxfId="259" totalsRowDxfId="258"/>
    <tableColumn id="18" xr3:uid="{473F1418-F9FF-4A66-8CF2-04BC6F1680D3}" name="Non-trad" totalsRowFunction="sum" dataDxfId="257" totalsRowDxfId="256"/>
    <tableColumn id="15" xr3:uid="{54EFD208-8824-40A4-B1D4-4AB2D69DE430}" name="SP" totalsRowFunction="sum" dataDxfId="255" totalsRowDxfId="254"/>
    <tableColumn id="31" xr3:uid="{24BBF3A2-429B-4BF6-86C9-6BDC02DAEE24}" name="OOW" totalsRowFunction="sum" dataDxfId="253" totalsRowDxfId="252"/>
    <tableColumn id="32" xr3:uid="{7D37AE27-DDEA-4D61-A973-D8863C4C0FF7}" name="EL" totalsRowFunction="sum" dataDxfId="251" totalsRowDxfId="250"/>
    <tableColumn id="33" xr3:uid="{6F3E7398-558F-4B24-9383-91B7BFDA1668}" name="Homeless" totalsRowFunction="sum" dataDxfId="249" totalsRowDxfId="248"/>
    <tableColumn id="34" xr3:uid="{EAF8A18C-5A86-42DA-BA5C-2B1A7893A93D}" name="Foster" totalsRowFunction="sum" dataDxfId="247" totalsRowDxfId="246"/>
    <tableColumn id="35" xr3:uid="{FAFA3FD2-D1BF-4B44-96D4-B0A9BE1F3AE2}" name="AD" totalsRowFunction="sum" dataDxfId="245" totalsRowDxfId="244"/>
    <tableColumn id="19" xr3:uid="{92DB50CC-DD03-4644-9C85-61636BE25B38}" name="%F" totalsRowFunction="custom" dataDxfId="243" totalsRowDxfId="242" dataCellStyle="Percent">
      <calculatedColumnFormula>IFERROR((Table35[[#This Row],[F]]/Table35[[#This Row],[Total]]), "")</calculatedColumnFormula>
      <totalsRowFormula>IFERROR(E108/$D$108, "")</totalsRowFormula>
    </tableColumn>
    <tableColumn id="20" xr3:uid="{95AECA58-9A62-4699-9E1F-7BDED4580938}" name="%M" totalsRowFunction="custom" dataDxfId="241" totalsRowDxfId="240" dataCellStyle="Percent">
      <calculatedColumnFormula>IFERROR((Table35[[#This Row],[M]]/Table35[[#This Row],[Total]]), "")</calculatedColumnFormula>
      <totalsRowFormula>IFERROR(F108/$D$108, "")</totalsRowFormula>
    </tableColumn>
    <tableColumn id="36" xr3:uid="{35A0DA26-BF72-40F6-A9FD-96066A50006A}" name="% Other" totalsRowFunction="custom" dataDxfId="239" totalsRowDxfId="238" dataCellStyle="Percent">
      <calculatedColumnFormula>IFERROR((Table35[[#This Row],[Other]]/Table35[[#This Row],[Total]]), "")</calculatedColumnFormula>
      <totalsRowFormula>IFERROR(G108/$D$108, "")</totalsRowFormula>
    </tableColumn>
    <tableColumn id="21" xr3:uid="{EDB6DC2D-5D65-4BE5-B8A4-1E799D40DF12}" name="_x000a_% AmInd" totalsRowFunction="custom" dataDxfId="237" totalsRowDxfId="236" dataCellStyle="Percent">
      <calculatedColumnFormula>IFERROR((Table35[[#This Row],[AmInd]]/Table35[[#This Row],[Total]]), "")</calculatedColumnFormula>
      <totalsRowFormula>IFERROR(H108/$D$108, "")</totalsRowFormula>
    </tableColumn>
    <tableColumn id="22" xr3:uid="{2EBA004F-F47C-412E-84DB-65E9D656E0BE}" name="% Asian" totalsRowFunction="custom" dataDxfId="235" totalsRowDxfId="234" dataCellStyle="Percent">
      <calculatedColumnFormula>IFERROR((Table35[[#This Row],[Asian]]/Table35[[#This Row],[Total]]), "")</calculatedColumnFormula>
      <totalsRowFormula>IFERROR(I108/$D$108, "")</totalsRowFormula>
    </tableColumn>
    <tableColumn id="23" xr3:uid="{1F5C54D3-CF41-485E-B727-59FD7D20E2BA}" name="% Hispanic" totalsRowFunction="custom" dataDxfId="233" totalsRowDxfId="232" dataCellStyle="Percent">
      <calculatedColumnFormula>IFERROR((Table35[[#This Row],[Hispanic]]/Table35[[#This Row],[Total]]), "")</calculatedColumnFormula>
      <totalsRowFormula>IFERROR(J108/$D$108, "")</totalsRowFormula>
    </tableColumn>
    <tableColumn id="24" xr3:uid="{DB5BCABB-C129-472C-B9A9-C582FAA1D02C}" name="_x000a_% Black" totalsRowFunction="custom" dataDxfId="231" totalsRowDxfId="230" dataCellStyle="Percent">
      <calculatedColumnFormula>IFERROR((Table35[[#This Row],[Black]]/Table35[[#This Row],[Total]]), "")</calculatedColumnFormula>
      <totalsRowFormula>IFERROR(K108/$D$108, "")</totalsRowFormula>
    </tableColumn>
    <tableColumn id="25" xr3:uid="{AD4D9AF3-988F-4781-B409-CFA6C23DBCFF}" name="_x000a_% White" totalsRowFunction="custom" dataDxfId="229" totalsRowDxfId="228" dataCellStyle="Percent">
      <calculatedColumnFormula>IFERROR((Table35[[#This Row],[White]]/Table35[[#This Row],[Total]]), "")</calculatedColumnFormula>
      <totalsRowFormula>IFERROR(L108/$D$108, "")</totalsRowFormula>
    </tableColumn>
    <tableColumn id="26" xr3:uid="{A460AC0B-D450-4007-9CC2-F2BE2F65F19A}" name="_x000a_% H/PI" totalsRowFunction="custom" dataDxfId="227" totalsRowDxfId="226" dataCellStyle="Percent">
      <calculatedColumnFormula>IFERROR((Table35[[#This Row],[H/PI]]/Table35[[#This Row],[Total]]), "")</calculatedColumnFormula>
      <totalsRowFormula>IFERROR(M108/$D$108, "")</totalsRowFormula>
    </tableColumn>
    <tableColumn id="27" xr3:uid="{209B9273-377A-4AF8-8F3E-A3713521A459}" name="_x000a_% Multi" totalsRowFunction="custom" dataDxfId="225" totalsRowDxfId="224" dataCellStyle="Percent">
      <calculatedColumnFormula>IFERROR((Table35[[#This Row],[Multi]]/Table35[[#This Row],[Total]]), "")</calculatedColumnFormula>
      <totalsRowFormula>IFERROR(N108/$D$108, "")</totalsRowFormula>
    </tableColumn>
    <tableColumn id="7" xr3:uid="{E5F73A18-6A87-44CA-B746-A20F073A1501}" name="% Unknown" totalsRowFunction="custom" dataDxfId="223" totalsRowDxfId="222" dataCellStyle="Percent">
      <calculatedColumnFormula>IFERROR((Table35[[#This Row],[Unknown]]/Table35[[#This Row],[Total]]), "")</calculatedColumnFormula>
      <totalsRowFormula>IFERROR(O108/$D$108, "")</totalsRowFormula>
    </tableColumn>
    <tableColumn id="28" xr3:uid="{D3935DE9-72F4-47F8-83D8-D4A8B40C866F}" name="% Dis" totalsRowFunction="custom" dataDxfId="221" totalsRowDxfId="220" dataCellStyle="Percent">
      <calculatedColumnFormula>IFERROR((Table35[[#This Row],[Dis]]/Table35[[#This Row],[Total]]), "")</calculatedColumnFormula>
      <totalsRowFormula>IFERROR(P108/$D$108, "")</totalsRowFormula>
    </tableColumn>
    <tableColumn id="29" xr3:uid="{9F734A05-21EC-4C15-AAF7-6A32A9A55EBE}" name="%ED" totalsRowFunction="custom" dataDxfId="219" totalsRowDxfId="218" dataCellStyle="Percent">
      <calculatedColumnFormula>IFERROR((Table35[[#This Row],[ED]]/Table35[[#This Row],[Total]]), "")</calculatedColumnFormula>
      <totalsRowFormula>IFERROR(Q108/$D$108, "")</totalsRowFormula>
    </tableColumn>
    <tableColumn id="30" xr3:uid="{96CD5C9E-2E28-476E-902E-ACB4EBFC3362}" name="% Non-trad" totalsRowFunction="custom" dataDxfId="217" totalsRowDxfId="216" dataCellStyle="Percent">
      <calculatedColumnFormula>IFERROR((Table35[[#This Row],[Non-trad]]/Table35[[#This Row],[Total]]), "")</calculatedColumnFormula>
      <totalsRowFormula>IFERROR(R108/$D$108, "")</totalsRowFormula>
    </tableColumn>
    <tableColumn id="37" xr3:uid="{D3624C95-9AEA-40EB-8B4C-A1C66E058A3E}" name="% SP" totalsRowFunction="custom" dataDxfId="215" totalsRowDxfId="214" dataCellStyle="Percent">
      <calculatedColumnFormula>IFERROR((Table35[[#This Row],[SP]]/Table35[[#This Row],[Total]]), "")</calculatedColumnFormula>
      <totalsRowFormula>IFERROR(S108/$D$108, "")</totalsRowFormula>
    </tableColumn>
    <tableColumn id="38" xr3:uid="{69A233D8-964E-4F4D-8899-06BAC9C3BD70}" name="%OOW" totalsRowFunction="custom" dataDxfId="213" totalsRowDxfId="212" dataCellStyle="Percent">
      <calculatedColumnFormula>IFERROR((Table35[[#This Row],[OOW]]/Table35[[#This Row],[Total]]), "")</calculatedColumnFormula>
      <totalsRowFormula>IFERROR(T108/$D$108, "")</totalsRowFormula>
    </tableColumn>
    <tableColumn id="39" xr3:uid="{DB943BC3-E050-4437-B9B7-8F4E702F07F5}" name="% EL" totalsRowFunction="custom" dataDxfId="211" totalsRowDxfId="210" dataCellStyle="Percent">
      <calculatedColumnFormula>IFERROR((Table35[[#This Row],[EL]]/Table35[[#This Row],[Total]]), "")</calculatedColumnFormula>
      <totalsRowFormula>IFERROR(U108/$D$108, "")</totalsRowFormula>
    </tableColumn>
    <tableColumn id="40" xr3:uid="{EAF25E79-1295-4059-A476-3BACE2B1E1CC}" name="% Homeless" totalsRowFunction="custom" dataDxfId="209" totalsRowDxfId="208" dataCellStyle="Percent">
      <calculatedColumnFormula>IFERROR((Table35[[#This Row],[Homeless]]/Table35[[#This Row],[Total]]), "")</calculatedColumnFormula>
      <totalsRowFormula>IFERROR(V108/$D$108, "")</totalsRowFormula>
    </tableColumn>
    <tableColumn id="41" xr3:uid="{DE30FDBD-243D-48D7-8E29-5036E3D0EC1B}" name="% Foster" totalsRowFunction="custom" dataDxfId="207" totalsRowDxfId="206" dataCellStyle="Percent">
      <calculatedColumnFormula>IFERROR((Table35[[#This Row],[Foster]]/Table35[[#This Row],[Total]]), "")</calculatedColumnFormula>
      <totalsRowFormula>IFERROR(W108/$D$108, "")</totalsRowFormula>
    </tableColumn>
    <tableColumn id="42" xr3:uid="{4ACEB2CA-8875-4AC0-B74A-FAFBDB02CC45}" name="% AD" totalsRowFunction="custom" dataDxfId="205" totalsRowDxfId="204" dataCellStyle="Percent">
      <calculatedColumnFormula>IFERROR((Table35[[#This Row],[AD]]/Table35[[#This Row],[Total]]), "")</calculatedColumnFormula>
      <totalsRowFormula>IFERROR(X108/$D$108, "")</totalsRowFormula>
    </tableColumn>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551E10-3F6C-4F47-8755-6F7612BAAE2E}" name="Table33" displayName="Table33" ref="A5:Y33" totalsRowCount="1" headerRowDxfId="203" dataDxfId="202" totalsRowDxfId="201">
  <autoFilter ref="A5:Y32" xr:uid="{968E93E0-34DA-44E6-B6EB-615C4274BDF5}"/>
  <sortState xmlns:xlrd2="http://schemas.microsoft.com/office/spreadsheetml/2017/richdata2" ref="A6:Y32">
    <sortCondition ref="G5:G32"/>
  </sortState>
  <tableColumns count="25">
    <tableColumn id="1" xr3:uid="{055EF382-1D82-473F-BA8F-E6EEB1C28629}" name="Program Code" totalsRowLabel="Total" dataDxfId="200" totalsRowDxfId="59"/>
    <tableColumn id="2" xr3:uid="{07BAEF8E-A571-4C95-B984-DDD387306DF5}" name="Program Name" dataDxfId="199" totalsRowDxfId="58">
      <calculatedColumnFormula>'Sec Enrollment'!$B6</calculatedColumnFormula>
    </tableColumn>
    <tableColumn id="4" xr3:uid="{F02D84F0-B14D-4D8F-B05F-96B14AF80CA5}" name="Career Cluster" dataDxfId="198" totalsRowDxfId="57"/>
    <tableColumn id="3" xr3:uid="{EAE785F5-AF3A-4CF3-9870-FE91627ED572}" name="Program Popularity" dataDxfId="197" totalsRowDxfId="56" dataCellStyle="Percent">
      <calculatedColumnFormula>IFERROR('Sec Enrollment'!$D6/'Sec Enrollment'!$D$35, "")</calculatedColumnFormula>
    </tableColumn>
    <tableColumn id="26" xr3:uid="{51BABA70-25A6-40E1-88AC-E0C32D522C7F}" name="Enrollment" dataDxfId="196" totalsRowDxfId="55">
      <calculatedColumnFormula>'Sec Enrollment'!D6</calculatedColumnFormula>
    </tableColumn>
    <tableColumn id="5" xr3:uid="{3ED2FAC8-2EA8-4A7E-9486-B8EEC0A0D4BE}" name="F" totalsRowFunction="custom" dataDxfId="195" totalsRowDxfId="54" dataCellStyle="Percent" totalsRowCellStyle="Percent">
      <calculatedColumnFormula>IFERROR(('Sec Enrollment'!$Y6-'Comparison Population'!$C$6), "")</calculatedColumnFormula>
      <totalsRowFormula>IFERROR(('Sec Enrollment'!Y33-'Comparison Population'!$C$6), "")</totalsRowFormula>
    </tableColumn>
    <tableColumn id="6" xr3:uid="{27BB340F-0648-4B3C-8D34-1C926D1C498F}" name="M" totalsRowFunction="custom" dataDxfId="194" totalsRowDxfId="53" dataCellStyle="Percent" totalsRowCellStyle="Percent">
      <calculatedColumnFormula>IFERROR(('Sec Enrollment'!Z6-'Comparison Population'!$C$7), "")</calculatedColumnFormula>
      <totalsRowFormula>IFERROR(('Sec Enrollment'!Z33-'Comparison Population'!$C$7), "")</totalsRowFormula>
    </tableColumn>
    <tableColumn id="8" xr3:uid="{523CA00E-A67C-4057-91B6-074F2B6FBB59}" name="Other" totalsRowFunction="custom" dataDxfId="193" totalsRowDxfId="52" dataCellStyle="Percent" totalsRowCellStyle="Percent">
      <calculatedColumnFormula>IFERROR(('Sec Enrollment'!AA6-'Comparison Population'!$C$8), "")</calculatedColumnFormula>
      <totalsRowFormula>IFERROR(('Sec Enrollment'!AA33-'Comparison Population'!$C$8), "")</totalsRowFormula>
    </tableColumn>
    <tableColumn id="9" xr3:uid="{21784CEA-4EF5-45D1-8696-438B897CD41F}" name="AmInd" totalsRowFunction="custom" dataDxfId="192" totalsRowDxfId="51" dataCellStyle="Percent" totalsRowCellStyle="Percent">
      <calculatedColumnFormula>IFERROR(('Sec Enrollment'!AB6-'Comparison Population'!$C$10), "")</calculatedColumnFormula>
      <totalsRowFormula>IFERROR(('Sec Enrollment'!AB33-'Comparison Population'!$C$10), "")</totalsRowFormula>
    </tableColumn>
    <tableColumn id="10" xr3:uid="{309BDDCC-0869-4771-B629-BDB9A148BA4F}" name="Asian" totalsRowFunction="custom" dataDxfId="191" totalsRowDxfId="50" dataCellStyle="Percent" totalsRowCellStyle="Percent">
      <calculatedColumnFormula>IFERROR(('Sec Enrollment'!AC6-'Comparison Population'!$C$11), "")</calculatedColumnFormula>
      <totalsRowFormula>IFERROR(('Sec Enrollment'!AC33-'Comparison Population'!$C$11), "")</totalsRowFormula>
    </tableColumn>
    <tableColumn id="11" xr3:uid="{66E017BA-8D53-4864-B400-A83C5722EB30}" name="Hispanic" totalsRowFunction="custom" dataDxfId="190" totalsRowDxfId="49" dataCellStyle="Percent" totalsRowCellStyle="Percent">
      <calculatedColumnFormula>IFERROR(('Sec Enrollment'!AD6-'Comparison Population'!$C$12), "")</calculatedColumnFormula>
      <totalsRowFormula>IFERROR(('Sec Enrollment'!AD33-'Comparison Population'!$C$12), "")</totalsRowFormula>
    </tableColumn>
    <tableColumn id="12" xr3:uid="{1BB12CCE-47A0-42A7-91E2-1CC383522B2D}" name="Black" totalsRowFunction="custom" dataDxfId="189" totalsRowDxfId="48" dataCellStyle="Percent" totalsRowCellStyle="Percent">
      <calculatedColumnFormula>IFERROR(('Sec Enrollment'!AE6-'Comparison Population'!$C$13), "")</calculatedColumnFormula>
      <totalsRowFormula>IFERROR(('Sec Enrollment'!AE33-'Comparison Population'!$C$13), "")</totalsRowFormula>
    </tableColumn>
    <tableColumn id="13" xr3:uid="{02F32BB4-5AD2-4D0E-B165-EC8DCEF49A0A}" name="White" totalsRowFunction="custom" dataDxfId="188" totalsRowDxfId="47" dataCellStyle="Percent" totalsRowCellStyle="Percent">
      <calculatedColumnFormula>IFERROR(('Sec Enrollment'!AF6-'Comparison Population'!$C$14), "")</calculatedColumnFormula>
      <totalsRowFormula>IFERROR(('Sec Enrollment'!AF33-'Comparison Population'!$C$14), "")</totalsRowFormula>
    </tableColumn>
    <tableColumn id="14" xr3:uid="{A8FCC8D7-42B0-4329-9BC9-A4F5681559E6}" name="H/PI" totalsRowFunction="custom" dataDxfId="187" totalsRowDxfId="46" dataCellStyle="Percent" totalsRowCellStyle="Percent">
      <calculatedColumnFormula>IFERROR(('Sec Enrollment'!AG6-'Comparison Population'!$C$15), "")</calculatedColumnFormula>
      <totalsRowFormula>IFERROR(('Sec Enrollment'!AG33-'Comparison Population'!$C$15), "")</totalsRowFormula>
    </tableColumn>
    <tableColumn id="16" xr3:uid="{C002FDB2-A74F-4312-8D76-D9E32F28527D}" name="Multi" totalsRowFunction="custom" dataDxfId="186" totalsRowDxfId="45" dataCellStyle="Percent" totalsRowCellStyle="Percent">
      <calculatedColumnFormula>IFERROR(('Sec Enrollment'!AH6-'Comparison Population'!$C$16), "")</calculatedColumnFormula>
      <totalsRowFormula>IFERROR(('Sec Enrollment'!AH33-'Comparison Population'!$C$16), "")</totalsRowFormula>
    </tableColumn>
    <tableColumn id="7" xr3:uid="{4A4921D8-D390-42F8-B028-4E13FE86DD8C}" name="Unknown" totalsRowFunction="custom" dataDxfId="185" totalsRowDxfId="44" dataCellStyle="Percent" totalsRowCellStyle="Percent">
      <calculatedColumnFormula>IFERROR(('Sec Enrollment'!AI6-'Comparison Population'!$C$17), "")</calculatedColumnFormula>
      <totalsRowFormula>IFERROR(('Sec Enrollment'!AI33-'Comparison Population'!$C$17), "")</totalsRowFormula>
    </tableColumn>
    <tableColumn id="17" xr3:uid="{634C2F72-A699-4F30-9AA3-BF6933295BA6}" name="Dis" totalsRowFunction="custom" dataDxfId="184" totalsRowDxfId="43" dataCellStyle="Percent" totalsRowCellStyle="Percent">
      <calculatedColumnFormula>IFERROR(('Sec Enrollment'!AJ6-'Comparison Population'!$C$19), "")</calculatedColumnFormula>
      <totalsRowFormula>IFERROR(('Sec Enrollment'!AJ33-'Comparison Population'!$C$19), "")</totalsRowFormula>
    </tableColumn>
    <tableColumn id="18" xr3:uid="{F5DC2539-AE19-4C73-91C9-5F6174D2CDB6}" name="ED" totalsRowFunction="custom" dataDxfId="183" totalsRowDxfId="42" dataCellStyle="Percent" totalsRowCellStyle="Percent">
      <calculatedColumnFormula>IFERROR(('Sec Enrollment'!AK6-'Comparison Population'!$C$20), "")</calculatedColumnFormula>
      <totalsRowFormula>IFERROR(('Sec Enrollment'!AK33-'Comparison Population'!$C$20), "")</totalsRowFormula>
    </tableColumn>
    <tableColumn id="19" xr3:uid="{E90F858B-87A8-4615-8157-0E9641607336}" name="Non-trad" totalsRowFunction="custom" dataDxfId="182" totalsRowDxfId="41" dataCellStyle="Percent" totalsRowCellStyle="Percent">
      <calculatedColumnFormula>IFERROR(('Sec Enrollment'!AL6-'Comparison Population'!$C$21), "")</calculatedColumnFormula>
      <totalsRowFormula>IFERROR(('Sec Enrollment'!AL33-'Comparison Population'!$C$21), "")</totalsRowFormula>
    </tableColumn>
    <tableColumn id="20" xr3:uid="{71DE68C6-0756-4919-93EA-CF7AC8B1F56F}" name="SP" totalsRowFunction="custom" dataDxfId="181" totalsRowDxfId="40" dataCellStyle="Percent" totalsRowCellStyle="Percent">
      <calculatedColumnFormula>IFERROR(('Sec Enrollment'!AM6-'Comparison Population'!$C$22), "")</calculatedColumnFormula>
      <totalsRowFormula>IFERROR(('Sec Enrollment'!AM33-'Comparison Population'!$C$22), "")</totalsRowFormula>
    </tableColumn>
    <tableColumn id="21" xr3:uid="{C04E47ED-9C7E-4B6E-A4A5-92EAB19A5513}" name="OOW" totalsRowFunction="custom" dataDxfId="180" totalsRowDxfId="39" dataCellStyle="Percent" totalsRowCellStyle="Percent">
      <calculatedColumnFormula>IFERROR(('Sec Enrollment'!AN6-'Comparison Population'!$C$23), "")</calculatedColumnFormula>
      <totalsRowFormula>IFERROR(('Sec Enrollment'!AN33-'Comparison Population'!$C$23), "")</totalsRowFormula>
    </tableColumn>
    <tableColumn id="22" xr3:uid="{3316C097-9792-47AB-8F7C-A2FF4E7FD1B2}" name="EL" totalsRowFunction="custom" dataDxfId="179" totalsRowDxfId="38" dataCellStyle="Percent" totalsRowCellStyle="Percent">
      <calculatedColumnFormula>IFERROR(('Sec Enrollment'!AO6-'Comparison Population'!$C$24), "")</calculatedColumnFormula>
      <totalsRowFormula>IFERROR(('Sec Enrollment'!AO33-'Comparison Population'!$C$24), "")</totalsRowFormula>
    </tableColumn>
    <tableColumn id="23" xr3:uid="{EEC4FA85-4BEE-4551-B171-B2C92EC2B69F}" name="Homeless" totalsRowFunction="custom" dataDxfId="178" totalsRowDxfId="37" dataCellStyle="Percent" totalsRowCellStyle="Percent">
      <calculatedColumnFormula>IFERROR(('Sec Enrollment'!AP6-'Comparison Population'!$C$25), "")</calculatedColumnFormula>
      <totalsRowFormula>IFERROR(('Sec Enrollment'!AP33-'Comparison Population'!$C$25), "")</totalsRowFormula>
    </tableColumn>
    <tableColumn id="24" xr3:uid="{04217795-C035-4E66-B889-01B999DC36AE}" name="Foster" totalsRowFunction="custom" dataDxfId="177" totalsRowDxfId="36" dataCellStyle="Percent" totalsRowCellStyle="Percent">
      <calculatedColumnFormula>IFERROR(('Sec Enrollment'!AQ6-'Comparison Population'!$C$26), "")</calculatedColumnFormula>
      <totalsRowFormula>IFERROR(('Sec Enrollment'!AQ33-'Comparison Population'!$C$26), "")</totalsRowFormula>
    </tableColumn>
    <tableColumn id="25" xr3:uid="{A9ED84B6-71C1-478A-9778-37D56FD6BDCB}" name="AD" totalsRowFunction="custom" dataDxfId="176" totalsRowDxfId="35" dataCellStyle="Percent" totalsRowCellStyle="Percent">
      <calculatedColumnFormula>IFERROR(('Sec Enrollment'!AR6-'Comparison Population'!$C$27), "")</calculatedColumnFormula>
      <totalsRowFormula>IFERROR(('Sec Enrollment'!AR33-'Comparison Population'!$C$27), "")</totalsRowFormula>
    </tableColumn>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2D98370-A822-432C-894B-19AE3FEDC1EC}" name="Table336" displayName="Table336" ref="A5:Y106" totalsRowCount="1" headerRowDxfId="175" dataDxfId="174" totalsRowDxfId="173">
  <autoFilter ref="A5:Y105" xr:uid="{968E93E0-34DA-44E6-B6EB-615C4274BDF5}"/>
  <tableColumns count="25">
    <tableColumn id="1" xr3:uid="{FC0716BD-F5F0-4C0F-9CFE-B5759EAF0B76}" name="Program Code" totalsRowLabel="Total" dataDxfId="172" totalsRowDxfId="34"/>
    <tableColumn id="2" xr3:uid="{C6C76B3F-8B3E-4C50-A783-2BF69BDAC1D2}" name="Program Name" dataDxfId="171" totalsRowDxfId="33">
      <calculatedColumnFormula>'Sec Enrollment'!$B6</calculatedColumnFormula>
    </tableColumn>
    <tableColumn id="4" xr3:uid="{9D6E123E-EAF2-4A03-AB8C-43B91EE99B8B}" name="Career Cluster" dataDxfId="170" totalsRowDxfId="32"/>
    <tableColumn id="3" xr3:uid="{A8CACD40-4AED-446E-84E0-15834FC21A5F}" name="Program Popularity" dataDxfId="169" totalsRowDxfId="31" dataCellStyle="Percent">
      <calculatedColumnFormula>IFERROR('Sec Enrollment'!$D6/'Sec Enrollment'!$D$35, "")</calculatedColumnFormula>
    </tableColumn>
    <tableColumn id="26" xr3:uid="{85D1B57B-C787-4582-948B-1A92B1811607}" name="Enrollment" dataDxfId="168" totalsRowDxfId="30">
      <calculatedColumnFormula>'Sec Enrollment'!D6</calculatedColumnFormula>
    </tableColumn>
    <tableColumn id="5" xr3:uid="{84FD24F2-9955-43ED-9079-1CEF015230E8}" name="F" totalsRowFunction="custom" dataDxfId="167" totalsRowDxfId="29" dataCellStyle="Percent">
      <calculatedColumnFormula>IFERROR(('Sec Enrollment'!Y6-'Comparison Population'!$C6), "")</calculatedColumnFormula>
      <totalsRowFormula>IFERROR(('PS Enrollment'!Y106-'Comparison Population'!$E$6), "")</totalsRowFormula>
    </tableColumn>
    <tableColumn id="6" xr3:uid="{28EE97A9-4694-4C77-999F-F1AF772F119B}" name="M" totalsRowFunction="custom" dataDxfId="166" totalsRowDxfId="28" dataCellStyle="Percent">
      <calculatedColumnFormula>IFERROR(('Sec Enrollment'!Z6-'Comparison Population'!$C$7), "")</calculatedColumnFormula>
      <totalsRowFormula>IFERROR(('PS Enrollment'!Z106-'Comparison Population'!$E$7), "")</totalsRowFormula>
    </tableColumn>
    <tableColumn id="8" xr3:uid="{4F10FB70-11DC-413C-AC4B-7033EFB049B9}" name="Other" totalsRowFunction="custom" dataDxfId="165" totalsRowDxfId="27" dataCellStyle="Percent">
      <calculatedColumnFormula>IFERROR(('Sec Enrollment'!AA6-'Comparison Population'!$C$8), "")</calculatedColumnFormula>
      <totalsRowFormula>IFERROR(('PS Enrollment'!AA106-'Comparison Population'!$E$8), "")</totalsRowFormula>
    </tableColumn>
    <tableColumn id="9" xr3:uid="{A0B140EA-D1A5-47CA-A3E8-87F3A21C4D35}" name="AmInd" totalsRowFunction="custom" dataDxfId="164" totalsRowDxfId="26" dataCellStyle="Percent">
      <calculatedColumnFormula>IFERROR(('Sec Enrollment'!AB6-'Comparison Population'!$C$10), "")</calculatedColumnFormula>
      <totalsRowFormula>IFERROR(('PS Enrollment'!AB106-'Comparison Population'!$E$10), "")</totalsRowFormula>
    </tableColumn>
    <tableColumn id="10" xr3:uid="{DD47303F-7189-4FFF-9FFF-63FC744B1814}" name="Asian" totalsRowFunction="custom" dataDxfId="163" totalsRowDxfId="25" dataCellStyle="Percent">
      <calculatedColumnFormula>IFERROR(('Sec Enrollment'!AC6-'Comparison Population'!$C$11), "")</calculatedColumnFormula>
      <totalsRowFormula>IFERROR(('PS Enrollment'!AC106-'Comparison Population'!$E$11), "")</totalsRowFormula>
    </tableColumn>
    <tableColumn id="11" xr3:uid="{B8BCA05C-6BFE-46CB-BE2F-10B0DC8C0B68}" name="Hispanic" totalsRowFunction="custom" dataDxfId="162" totalsRowDxfId="24" dataCellStyle="Percent">
      <calculatedColumnFormula>IFERROR(('Sec Enrollment'!AD6-'Comparison Population'!$C$12), "")</calculatedColumnFormula>
      <totalsRowFormula>IFERROR(('PS Enrollment'!AD106-'Comparison Population'!$E$12), "")</totalsRowFormula>
    </tableColumn>
    <tableColumn id="12" xr3:uid="{29D2FF41-C92C-4809-999C-D5DD8FCF8BF1}" name="Black" totalsRowFunction="custom" dataDxfId="161" totalsRowDxfId="23" dataCellStyle="Percent">
      <calculatedColumnFormula>IFERROR(('Sec Enrollment'!AE6-'Comparison Population'!$C$13), "")</calculatedColumnFormula>
      <totalsRowFormula>IFERROR(('PS Enrollment'!AE106-'Comparison Population'!$E$13), "")</totalsRowFormula>
    </tableColumn>
    <tableColumn id="13" xr3:uid="{8DAF366F-97EC-4166-80AA-4017323D5D00}" name="White" totalsRowFunction="custom" dataDxfId="160" totalsRowDxfId="22" dataCellStyle="Percent">
      <calculatedColumnFormula>IFERROR(('Sec Enrollment'!AF6-'Comparison Population'!$C$14), "")</calculatedColumnFormula>
      <totalsRowFormula>IFERROR(('PS Enrollment'!AF106-'Comparison Population'!$E$14), "")</totalsRowFormula>
    </tableColumn>
    <tableColumn id="14" xr3:uid="{EE88C24E-F30E-4AE8-B998-8EBB9E15B543}" name="H/PI" totalsRowFunction="custom" dataDxfId="159" totalsRowDxfId="21" dataCellStyle="Percent">
      <calculatedColumnFormula>IFERROR(('Sec Enrollment'!AG6-'Comparison Population'!$C$15), "")</calculatedColumnFormula>
      <totalsRowFormula>IFERROR(('PS Enrollment'!AG106-'Comparison Population'!$E$15), "")</totalsRowFormula>
    </tableColumn>
    <tableColumn id="16" xr3:uid="{0E41AE43-06ED-4145-95BA-0A6753D43CD8}" name="Multi" totalsRowFunction="custom" dataDxfId="158" totalsRowDxfId="20" dataCellStyle="Percent">
      <calculatedColumnFormula>IFERROR(('Sec Enrollment'!AH6-'Comparison Population'!$C$16), "")</calculatedColumnFormula>
      <totalsRowFormula>IFERROR(('PS Enrollment'!AH106-'Comparison Population'!$E$16), "")</totalsRowFormula>
    </tableColumn>
    <tableColumn id="7" xr3:uid="{1A8E22A3-E353-4685-A815-879468E7B953}" name="Unknown" totalsRowFunction="custom" dataDxfId="157" totalsRowDxfId="19" dataCellStyle="Percent">
      <calculatedColumnFormula>IFERROR(('Sec Enrollment'!AI6-'Comparison Population'!$C$17), "")</calculatedColumnFormula>
      <totalsRowFormula>IFERROR(('PS Enrollment'!AI106-'Comparison Population'!$E$17), "")</totalsRowFormula>
    </tableColumn>
    <tableColumn id="17" xr3:uid="{04CB55DB-D117-4545-B2FB-B2C654B2529E}" name="Dis" totalsRowFunction="custom" dataDxfId="156" totalsRowDxfId="18" dataCellStyle="Percent">
      <calculatedColumnFormula>IFERROR(('Sec Enrollment'!AJ6-'Comparison Population'!$C$19), "")</calculatedColumnFormula>
      <totalsRowFormula>IFERROR(('PS Enrollment'!AJ106-'Comparison Population'!$E$19), "")</totalsRowFormula>
    </tableColumn>
    <tableColumn id="18" xr3:uid="{246D2662-CE03-4BE3-9525-6BA614989335}" name="ED" totalsRowFunction="custom" dataDxfId="155" totalsRowDxfId="17" dataCellStyle="Percent">
      <calculatedColumnFormula>IFERROR(('Sec Enrollment'!AK6-'Comparison Population'!$C$20), "")</calculatedColumnFormula>
      <totalsRowFormula>IFERROR(('PS Enrollment'!AK106-'Comparison Population'!$E$20), "")</totalsRowFormula>
    </tableColumn>
    <tableColumn id="19" xr3:uid="{656B6883-B252-443A-AA6F-4E29E11FF1FB}" name="Non-trad" totalsRowFunction="custom" dataDxfId="154" totalsRowDxfId="16" dataCellStyle="Percent">
      <calculatedColumnFormula>IFERROR(('Sec Enrollment'!AL6-'Comparison Population'!$C$21), "")</calculatedColumnFormula>
      <totalsRowFormula>IFERROR(('PS Enrollment'!AL106-'Comparison Population'!$E$21), "")</totalsRowFormula>
    </tableColumn>
    <tableColumn id="20" xr3:uid="{241272A7-29A3-45E8-887B-5A972BDF330D}" name="SP" totalsRowFunction="custom" dataDxfId="153" totalsRowDxfId="15" dataCellStyle="Percent">
      <calculatedColumnFormula>IFERROR(('Sec Enrollment'!AM6-'Comparison Population'!$C$22), "")</calculatedColumnFormula>
      <totalsRowFormula>IFERROR(('PS Enrollment'!AM106-'Comparison Population'!$E$22), "")</totalsRowFormula>
    </tableColumn>
    <tableColumn id="21" xr3:uid="{D51BC6AF-82F1-4557-A2F5-F8B11CDB0078}" name="OOW" totalsRowFunction="custom" dataDxfId="152" totalsRowDxfId="14" dataCellStyle="Percent">
      <calculatedColumnFormula>IFERROR(('Sec Enrollment'!AN6-'Comparison Population'!$C$23), "")</calculatedColumnFormula>
      <totalsRowFormula>IFERROR(('PS Enrollment'!AN106-'Comparison Population'!$E$23), "")</totalsRowFormula>
    </tableColumn>
    <tableColumn id="22" xr3:uid="{7291F82F-5A9E-4BF4-BEBA-80035E008957}" name="EL" totalsRowFunction="custom" dataDxfId="151" totalsRowDxfId="13" dataCellStyle="Percent">
      <calculatedColumnFormula>IFERROR(('Sec Enrollment'!AO6-'Comparison Population'!$C$24), "")</calculatedColumnFormula>
      <totalsRowFormula>IFERROR(('PS Enrollment'!AO106-'Comparison Population'!$E$24), "")</totalsRowFormula>
    </tableColumn>
    <tableColumn id="23" xr3:uid="{B602A998-D02B-48EF-B363-90787B96C5DC}" name="Homeless" totalsRowFunction="custom" dataDxfId="150" totalsRowDxfId="12" dataCellStyle="Percent">
      <calculatedColumnFormula>IFERROR(('Sec Enrollment'!AP6-'Comparison Population'!$C$25), "")</calculatedColumnFormula>
      <totalsRowFormula>IFERROR(('PS Enrollment'!AP106-'Comparison Population'!$E$25), "")</totalsRowFormula>
    </tableColumn>
    <tableColumn id="24" xr3:uid="{74822976-E790-4406-86AE-0AF3EAC07847}" name="Foster" totalsRowFunction="custom" dataDxfId="149" totalsRowDxfId="11" dataCellStyle="Percent">
      <calculatedColumnFormula>IFERROR(('Sec Enrollment'!AQ6-'Comparison Population'!$C$26), "")</calculatedColumnFormula>
      <totalsRowFormula>IFERROR(('PS Enrollment'!AQ106-'Comparison Population'!$E$26), "")</totalsRowFormula>
    </tableColumn>
    <tableColumn id="25" xr3:uid="{EEB3AB57-FD11-4C94-8ABB-19DFC83AAA6F}" name="AD" totalsRowFunction="custom" dataDxfId="148" totalsRowDxfId="10" dataCellStyle="Percent">
      <calculatedColumnFormula>IFERROR(('Sec Enrollment'!AR6-'Comparison Population'!$C$27), "")</calculatedColumnFormula>
      <totalsRowFormula>IFERROR(('PS Enrollment'!AR106-'Comparison Population'!$E$27), "")</totalsRow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Advance CTE theme">
      <a:dk1>
        <a:sysClr val="windowText" lastClr="000000"/>
      </a:dk1>
      <a:lt1>
        <a:sysClr val="window" lastClr="FFFFFF"/>
      </a:lt1>
      <a:dk2>
        <a:srgbClr val="44546A"/>
      </a:dk2>
      <a:lt2>
        <a:srgbClr val="E7E6E6"/>
      </a:lt2>
      <a:accent1>
        <a:srgbClr val="7AB800"/>
      </a:accent1>
      <a:accent2>
        <a:srgbClr val="FF6D14"/>
      </a:accent2>
      <a:accent3>
        <a:srgbClr val="009AA6"/>
      </a:accent3>
      <a:accent4>
        <a:srgbClr val="FFFFFF"/>
      </a:accent4>
      <a:accent5>
        <a:srgbClr val="FFFFFF"/>
      </a:accent5>
      <a:accent6>
        <a:srgbClr val="FFFF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366A-7B9D-4CFF-97D0-191370A1DFD4}">
  <dimension ref="B2:T183"/>
  <sheetViews>
    <sheetView showGridLines="0" zoomScaleNormal="100" workbookViewId="0">
      <selection activeCell="C61" sqref="C61:N101"/>
    </sheetView>
  </sheetViews>
  <sheetFormatPr defaultRowHeight="15" x14ac:dyDescent="0.25"/>
  <cols>
    <col min="1" max="1" width="2" customWidth="1"/>
    <col min="2" max="2" width="1.85546875" customWidth="1"/>
    <col min="20" max="20" width="1.7109375" customWidth="1"/>
  </cols>
  <sheetData>
    <row r="2" spans="2:20" x14ac:dyDescent="0.25">
      <c r="B2" s="53"/>
      <c r="C2" s="54"/>
      <c r="D2" s="54"/>
      <c r="E2" s="54"/>
      <c r="F2" s="54"/>
      <c r="G2" s="54"/>
      <c r="H2" s="54"/>
      <c r="I2" s="54"/>
      <c r="J2" s="54"/>
      <c r="K2" s="54"/>
      <c r="L2" s="54"/>
      <c r="M2" s="54"/>
      <c r="N2" s="54"/>
      <c r="O2" s="54"/>
      <c r="P2" s="54"/>
      <c r="Q2" s="54"/>
      <c r="R2" s="54"/>
      <c r="S2" s="54"/>
      <c r="T2" s="55"/>
    </row>
    <row r="3" spans="2:20" ht="23.25" x14ac:dyDescent="0.35">
      <c r="B3" s="56"/>
      <c r="C3" s="72" t="s">
        <v>240</v>
      </c>
      <c r="D3" s="72"/>
      <c r="E3" s="72"/>
      <c r="F3" s="72"/>
      <c r="G3" s="72"/>
      <c r="H3" s="72"/>
      <c r="I3" s="72"/>
      <c r="J3" s="72"/>
      <c r="K3" s="72"/>
      <c r="L3" s="72"/>
      <c r="M3" s="72"/>
      <c r="N3" s="72"/>
      <c r="O3" s="72"/>
      <c r="P3" s="72"/>
      <c r="Q3" s="72"/>
      <c r="R3" s="72"/>
      <c r="S3" s="72"/>
      <c r="T3" s="58"/>
    </row>
    <row r="4" spans="2:20" ht="18.75" x14ac:dyDescent="0.3">
      <c r="B4" s="56"/>
      <c r="C4" s="73" t="s">
        <v>136</v>
      </c>
      <c r="D4" s="57"/>
      <c r="E4" s="57"/>
      <c r="F4" s="57"/>
      <c r="G4" s="57"/>
      <c r="H4" s="57"/>
      <c r="I4" s="57"/>
      <c r="J4" s="57"/>
      <c r="K4" s="57"/>
      <c r="L4" s="57"/>
      <c r="M4" s="57"/>
      <c r="N4" s="57"/>
      <c r="O4" s="57"/>
      <c r="P4" s="57"/>
      <c r="Q4" s="57"/>
      <c r="R4" s="57"/>
      <c r="S4" s="57"/>
      <c r="T4" s="58"/>
    </row>
    <row r="5" spans="2:20" x14ac:dyDescent="0.25">
      <c r="B5" s="56"/>
      <c r="C5" s="57"/>
      <c r="D5" s="57"/>
      <c r="E5" s="57"/>
      <c r="F5" s="57"/>
      <c r="G5" s="57"/>
      <c r="H5" s="57"/>
      <c r="I5" s="57"/>
      <c r="J5" s="57"/>
      <c r="K5" s="57"/>
      <c r="L5" s="57"/>
      <c r="M5" s="57"/>
      <c r="N5" s="57"/>
      <c r="O5" s="57"/>
      <c r="P5" s="57"/>
      <c r="Q5" s="57"/>
      <c r="R5" s="57"/>
      <c r="S5" s="57"/>
      <c r="T5" s="58"/>
    </row>
    <row r="6" spans="2:20" x14ac:dyDescent="0.25">
      <c r="B6" s="56"/>
      <c r="C6" s="74" t="s">
        <v>169</v>
      </c>
      <c r="D6" s="75"/>
      <c r="E6" s="75"/>
      <c r="F6" s="75"/>
      <c r="G6" s="75"/>
      <c r="H6" s="75"/>
      <c r="I6" s="75"/>
      <c r="J6" s="75"/>
      <c r="K6" s="75"/>
      <c r="L6" s="75"/>
      <c r="M6" s="75"/>
      <c r="N6" s="75"/>
      <c r="O6" s="75"/>
      <c r="P6" s="75"/>
      <c r="Q6" s="75"/>
      <c r="R6" s="75"/>
      <c r="S6" s="75"/>
      <c r="T6" s="58"/>
    </row>
    <row r="7" spans="2:20" x14ac:dyDescent="0.25">
      <c r="B7" s="56"/>
      <c r="C7" s="84" t="s">
        <v>168</v>
      </c>
      <c r="D7" s="57"/>
      <c r="E7" s="57"/>
      <c r="F7" s="57"/>
      <c r="G7" s="57"/>
      <c r="H7" s="57"/>
      <c r="I7" s="57"/>
      <c r="J7" s="57"/>
      <c r="K7" s="57"/>
      <c r="L7" s="57"/>
      <c r="M7" s="57"/>
      <c r="N7" s="57"/>
      <c r="O7" s="57"/>
      <c r="P7" s="57"/>
      <c r="Q7" s="57"/>
      <c r="R7" s="57"/>
      <c r="S7" s="57"/>
      <c r="T7" s="58"/>
    </row>
    <row r="8" spans="2:20" x14ac:dyDescent="0.25">
      <c r="B8" s="56"/>
      <c r="C8" s="57"/>
      <c r="D8" s="84" t="s">
        <v>172</v>
      </c>
      <c r="E8" s="57"/>
      <c r="F8" s="57"/>
      <c r="G8" s="57"/>
      <c r="H8" s="57"/>
      <c r="I8" s="57"/>
      <c r="J8" s="57"/>
      <c r="K8" s="57"/>
      <c r="L8" s="57"/>
      <c r="M8" s="57"/>
      <c r="N8" s="57"/>
      <c r="O8" s="57"/>
      <c r="P8" s="57"/>
      <c r="Q8" s="57"/>
      <c r="R8" s="57"/>
      <c r="S8" s="57"/>
      <c r="T8" s="58"/>
    </row>
    <row r="9" spans="2:20" x14ac:dyDescent="0.25">
      <c r="B9" s="56"/>
      <c r="C9" s="57"/>
      <c r="D9" s="84" t="s">
        <v>173</v>
      </c>
      <c r="E9" s="57"/>
      <c r="F9" s="57"/>
      <c r="G9" s="57"/>
      <c r="H9" s="57"/>
      <c r="I9" s="57"/>
      <c r="J9" s="57"/>
      <c r="K9" s="57"/>
      <c r="L9" s="57"/>
      <c r="M9" s="57"/>
      <c r="N9" s="57"/>
      <c r="O9" s="57"/>
      <c r="P9" s="57"/>
      <c r="Q9" s="57"/>
      <c r="R9" s="57"/>
      <c r="S9" s="57"/>
      <c r="T9" s="58"/>
    </row>
    <row r="10" spans="2:20" x14ac:dyDescent="0.25">
      <c r="B10" s="56"/>
      <c r="C10" s="84" t="s">
        <v>170</v>
      </c>
      <c r="D10" s="57"/>
      <c r="E10" s="57"/>
      <c r="F10" s="57"/>
      <c r="G10" s="57"/>
      <c r="H10" s="57"/>
      <c r="I10" s="57"/>
      <c r="J10" s="57"/>
      <c r="K10" s="57"/>
      <c r="L10" s="57"/>
      <c r="M10" s="57"/>
      <c r="N10" s="57"/>
      <c r="O10" s="57"/>
      <c r="P10" s="57"/>
      <c r="Q10" s="57"/>
      <c r="R10" s="57"/>
      <c r="S10" s="57"/>
      <c r="T10" s="58"/>
    </row>
    <row r="11" spans="2:20" x14ac:dyDescent="0.25">
      <c r="B11" s="56"/>
      <c r="C11" s="57"/>
      <c r="D11" s="84" t="s">
        <v>174</v>
      </c>
      <c r="E11" s="65"/>
      <c r="F11" s="57"/>
      <c r="G11" s="57"/>
      <c r="H11" s="57"/>
      <c r="I11" s="57"/>
      <c r="J11" s="57"/>
      <c r="K11" s="57"/>
      <c r="L11" s="57"/>
      <c r="M11" s="57"/>
      <c r="N11" s="57"/>
      <c r="O11" s="57"/>
      <c r="P11" s="57"/>
      <c r="Q11" s="57"/>
      <c r="R11" s="57"/>
      <c r="S11" s="57"/>
      <c r="T11" s="58"/>
    </row>
    <row r="12" spans="2:20" x14ac:dyDescent="0.25">
      <c r="B12" s="56"/>
      <c r="C12" s="57"/>
      <c r="D12" s="84" t="s">
        <v>175</v>
      </c>
      <c r="E12" s="57"/>
      <c r="F12" s="57"/>
      <c r="G12" s="57"/>
      <c r="H12" s="57"/>
      <c r="I12" s="57"/>
      <c r="J12" s="57"/>
      <c r="K12" s="57"/>
      <c r="L12" s="57"/>
      <c r="M12" s="57"/>
      <c r="N12" s="57"/>
      <c r="O12" s="57"/>
      <c r="P12" s="57"/>
      <c r="Q12" s="57"/>
      <c r="R12" s="57"/>
      <c r="S12" s="57"/>
      <c r="T12" s="58"/>
    </row>
    <row r="13" spans="2:20" x14ac:dyDescent="0.25">
      <c r="B13" s="56"/>
      <c r="C13" s="57"/>
      <c r="D13" s="84" t="s">
        <v>211</v>
      </c>
      <c r="E13" s="57"/>
      <c r="F13" s="57"/>
      <c r="G13" s="57"/>
      <c r="H13" s="57"/>
      <c r="I13" s="57"/>
      <c r="J13" s="57"/>
      <c r="K13" s="57"/>
      <c r="L13" s="57"/>
      <c r="M13" s="57"/>
      <c r="N13" s="57"/>
      <c r="O13" s="57"/>
      <c r="P13" s="57"/>
      <c r="Q13" s="57"/>
      <c r="R13" s="57"/>
      <c r="S13" s="57"/>
      <c r="T13" s="58"/>
    </row>
    <row r="14" spans="2:20" x14ac:dyDescent="0.25">
      <c r="B14" s="56"/>
      <c r="C14" s="57"/>
      <c r="D14" s="84" t="s">
        <v>176</v>
      </c>
      <c r="E14" s="57"/>
      <c r="F14" s="57"/>
      <c r="G14" s="57"/>
      <c r="H14" s="57"/>
      <c r="I14" s="57"/>
      <c r="J14" s="57"/>
      <c r="K14" s="57"/>
      <c r="L14" s="57"/>
      <c r="M14" s="57"/>
      <c r="N14" s="57"/>
      <c r="O14" s="57"/>
      <c r="P14" s="57"/>
      <c r="Q14" s="57"/>
      <c r="R14" s="57"/>
      <c r="S14" s="57"/>
      <c r="T14" s="58"/>
    </row>
    <row r="15" spans="2:20" x14ac:dyDescent="0.25">
      <c r="B15" s="56"/>
      <c r="C15" s="57"/>
      <c r="D15" s="84" t="s">
        <v>170</v>
      </c>
      <c r="E15" s="57"/>
      <c r="F15" s="57"/>
      <c r="G15" s="57"/>
      <c r="H15" s="57"/>
      <c r="I15" s="57"/>
      <c r="J15" s="57"/>
      <c r="K15" s="57"/>
      <c r="L15" s="57"/>
      <c r="M15" s="57"/>
      <c r="N15" s="57"/>
      <c r="O15" s="57"/>
      <c r="P15" s="57"/>
      <c r="Q15" s="57"/>
      <c r="R15" s="57"/>
      <c r="S15" s="57"/>
      <c r="T15" s="58"/>
    </row>
    <row r="16" spans="2:20" x14ac:dyDescent="0.25">
      <c r="B16" s="56"/>
      <c r="C16" s="84" t="s">
        <v>171</v>
      </c>
      <c r="D16" s="57"/>
      <c r="E16" s="57"/>
      <c r="F16" s="57"/>
      <c r="G16" s="57"/>
      <c r="H16" s="57"/>
      <c r="I16" s="57"/>
      <c r="J16" s="57"/>
      <c r="K16" s="57"/>
      <c r="L16" s="57"/>
      <c r="M16" s="57"/>
      <c r="N16" s="57"/>
      <c r="O16" s="57"/>
      <c r="P16" s="57"/>
      <c r="Q16" s="57"/>
      <c r="R16" s="57"/>
      <c r="S16" s="57"/>
      <c r="T16" s="58"/>
    </row>
    <row r="17" spans="2:20" x14ac:dyDescent="0.25">
      <c r="B17" s="62"/>
      <c r="C17" s="63"/>
      <c r="D17" s="63"/>
      <c r="E17" s="63"/>
      <c r="F17" s="63"/>
      <c r="G17" s="63"/>
      <c r="H17" s="63"/>
      <c r="I17" s="63"/>
      <c r="J17" s="63"/>
      <c r="K17" s="63"/>
      <c r="L17" s="63"/>
      <c r="M17" s="63"/>
      <c r="N17" s="63"/>
      <c r="O17" s="63"/>
      <c r="P17" s="63"/>
      <c r="Q17" s="63"/>
      <c r="R17" s="63"/>
      <c r="S17" s="63"/>
      <c r="T17" s="64"/>
    </row>
    <row r="19" spans="2:20" x14ac:dyDescent="0.25">
      <c r="B19" s="53"/>
      <c r="C19" s="54"/>
      <c r="D19" s="54"/>
      <c r="E19" s="54"/>
      <c r="F19" s="54"/>
      <c r="G19" s="54"/>
      <c r="H19" s="54"/>
      <c r="I19" s="54"/>
      <c r="J19" s="54"/>
      <c r="K19" s="54"/>
      <c r="L19" s="54"/>
      <c r="M19" s="54"/>
      <c r="N19" s="54"/>
      <c r="O19" s="54"/>
      <c r="P19" s="54"/>
      <c r="Q19" s="54"/>
      <c r="R19" s="54"/>
      <c r="S19" s="54"/>
      <c r="T19" s="55"/>
    </row>
    <row r="20" spans="2:20" ht="23.25" x14ac:dyDescent="0.35">
      <c r="B20" s="56"/>
      <c r="C20" s="72" t="s">
        <v>177</v>
      </c>
      <c r="D20" s="72"/>
      <c r="E20" s="72"/>
      <c r="F20" s="72"/>
      <c r="G20" s="72"/>
      <c r="H20" s="72"/>
      <c r="I20" s="72"/>
      <c r="J20" s="72"/>
      <c r="K20" s="72"/>
      <c r="L20" s="72"/>
      <c r="M20" s="72"/>
      <c r="N20" s="72"/>
      <c r="O20" s="72"/>
      <c r="P20" s="72"/>
      <c r="Q20" s="72"/>
      <c r="R20" s="72"/>
      <c r="S20" s="72"/>
      <c r="T20" s="58"/>
    </row>
    <row r="21" spans="2:20" ht="18.75" x14ac:dyDescent="0.3">
      <c r="B21" s="56"/>
      <c r="C21" s="86" t="s">
        <v>172</v>
      </c>
      <c r="D21" s="63"/>
      <c r="E21" s="63"/>
      <c r="F21" s="63"/>
      <c r="G21" s="63"/>
      <c r="H21" s="63"/>
      <c r="I21" s="63"/>
      <c r="J21" s="63"/>
      <c r="K21" s="63"/>
      <c r="L21" s="63"/>
      <c r="M21" s="63"/>
      <c r="N21" s="63"/>
      <c r="O21" s="63"/>
      <c r="P21" s="63"/>
      <c r="Q21" s="63"/>
      <c r="R21" s="87" t="s">
        <v>188</v>
      </c>
      <c r="S21" s="63"/>
      <c r="T21" s="58"/>
    </row>
    <row r="22" spans="2:20" ht="18.75" x14ac:dyDescent="0.3">
      <c r="B22" s="56"/>
      <c r="C22" s="88"/>
      <c r="D22" s="57"/>
      <c r="E22" s="57"/>
      <c r="F22" s="57"/>
      <c r="G22" s="57"/>
      <c r="H22" s="57"/>
      <c r="I22" s="57"/>
      <c r="J22" s="57"/>
      <c r="K22" s="57"/>
      <c r="L22" s="57"/>
      <c r="M22" s="57"/>
      <c r="N22" s="57"/>
      <c r="O22" s="57"/>
      <c r="P22" s="57"/>
      <c r="Q22" s="57"/>
      <c r="R22" s="76"/>
      <c r="S22" s="57"/>
      <c r="T22" s="58"/>
    </row>
    <row r="23" spans="2:20" x14ac:dyDescent="0.25">
      <c r="B23" s="56"/>
      <c r="C23" s="131" t="s">
        <v>241</v>
      </c>
      <c r="D23" s="134"/>
      <c r="E23" s="134"/>
      <c r="F23" s="134"/>
      <c r="G23" s="134"/>
      <c r="H23" s="134"/>
      <c r="I23" s="134"/>
      <c r="J23" s="134"/>
      <c r="K23" s="134"/>
      <c r="L23" s="134"/>
      <c r="M23" s="134"/>
      <c r="N23" s="134"/>
      <c r="O23" s="134"/>
      <c r="P23" s="134"/>
      <c r="Q23" s="134"/>
      <c r="R23" s="134"/>
      <c r="S23" s="134"/>
      <c r="T23" s="58"/>
    </row>
    <row r="24" spans="2:20" x14ac:dyDescent="0.25">
      <c r="B24" s="56"/>
      <c r="C24" s="134"/>
      <c r="D24" s="134"/>
      <c r="E24" s="134"/>
      <c r="F24" s="134"/>
      <c r="G24" s="134"/>
      <c r="H24" s="134"/>
      <c r="I24" s="134"/>
      <c r="J24" s="134"/>
      <c r="K24" s="134"/>
      <c r="L24" s="134"/>
      <c r="M24" s="134"/>
      <c r="N24" s="134"/>
      <c r="O24" s="134"/>
      <c r="P24" s="134"/>
      <c r="Q24" s="134"/>
      <c r="R24" s="134"/>
      <c r="S24" s="134"/>
      <c r="T24" s="58"/>
    </row>
    <row r="25" spans="2:20" x14ac:dyDescent="0.25">
      <c r="B25" s="56"/>
      <c r="C25" s="134"/>
      <c r="D25" s="134"/>
      <c r="E25" s="134"/>
      <c r="F25" s="134"/>
      <c r="G25" s="134"/>
      <c r="H25" s="134"/>
      <c r="I25" s="134"/>
      <c r="J25" s="134"/>
      <c r="K25" s="134"/>
      <c r="L25" s="134"/>
      <c r="M25" s="134"/>
      <c r="N25" s="134"/>
      <c r="O25" s="134"/>
      <c r="P25" s="134"/>
      <c r="Q25" s="134"/>
      <c r="R25" s="134"/>
      <c r="S25" s="134"/>
      <c r="T25" s="58"/>
    </row>
    <row r="26" spans="2:20" x14ac:dyDescent="0.25">
      <c r="B26" s="56"/>
      <c r="C26" s="134"/>
      <c r="D26" s="134"/>
      <c r="E26" s="134"/>
      <c r="F26" s="134"/>
      <c r="G26" s="134"/>
      <c r="H26" s="134"/>
      <c r="I26" s="134"/>
      <c r="J26" s="134"/>
      <c r="K26" s="134"/>
      <c r="L26" s="134"/>
      <c r="M26" s="134"/>
      <c r="N26" s="134"/>
      <c r="O26" s="134"/>
      <c r="P26" s="134"/>
      <c r="Q26" s="134"/>
      <c r="R26" s="134"/>
      <c r="S26" s="134"/>
      <c r="T26" s="58"/>
    </row>
    <row r="27" spans="2:20" x14ac:dyDescent="0.25">
      <c r="B27" s="56"/>
      <c r="C27" s="134"/>
      <c r="D27" s="134"/>
      <c r="E27" s="134"/>
      <c r="F27" s="134"/>
      <c r="G27" s="134"/>
      <c r="H27" s="134"/>
      <c r="I27" s="134"/>
      <c r="J27" s="134"/>
      <c r="K27" s="134"/>
      <c r="L27" s="134"/>
      <c r="M27" s="134"/>
      <c r="N27" s="134"/>
      <c r="O27" s="134"/>
      <c r="P27" s="134"/>
      <c r="Q27" s="134"/>
      <c r="R27" s="134"/>
      <c r="S27" s="134"/>
      <c r="T27" s="58"/>
    </row>
    <row r="28" spans="2:20" x14ac:dyDescent="0.25">
      <c r="B28" s="56"/>
      <c r="C28" s="134"/>
      <c r="D28" s="134"/>
      <c r="E28" s="134"/>
      <c r="F28" s="134"/>
      <c r="G28" s="134"/>
      <c r="H28" s="134"/>
      <c r="I28" s="134"/>
      <c r="J28" s="134"/>
      <c r="K28" s="134"/>
      <c r="L28" s="134"/>
      <c r="M28" s="134"/>
      <c r="N28" s="134"/>
      <c r="O28" s="134"/>
      <c r="P28" s="134"/>
      <c r="Q28" s="134"/>
      <c r="R28" s="134"/>
      <c r="S28" s="134"/>
      <c r="T28" s="58"/>
    </row>
    <row r="29" spans="2:20" x14ac:dyDescent="0.25">
      <c r="B29" s="56"/>
      <c r="C29" s="134"/>
      <c r="D29" s="134"/>
      <c r="E29" s="134"/>
      <c r="F29" s="134"/>
      <c r="G29" s="134"/>
      <c r="H29" s="134"/>
      <c r="I29" s="134"/>
      <c r="J29" s="134"/>
      <c r="K29" s="134"/>
      <c r="L29" s="134"/>
      <c r="M29" s="134"/>
      <c r="N29" s="134"/>
      <c r="O29" s="134"/>
      <c r="P29" s="134"/>
      <c r="Q29" s="134"/>
      <c r="R29" s="134"/>
      <c r="S29" s="134"/>
      <c r="T29" s="58"/>
    </row>
    <row r="30" spans="2:20" x14ac:dyDescent="0.25">
      <c r="B30" s="56"/>
      <c r="C30" s="134"/>
      <c r="D30" s="134"/>
      <c r="E30" s="134"/>
      <c r="F30" s="134"/>
      <c r="G30" s="134"/>
      <c r="H30" s="134"/>
      <c r="I30" s="134"/>
      <c r="J30" s="134"/>
      <c r="K30" s="134"/>
      <c r="L30" s="134"/>
      <c r="M30" s="134"/>
      <c r="N30" s="134"/>
      <c r="O30" s="134"/>
      <c r="P30" s="134"/>
      <c r="Q30" s="134"/>
      <c r="R30" s="134"/>
      <c r="S30" s="134"/>
      <c r="T30" s="58"/>
    </row>
    <row r="31" spans="2:20" x14ac:dyDescent="0.25">
      <c r="B31" s="56"/>
      <c r="C31" s="134"/>
      <c r="D31" s="134"/>
      <c r="E31" s="134"/>
      <c r="F31" s="134"/>
      <c r="G31" s="134"/>
      <c r="H31" s="134"/>
      <c r="I31" s="134"/>
      <c r="J31" s="134"/>
      <c r="K31" s="134"/>
      <c r="L31" s="134"/>
      <c r="M31" s="134"/>
      <c r="N31" s="134"/>
      <c r="O31" s="134"/>
      <c r="P31" s="134"/>
      <c r="Q31" s="134"/>
      <c r="R31" s="134"/>
      <c r="S31" s="134"/>
      <c r="T31" s="58"/>
    </row>
    <row r="32" spans="2:20" x14ac:dyDescent="0.25">
      <c r="B32" s="56"/>
      <c r="C32" s="134"/>
      <c r="D32" s="134"/>
      <c r="E32" s="134"/>
      <c r="F32" s="134"/>
      <c r="G32" s="134"/>
      <c r="H32" s="134"/>
      <c r="I32" s="134"/>
      <c r="J32" s="134"/>
      <c r="K32" s="134"/>
      <c r="L32" s="134"/>
      <c r="M32" s="134"/>
      <c r="N32" s="134"/>
      <c r="O32" s="134"/>
      <c r="P32" s="134"/>
      <c r="Q32" s="134"/>
      <c r="R32" s="134"/>
      <c r="S32" s="134"/>
      <c r="T32" s="58"/>
    </row>
    <row r="33" spans="2:20" x14ac:dyDescent="0.25">
      <c r="B33" s="56"/>
      <c r="C33" s="134"/>
      <c r="D33" s="134"/>
      <c r="E33" s="134"/>
      <c r="F33" s="134"/>
      <c r="G33" s="134"/>
      <c r="H33" s="134"/>
      <c r="I33" s="134"/>
      <c r="J33" s="134"/>
      <c r="K33" s="134"/>
      <c r="L33" s="134"/>
      <c r="M33" s="134"/>
      <c r="N33" s="134"/>
      <c r="O33" s="134"/>
      <c r="P33" s="134"/>
      <c r="Q33" s="134"/>
      <c r="R33" s="134"/>
      <c r="S33" s="134"/>
      <c r="T33" s="58"/>
    </row>
    <row r="34" spans="2:20" ht="18.75" x14ac:dyDescent="0.3">
      <c r="B34" s="56"/>
      <c r="C34" s="86" t="s">
        <v>178</v>
      </c>
      <c r="D34" s="63"/>
      <c r="E34" s="63"/>
      <c r="F34" s="63"/>
      <c r="G34" s="63"/>
      <c r="H34" s="63"/>
      <c r="I34" s="63"/>
      <c r="J34" s="63"/>
      <c r="K34" s="63"/>
      <c r="L34" s="63"/>
      <c r="M34" s="63"/>
      <c r="N34" s="63"/>
      <c r="O34" s="63"/>
      <c r="P34" s="63"/>
      <c r="Q34" s="63"/>
      <c r="R34" s="87" t="s">
        <v>188</v>
      </c>
      <c r="S34" s="63"/>
      <c r="T34" s="58"/>
    </row>
    <row r="35" spans="2:20" x14ac:dyDescent="0.25">
      <c r="B35" s="56"/>
      <c r="C35" s="134" t="s">
        <v>179</v>
      </c>
      <c r="D35" s="156"/>
      <c r="E35" s="156"/>
      <c r="F35" s="156"/>
      <c r="G35" s="156"/>
      <c r="H35" s="156"/>
      <c r="I35" s="156"/>
      <c r="J35" s="156"/>
      <c r="K35" s="156"/>
      <c r="L35" s="156"/>
      <c r="M35" s="156"/>
      <c r="N35" s="156"/>
      <c r="O35" s="156"/>
      <c r="P35" s="156"/>
      <c r="Q35" s="156"/>
      <c r="R35" s="156"/>
      <c r="S35" s="156"/>
      <c r="T35" s="58"/>
    </row>
    <row r="36" spans="2:20" x14ac:dyDescent="0.25">
      <c r="B36" s="56"/>
      <c r="C36" s="156"/>
      <c r="D36" s="156"/>
      <c r="E36" s="156"/>
      <c r="F36" s="156"/>
      <c r="G36" s="156"/>
      <c r="H36" s="156"/>
      <c r="I36" s="156"/>
      <c r="J36" s="156"/>
      <c r="K36" s="156"/>
      <c r="L36" s="156"/>
      <c r="M36" s="156"/>
      <c r="N36" s="156"/>
      <c r="O36" s="156"/>
      <c r="P36" s="156"/>
      <c r="Q36" s="156"/>
      <c r="R36" s="156"/>
      <c r="S36" s="156"/>
      <c r="T36" s="58"/>
    </row>
    <row r="37" spans="2:20" x14ac:dyDescent="0.25">
      <c r="B37" s="56"/>
      <c r="C37" s="156"/>
      <c r="D37" s="156"/>
      <c r="E37" s="156"/>
      <c r="F37" s="156"/>
      <c r="G37" s="156"/>
      <c r="H37" s="156"/>
      <c r="I37" s="156"/>
      <c r="J37" s="156"/>
      <c r="K37" s="156"/>
      <c r="L37" s="156"/>
      <c r="M37" s="156"/>
      <c r="N37" s="156"/>
      <c r="O37" s="156"/>
      <c r="P37" s="156"/>
      <c r="Q37" s="156"/>
      <c r="R37" s="156"/>
      <c r="S37" s="156"/>
      <c r="T37" s="58"/>
    </row>
    <row r="38" spans="2:20" x14ac:dyDescent="0.25">
      <c r="B38" s="56"/>
      <c r="C38" s="156"/>
      <c r="D38" s="156"/>
      <c r="E38" s="156"/>
      <c r="F38" s="156"/>
      <c r="G38" s="156"/>
      <c r="H38" s="156"/>
      <c r="I38" s="156"/>
      <c r="J38" s="156"/>
      <c r="K38" s="156"/>
      <c r="L38" s="156"/>
      <c r="M38" s="156"/>
      <c r="N38" s="156"/>
      <c r="O38" s="156"/>
      <c r="P38" s="156"/>
      <c r="Q38" s="156"/>
      <c r="R38" s="156"/>
      <c r="S38" s="156"/>
      <c r="T38" s="58"/>
    </row>
    <row r="39" spans="2:20" x14ac:dyDescent="0.25">
      <c r="B39" s="56"/>
      <c r="C39" s="156"/>
      <c r="D39" s="156"/>
      <c r="E39" s="156"/>
      <c r="F39" s="156"/>
      <c r="G39" s="156"/>
      <c r="H39" s="156"/>
      <c r="I39" s="156"/>
      <c r="J39" s="156"/>
      <c r="K39" s="156"/>
      <c r="L39" s="156"/>
      <c r="M39" s="156"/>
      <c r="N39" s="156"/>
      <c r="O39" s="156"/>
      <c r="P39" s="156"/>
      <c r="Q39" s="156"/>
      <c r="R39" s="156"/>
      <c r="S39" s="156"/>
      <c r="T39" s="58"/>
    </row>
    <row r="40" spans="2:20" x14ac:dyDescent="0.25">
      <c r="B40" s="56"/>
      <c r="C40" s="156"/>
      <c r="D40" s="156"/>
      <c r="E40" s="156"/>
      <c r="F40" s="156"/>
      <c r="G40" s="156"/>
      <c r="H40" s="156"/>
      <c r="I40" s="156"/>
      <c r="J40" s="156"/>
      <c r="K40" s="156"/>
      <c r="L40" s="156"/>
      <c r="M40" s="156"/>
      <c r="N40" s="156"/>
      <c r="O40" s="156"/>
      <c r="P40" s="156"/>
      <c r="Q40" s="156"/>
      <c r="R40" s="156"/>
      <c r="S40" s="156"/>
      <c r="T40" s="58"/>
    </row>
    <row r="41" spans="2:20" x14ac:dyDescent="0.25">
      <c r="B41" s="56"/>
      <c r="C41" s="156"/>
      <c r="D41" s="156"/>
      <c r="E41" s="156"/>
      <c r="F41" s="156"/>
      <c r="G41" s="156"/>
      <c r="H41" s="156"/>
      <c r="I41" s="156"/>
      <c r="J41" s="156"/>
      <c r="K41" s="156"/>
      <c r="L41" s="156"/>
      <c r="M41" s="156"/>
      <c r="N41" s="156"/>
      <c r="O41" s="156"/>
      <c r="P41" s="156"/>
      <c r="Q41" s="156"/>
      <c r="R41" s="156"/>
      <c r="S41" s="156"/>
      <c r="T41" s="58"/>
    </row>
    <row r="42" spans="2:20" x14ac:dyDescent="0.25">
      <c r="B42" s="56"/>
      <c r="C42" s="156"/>
      <c r="D42" s="156"/>
      <c r="E42" s="156"/>
      <c r="F42" s="156"/>
      <c r="G42" s="156"/>
      <c r="H42" s="156"/>
      <c r="I42" s="156"/>
      <c r="J42" s="156"/>
      <c r="K42" s="156"/>
      <c r="L42" s="156"/>
      <c r="M42" s="156"/>
      <c r="N42" s="156"/>
      <c r="O42" s="156"/>
      <c r="P42" s="156"/>
      <c r="Q42" s="156"/>
      <c r="R42" s="156"/>
      <c r="S42" s="156"/>
      <c r="T42" s="58"/>
    </row>
    <row r="43" spans="2:20" ht="18.75" x14ac:dyDescent="0.3">
      <c r="B43" s="56"/>
      <c r="C43" s="157" t="s">
        <v>180</v>
      </c>
      <c r="D43" s="157"/>
      <c r="E43" s="157"/>
      <c r="F43" s="157"/>
      <c r="G43" s="157" t="s">
        <v>181</v>
      </c>
      <c r="H43" s="157"/>
      <c r="I43" s="157"/>
      <c r="J43" s="157"/>
      <c r="K43" s="157"/>
      <c r="L43" s="157"/>
      <c r="M43" s="157"/>
      <c r="N43" s="157"/>
      <c r="O43" s="157"/>
      <c r="P43" s="157"/>
      <c r="Q43" s="157"/>
      <c r="R43" s="157"/>
      <c r="S43" s="157"/>
      <c r="T43" s="58"/>
    </row>
    <row r="44" spans="2:20" ht="91.5" customHeight="1" x14ac:dyDescent="0.25">
      <c r="B44" s="56"/>
      <c r="C44" s="137" t="s">
        <v>182</v>
      </c>
      <c r="D44" s="137"/>
      <c r="E44" s="137"/>
      <c r="F44" s="138"/>
      <c r="G44" s="132" t="s">
        <v>242</v>
      </c>
      <c r="H44" s="137"/>
      <c r="I44" s="137"/>
      <c r="J44" s="137"/>
      <c r="K44" s="137"/>
      <c r="L44" s="137"/>
      <c r="M44" s="137"/>
      <c r="N44" s="137"/>
      <c r="O44" s="137"/>
      <c r="P44" s="137"/>
      <c r="Q44" s="137"/>
      <c r="R44" s="137"/>
      <c r="S44" s="137"/>
      <c r="T44" s="58"/>
    </row>
    <row r="45" spans="2:20" ht="108" customHeight="1" x14ac:dyDescent="0.25">
      <c r="B45" s="56"/>
      <c r="C45" s="153" t="s">
        <v>183</v>
      </c>
      <c r="D45" s="153"/>
      <c r="E45" s="153"/>
      <c r="F45" s="154"/>
      <c r="G45" s="155" t="s">
        <v>243</v>
      </c>
      <c r="H45" s="153"/>
      <c r="I45" s="153"/>
      <c r="J45" s="153"/>
      <c r="K45" s="153"/>
      <c r="L45" s="153"/>
      <c r="M45" s="153"/>
      <c r="N45" s="153"/>
      <c r="O45" s="153"/>
      <c r="P45" s="153"/>
      <c r="Q45" s="153"/>
      <c r="R45" s="153"/>
      <c r="S45" s="153"/>
      <c r="T45" s="58"/>
    </row>
    <row r="46" spans="2:20" ht="107.25" customHeight="1" x14ac:dyDescent="0.25">
      <c r="B46" s="56"/>
      <c r="C46" s="134" t="s">
        <v>184</v>
      </c>
      <c r="D46" s="134"/>
      <c r="E46" s="134"/>
      <c r="F46" s="135"/>
      <c r="G46" s="131" t="s">
        <v>244</v>
      </c>
      <c r="H46" s="134"/>
      <c r="I46" s="134"/>
      <c r="J46" s="134"/>
      <c r="K46" s="134"/>
      <c r="L46" s="134"/>
      <c r="M46" s="134"/>
      <c r="N46" s="134"/>
      <c r="O46" s="134"/>
      <c r="P46" s="134"/>
      <c r="Q46" s="134"/>
      <c r="R46" s="134"/>
      <c r="S46" s="134"/>
      <c r="T46" s="58"/>
    </row>
    <row r="47" spans="2:20" x14ac:dyDescent="0.25">
      <c r="B47" s="62"/>
      <c r="C47" s="63"/>
      <c r="D47" s="63"/>
      <c r="E47" s="63"/>
      <c r="F47" s="63"/>
      <c r="G47" s="63"/>
      <c r="H47" s="63"/>
      <c r="I47" s="63"/>
      <c r="J47" s="63"/>
      <c r="K47" s="63"/>
      <c r="L47" s="63"/>
      <c r="M47" s="63"/>
      <c r="N47" s="63"/>
      <c r="O47" s="63"/>
      <c r="P47" s="63"/>
      <c r="Q47" s="63"/>
      <c r="R47" s="63"/>
      <c r="S47" s="63"/>
      <c r="T47" s="64"/>
    </row>
    <row r="48" spans="2:20" s="40" customFormat="1" x14ac:dyDescent="0.25">
      <c r="B48" s="51"/>
      <c r="C48" s="51"/>
      <c r="D48" s="51"/>
      <c r="E48" s="51"/>
      <c r="F48" s="51"/>
      <c r="G48" s="51"/>
      <c r="H48" s="51"/>
      <c r="I48" s="51"/>
      <c r="J48" s="51"/>
      <c r="K48" s="51"/>
      <c r="L48" s="51"/>
      <c r="M48" s="51"/>
      <c r="N48" s="51"/>
      <c r="O48" s="51"/>
      <c r="P48" s="51"/>
      <c r="Q48" s="51"/>
      <c r="R48" s="51"/>
      <c r="S48" s="51"/>
      <c r="T48" s="51"/>
    </row>
    <row r="49" spans="2:20" x14ac:dyDescent="0.25">
      <c r="B49" s="53"/>
      <c r="C49" s="54"/>
      <c r="D49" s="54"/>
      <c r="E49" s="54"/>
      <c r="F49" s="54"/>
      <c r="G49" s="54"/>
      <c r="H49" s="54"/>
      <c r="I49" s="54"/>
      <c r="J49" s="54"/>
      <c r="K49" s="54"/>
      <c r="L49" s="54"/>
      <c r="M49" s="54"/>
      <c r="N49" s="54"/>
      <c r="O49" s="54"/>
      <c r="P49" s="54"/>
      <c r="Q49" s="54"/>
      <c r="R49" s="54"/>
      <c r="S49" s="54"/>
      <c r="T49" s="55"/>
    </row>
    <row r="50" spans="2:20" ht="23.25" x14ac:dyDescent="0.35">
      <c r="B50" s="56"/>
      <c r="C50" s="72" t="s">
        <v>185</v>
      </c>
      <c r="D50" s="72"/>
      <c r="E50" s="72"/>
      <c r="F50" s="72"/>
      <c r="G50" s="72"/>
      <c r="H50" s="72"/>
      <c r="I50" s="72"/>
      <c r="J50" s="72"/>
      <c r="K50" s="72"/>
      <c r="L50" s="72"/>
      <c r="M50" s="72"/>
      <c r="N50" s="72"/>
      <c r="O50" s="72"/>
      <c r="P50" s="72"/>
      <c r="Q50" s="72"/>
      <c r="R50" s="72"/>
      <c r="S50" s="72"/>
      <c r="T50" s="58"/>
    </row>
    <row r="51" spans="2:20" ht="18.75" x14ac:dyDescent="0.3">
      <c r="B51" s="56"/>
      <c r="C51" s="86" t="s">
        <v>174</v>
      </c>
      <c r="D51" s="63"/>
      <c r="E51" s="63"/>
      <c r="F51" s="63"/>
      <c r="G51" s="63"/>
      <c r="H51" s="63"/>
      <c r="I51" s="63"/>
      <c r="J51" s="63"/>
      <c r="K51" s="63"/>
      <c r="L51" s="63"/>
      <c r="M51" s="63"/>
      <c r="N51" s="63"/>
      <c r="O51" s="63"/>
      <c r="P51" s="63"/>
      <c r="Q51" s="63"/>
      <c r="R51" s="87" t="s">
        <v>188</v>
      </c>
      <c r="S51" s="63"/>
      <c r="T51" s="58"/>
    </row>
    <row r="52" spans="2:20" x14ac:dyDescent="0.25">
      <c r="B52" s="56"/>
      <c r="C52" s="57"/>
      <c r="D52" s="57"/>
      <c r="E52" s="57"/>
      <c r="F52" s="57"/>
      <c r="G52" s="57"/>
      <c r="H52" s="57"/>
      <c r="I52" s="57"/>
      <c r="J52" s="57"/>
      <c r="K52" s="57"/>
      <c r="L52" s="57"/>
      <c r="M52" s="57"/>
      <c r="N52" s="57"/>
      <c r="O52" s="57"/>
      <c r="P52" s="57"/>
      <c r="Q52" s="57"/>
      <c r="R52" s="76"/>
      <c r="S52" s="57"/>
      <c r="T52" s="58"/>
    </row>
    <row r="53" spans="2:20" ht="15" customHeight="1" x14ac:dyDescent="0.25">
      <c r="B53" s="56"/>
      <c r="C53" s="134" t="s">
        <v>210</v>
      </c>
      <c r="D53" s="134"/>
      <c r="E53" s="134"/>
      <c r="F53" s="134"/>
      <c r="G53" s="134"/>
      <c r="H53" s="134"/>
      <c r="I53" s="134"/>
      <c r="J53" s="134"/>
      <c r="K53" s="134"/>
      <c r="L53" s="134"/>
      <c r="M53" s="134"/>
      <c r="N53" s="134"/>
      <c r="O53" s="134"/>
      <c r="P53" s="134"/>
      <c r="Q53" s="134"/>
      <c r="R53" s="134"/>
      <c r="S53" s="134"/>
      <c r="T53" s="58"/>
    </row>
    <row r="54" spans="2:20" x14ac:dyDescent="0.25">
      <c r="B54" s="56"/>
      <c r="C54" s="134"/>
      <c r="D54" s="134"/>
      <c r="E54" s="134"/>
      <c r="F54" s="134"/>
      <c r="G54" s="134"/>
      <c r="H54" s="134"/>
      <c r="I54" s="134"/>
      <c r="J54" s="134"/>
      <c r="K54" s="134"/>
      <c r="L54" s="134"/>
      <c r="M54" s="134"/>
      <c r="N54" s="134"/>
      <c r="O54" s="134"/>
      <c r="P54" s="134"/>
      <c r="Q54" s="134"/>
      <c r="R54" s="134"/>
      <c r="S54" s="134"/>
      <c r="T54" s="58"/>
    </row>
    <row r="55" spans="2:20" x14ac:dyDescent="0.25">
      <c r="B55" s="56"/>
      <c r="C55" s="134"/>
      <c r="D55" s="134"/>
      <c r="E55" s="134"/>
      <c r="F55" s="134"/>
      <c r="G55" s="134"/>
      <c r="H55" s="134"/>
      <c r="I55" s="134"/>
      <c r="J55" s="134"/>
      <c r="K55" s="134"/>
      <c r="L55" s="134"/>
      <c r="M55" s="134"/>
      <c r="N55" s="134"/>
      <c r="O55" s="134"/>
      <c r="P55" s="134"/>
      <c r="Q55" s="134"/>
      <c r="R55" s="134"/>
      <c r="S55" s="134"/>
      <c r="T55" s="58"/>
    </row>
    <row r="56" spans="2:20" x14ac:dyDescent="0.25">
      <c r="B56" s="56"/>
      <c r="C56" s="82"/>
      <c r="D56" s="82"/>
      <c r="E56" s="82"/>
      <c r="F56" s="82"/>
      <c r="G56" s="82"/>
      <c r="H56" s="82"/>
      <c r="I56" s="82"/>
      <c r="J56" s="82"/>
      <c r="K56" s="82"/>
      <c r="L56" s="82"/>
      <c r="M56" s="82"/>
      <c r="N56" s="82"/>
      <c r="O56" s="82"/>
      <c r="P56" s="82"/>
      <c r="Q56" s="82"/>
      <c r="R56" s="82"/>
      <c r="S56" s="82"/>
      <c r="T56" s="58"/>
    </row>
    <row r="57" spans="2:20" ht="18.75" x14ac:dyDescent="0.3">
      <c r="B57" s="56"/>
      <c r="C57" s="86" t="s">
        <v>186</v>
      </c>
      <c r="D57" s="63"/>
      <c r="E57" s="63"/>
      <c r="F57" s="63"/>
      <c r="G57" s="63"/>
      <c r="H57" s="63"/>
      <c r="I57" s="63"/>
      <c r="J57" s="63"/>
      <c r="K57" s="63"/>
      <c r="L57" s="63"/>
      <c r="M57" s="63"/>
      <c r="N57" s="63"/>
      <c r="O57" s="63"/>
      <c r="P57" s="63"/>
      <c r="Q57" s="63"/>
      <c r="R57" s="87" t="s">
        <v>188</v>
      </c>
      <c r="S57" s="63"/>
      <c r="T57" s="58"/>
    </row>
    <row r="58" spans="2:20" x14ac:dyDescent="0.25">
      <c r="B58" s="56"/>
      <c r="C58" s="134" t="s">
        <v>187</v>
      </c>
      <c r="D58" s="134"/>
      <c r="E58" s="134"/>
      <c r="F58" s="134"/>
      <c r="G58" s="134"/>
      <c r="H58" s="134"/>
      <c r="I58" s="134"/>
      <c r="J58" s="134"/>
      <c r="K58" s="134"/>
      <c r="L58" s="134"/>
      <c r="M58" s="134"/>
      <c r="N58" s="134"/>
      <c r="O58" s="134"/>
      <c r="P58" s="134"/>
      <c r="Q58" s="134"/>
      <c r="R58" s="134"/>
      <c r="S58" s="134"/>
      <c r="T58" s="58"/>
    </row>
    <row r="59" spans="2:20" x14ac:dyDescent="0.25">
      <c r="B59" s="56"/>
      <c r="C59" s="134"/>
      <c r="D59" s="134"/>
      <c r="E59" s="134"/>
      <c r="F59" s="134"/>
      <c r="G59" s="134"/>
      <c r="H59" s="134"/>
      <c r="I59" s="134"/>
      <c r="J59" s="134"/>
      <c r="K59" s="134"/>
      <c r="L59" s="134"/>
      <c r="M59" s="134"/>
      <c r="N59" s="134"/>
      <c r="O59" s="134"/>
      <c r="P59" s="134"/>
      <c r="Q59" s="134"/>
      <c r="R59" s="134"/>
      <c r="S59" s="134"/>
      <c r="T59" s="58"/>
    </row>
    <row r="60" spans="2:20" x14ac:dyDescent="0.25">
      <c r="B60" s="56"/>
      <c r="C60" s="83"/>
      <c r="D60" s="83"/>
      <c r="E60" s="83"/>
      <c r="F60" s="83"/>
      <c r="G60" s="83"/>
      <c r="H60" s="83"/>
      <c r="I60" s="83"/>
      <c r="J60" s="83"/>
      <c r="K60" s="83"/>
      <c r="L60" s="83"/>
      <c r="M60" s="83"/>
      <c r="N60" s="83"/>
      <c r="O60" s="83"/>
      <c r="P60" s="83"/>
      <c r="Q60" s="83"/>
      <c r="R60" s="83"/>
      <c r="S60" s="83"/>
      <c r="T60" s="58"/>
    </row>
    <row r="61" spans="2:20" x14ac:dyDescent="0.25">
      <c r="B61" s="56"/>
      <c r="C61" s="89" t="s">
        <v>201</v>
      </c>
      <c r="D61" s="90"/>
      <c r="E61" s="91"/>
      <c r="F61" s="90"/>
      <c r="G61" s="89" t="s">
        <v>189</v>
      </c>
      <c r="H61" s="90"/>
      <c r="I61" s="90"/>
      <c r="J61" s="90"/>
      <c r="K61" s="90"/>
      <c r="L61" s="90"/>
      <c r="M61" s="90"/>
      <c r="N61" s="90"/>
      <c r="O61" s="90"/>
      <c r="P61" s="90"/>
      <c r="Q61" s="90"/>
      <c r="R61" s="90"/>
      <c r="S61" s="90"/>
      <c r="T61" s="77"/>
    </row>
    <row r="62" spans="2:20" x14ac:dyDescent="0.25">
      <c r="B62" s="56"/>
      <c r="C62" s="90"/>
      <c r="D62" s="90"/>
      <c r="E62" s="91"/>
      <c r="F62" s="90"/>
      <c r="G62" s="89" t="s">
        <v>190</v>
      </c>
      <c r="H62" s="90"/>
      <c r="I62" s="90"/>
      <c r="J62" s="90"/>
      <c r="K62" s="90"/>
      <c r="L62" s="90"/>
      <c r="M62" s="90"/>
      <c r="N62" s="90"/>
      <c r="O62" s="90"/>
      <c r="P62" s="90"/>
      <c r="Q62" s="90"/>
      <c r="R62" s="90"/>
      <c r="S62" s="90"/>
      <c r="T62" s="77"/>
    </row>
    <row r="63" spans="2:20" x14ac:dyDescent="0.25">
      <c r="B63" s="56"/>
      <c r="C63" s="90"/>
      <c r="D63" s="90"/>
      <c r="E63" s="91"/>
      <c r="F63" s="90"/>
      <c r="G63" s="89" t="s">
        <v>191</v>
      </c>
      <c r="H63" s="90"/>
      <c r="I63" s="90"/>
      <c r="J63" s="90"/>
      <c r="K63" s="90"/>
      <c r="L63" s="90"/>
      <c r="M63" s="90"/>
      <c r="N63" s="90"/>
      <c r="O63" s="90"/>
      <c r="P63" s="90"/>
      <c r="Q63" s="90"/>
      <c r="R63" s="90"/>
      <c r="S63" s="90"/>
      <c r="T63" s="77"/>
    </row>
    <row r="64" spans="2:20" x14ac:dyDescent="0.25">
      <c r="B64" s="56"/>
      <c r="C64" s="90"/>
      <c r="D64" s="90"/>
      <c r="E64" s="91"/>
      <c r="F64" s="90"/>
      <c r="G64" s="92" t="s">
        <v>192</v>
      </c>
      <c r="H64" s="90"/>
      <c r="I64" s="90"/>
      <c r="J64" s="90"/>
      <c r="K64" s="90"/>
      <c r="L64" s="90"/>
      <c r="M64" s="90"/>
      <c r="N64" s="90"/>
      <c r="O64" s="90"/>
      <c r="P64" s="90"/>
      <c r="Q64" s="90"/>
      <c r="R64" s="90"/>
      <c r="S64" s="90"/>
      <c r="T64" s="77"/>
    </row>
    <row r="65" spans="2:20" x14ac:dyDescent="0.25">
      <c r="B65" s="56"/>
      <c r="C65" s="90"/>
      <c r="D65" s="90"/>
      <c r="E65" s="91"/>
      <c r="F65" s="90"/>
      <c r="G65" s="93"/>
      <c r="H65" s="92" t="s">
        <v>68</v>
      </c>
      <c r="I65" s="90"/>
      <c r="J65" s="90"/>
      <c r="K65" s="90"/>
      <c r="L65" s="90"/>
      <c r="M65" s="90"/>
      <c r="N65" s="90"/>
      <c r="O65" s="90"/>
      <c r="P65" s="90"/>
      <c r="Q65" s="90"/>
      <c r="R65" s="90"/>
      <c r="S65" s="90"/>
      <c r="T65" s="77"/>
    </row>
    <row r="66" spans="2:20" x14ac:dyDescent="0.25">
      <c r="B66" s="56"/>
      <c r="C66" s="90"/>
      <c r="D66" s="90"/>
      <c r="E66" s="91"/>
      <c r="F66" s="90"/>
      <c r="G66" s="93"/>
      <c r="H66" s="89" t="s">
        <v>193</v>
      </c>
      <c r="I66" s="90"/>
      <c r="J66" s="90"/>
      <c r="K66" s="90"/>
      <c r="L66" s="90"/>
      <c r="M66" s="90"/>
      <c r="N66" s="90"/>
      <c r="O66" s="90"/>
      <c r="P66" s="90"/>
      <c r="Q66" s="90"/>
      <c r="R66" s="90"/>
      <c r="S66" s="90"/>
      <c r="T66" s="77"/>
    </row>
    <row r="67" spans="2:20" x14ac:dyDescent="0.25">
      <c r="B67" s="56"/>
      <c r="C67" s="90"/>
      <c r="D67" s="90"/>
      <c r="E67" s="91"/>
      <c r="F67" s="90"/>
      <c r="G67" s="93"/>
      <c r="H67" s="89" t="s">
        <v>194</v>
      </c>
      <c r="I67" s="90"/>
      <c r="J67" s="90"/>
      <c r="K67" s="90"/>
      <c r="L67" s="90"/>
      <c r="M67" s="90"/>
      <c r="N67" s="90"/>
      <c r="O67" s="90"/>
      <c r="P67" s="90"/>
      <c r="Q67" s="90"/>
      <c r="R67" s="90"/>
      <c r="S67" s="90"/>
      <c r="T67" s="77"/>
    </row>
    <row r="68" spans="2:20" x14ac:dyDescent="0.25">
      <c r="B68" s="56"/>
      <c r="C68" s="90"/>
      <c r="D68" s="90"/>
      <c r="E68" s="91"/>
      <c r="F68" s="90"/>
      <c r="G68" s="93"/>
      <c r="H68" s="89" t="s">
        <v>195</v>
      </c>
      <c r="I68" s="90"/>
      <c r="J68" s="90"/>
      <c r="K68" s="90"/>
      <c r="L68" s="90"/>
      <c r="M68" s="90"/>
      <c r="N68" s="90"/>
      <c r="O68" s="90"/>
      <c r="P68" s="90"/>
      <c r="Q68" s="90"/>
      <c r="R68" s="90"/>
      <c r="S68" s="90"/>
      <c r="T68" s="77"/>
    </row>
    <row r="69" spans="2:20" x14ac:dyDescent="0.25">
      <c r="B69" s="56"/>
      <c r="C69" s="90"/>
      <c r="D69" s="90"/>
      <c r="E69" s="91"/>
      <c r="F69" s="90"/>
      <c r="G69" s="93"/>
      <c r="H69" s="89" t="s">
        <v>196</v>
      </c>
      <c r="I69" s="90"/>
      <c r="J69" s="90"/>
      <c r="K69" s="90"/>
      <c r="L69" s="90"/>
      <c r="M69" s="90"/>
      <c r="N69" s="90"/>
      <c r="O69" s="90"/>
      <c r="P69" s="90"/>
      <c r="Q69" s="90"/>
      <c r="R69" s="90"/>
      <c r="S69" s="90"/>
      <c r="T69" s="77"/>
    </row>
    <row r="70" spans="2:20" x14ac:dyDescent="0.25">
      <c r="B70" s="56"/>
      <c r="C70" s="90"/>
      <c r="D70" s="90"/>
      <c r="E70" s="91"/>
      <c r="F70" s="90"/>
      <c r="G70" s="93"/>
      <c r="H70" s="89" t="s">
        <v>197</v>
      </c>
      <c r="I70" s="90"/>
      <c r="J70" s="90"/>
      <c r="K70" s="90"/>
      <c r="L70" s="90"/>
      <c r="M70" s="90"/>
      <c r="N70" s="90"/>
      <c r="O70" s="90"/>
      <c r="P70" s="90"/>
      <c r="Q70" s="90"/>
      <c r="R70" s="90"/>
      <c r="S70" s="90"/>
      <c r="T70" s="77"/>
    </row>
    <row r="71" spans="2:20" x14ac:dyDescent="0.25">
      <c r="B71" s="56"/>
      <c r="C71" s="90"/>
      <c r="D71" s="90"/>
      <c r="E71" s="91"/>
      <c r="F71" s="90"/>
      <c r="G71" s="93"/>
      <c r="H71" s="89" t="s">
        <v>198</v>
      </c>
      <c r="I71" s="90"/>
      <c r="J71" s="90"/>
      <c r="K71" s="90"/>
      <c r="L71" s="90"/>
      <c r="M71" s="90"/>
      <c r="N71" s="90"/>
      <c r="O71" s="90"/>
      <c r="P71" s="90"/>
      <c r="Q71" s="90"/>
      <c r="R71" s="90"/>
      <c r="S71" s="90"/>
      <c r="T71" s="77"/>
    </row>
    <row r="72" spans="2:20" x14ac:dyDescent="0.25">
      <c r="B72" s="56"/>
      <c r="C72" s="90"/>
      <c r="D72" s="90"/>
      <c r="E72" s="91"/>
      <c r="F72" s="90"/>
      <c r="G72" s="93"/>
      <c r="H72" s="89" t="s">
        <v>199</v>
      </c>
      <c r="I72" s="90"/>
      <c r="J72" s="90"/>
      <c r="K72" s="90"/>
      <c r="L72" s="90"/>
      <c r="M72" s="90"/>
      <c r="N72" s="90"/>
      <c r="O72" s="90"/>
      <c r="P72" s="90"/>
      <c r="Q72" s="90"/>
      <c r="R72" s="90"/>
      <c r="S72" s="90"/>
      <c r="T72" s="77"/>
    </row>
    <row r="73" spans="2:20" x14ac:dyDescent="0.25">
      <c r="B73" s="56"/>
      <c r="C73" s="90"/>
      <c r="D73" s="90"/>
      <c r="E73" s="91"/>
      <c r="F73" s="90"/>
      <c r="G73" s="93"/>
      <c r="H73" s="89" t="s">
        <v>200</v>
      </c>
      <c r="I73" s="90"/>
      <c r="J73" s="90"/>
      <c r="K73" s="90"/>
      <c r="L73" s="90"/>
      <c r="M73" s="90"/>
      <c r="N73" s="90"/>
      <c r="O73" s="90"/>
      <c r="P73" s="90"/>
      <c r="Q73" s="90"/>
      <c r="R73" s="90"/>
      <c r="S73" s="90"/>
      <c r="T73" s="77"/>
    </row>
    <row r="74" spans="2:20" x14ac:dyDescent="0.25">
      <c r="B74" s="56"/>
      <c r="C74" s="83"/>
      <c r="D74" s="83"/>
      <c r="E74" s="83"/>
      <c r="F74" s="83"/>
      <c r="G74" s="83"/>
      <c r="H74" s="83"/>
      <c r="I74" s="83"/>
      <c r="J74" s="83"/>
      <c r="K74" s="83"/>
      <c r="L74" s="83"/>
      <c r="M74" s="83"/>
      <c r="N74" s="83"/>
      <c r="O74" s="83"/>
      <c r="P74" s="83"/>
      <c r="Q74" s="83"/>
      <c r="R74" s="83"/>
      <c r="S74" s="83"/>
      <c r="T74" s="58"/>
    </row>
    <row r="75" spans="2:20" x14ac:dyDescent="0.25">
      <c r="B75" s="56"/>
      <c r="C75" s="158" t="s">
        <v>209</v>
      </c>
      <c r="D75" s="152"/>
      <c r="E75" s="91"/>
      <c r="F75" s="90"/>
      <c r="G75" s="92" t="s">
        <v>202</v>
      </c>
      <c r="H75" s="90"/>
      <c r="I75" s="90"/>
      <c r="J75" s="90"/>
      <c r="K75" s="90"/>
      <c r="L75" s="90"/>
      <c r="M75" s="90"/>
      <c r="N75" s="90"/>
      <c r="O75" s="90"/>
      <c r="P75" s="90"/>
      <c r="Q75" s="90"/>
      <c r="R75" s="90"/>
      <c r="S75" s="90"/>
      <c r="T75" s="58"/>
    </row>
    <row r="76" spans="2:20" x14ac:dyDescent="0.25">
      <c r="B76" s="56"/>
      <c r="C76" s="152"/>
      <c r="D76" s="152"/>
      <c r="E76" s="91"/>
      <c r="F76" s="90"/>
      <c r="G76" s="89" t="s">
        <v>190</v>
      </c>
      <c r="H76" s="90"/>
      <c r="I76" s="90"/>
      <c r="J76" s="90"/>
      <c r="K76" s="90"/>
      <c r="L76" s="90"/>
      <c r="M76" s="90"/>
      <c r="N76" s="90"/>
      <c r="O76" s="90"/>
      <c r="P76" s="90"/>
      <c r="Q76" s="90"/>
      <c r="R76" s="90"/>
      <c r="S76" s="90"/>
      <c r="T76" s="58"/>
    </row>
    <row r="77" spans="2:20" x14ac:dyDescent="0.25">
      <c r="B77" s="56"/>
      <c r="C77" s="152"/>
      <c r="D77" s="152"/>
      <c r="E77" s="91"/>
      <c r="F77" s="90"/>
      <c r="G77" s="89" t="s">
        <v>203</v>
      </c>
      <c r="H77" s="90"/>
      <c r="I77" s="90"/>
      <c r="J77" s="90"/>
      <c r="K77" s="90"/>
      <c r="L77" s="90"/>
      <c r="M77" s="90"/>
      <c r="N77" s="90"/>
      <c r="O77" s="90"/>
      <c r="P77" s="90"/>
      <c r="Q77" s="90"/>
      <c r="R77" s="90"/>
      <c r="S77" s="90"/>
      <c r="T77" s="58"/>
    </row>
    <row r="78" spans="2:20" x14ac:dyDescent="0.25">
      <c r="B78" s="56"/>
      <c r="C78" s="152"/>
      <c r="D78" s="152"/>
      <c r="E78" s="91"/>
      <c r="F78" s="90"/>
      <c r="G78" s="89" t="s">
        <v>192</v>
      </c>
      <c r="H78" s="90"/>
      <c r="I78" s="90"/>
      <c r="J78" s="90"/>
      <c r="K78" s="90"/>
      <c r="L78" s="90"/>
      <c r="M78" s="90"/>
      <c r="N78" s="90"/>
      <c r="O78" s="90"/>
      <c r="P78" s="90"/>
      <c r="Q78" s="90"/>
      <c r="R78" s="90"/>
      <c r="S78" s="90"/>
      <c r="T78" s="58"/>
    </row>
    <row r="79" spans="2:20" x14ac:dyDescent="0.25">
      <c r="B79" s="56"/>
      <c r="C79" s="90"/>
      <c r="D79" s="90"/>
      <c r="E79" s="91"/>
      <c r="F79" s="90"/>
      <c r="G79" s="93"/>
      <c r="H79" s="89" t="s">
        <v>68</v>
      </c>
      <c r="I79" s="90"/>
      <c r="J79" s="90"/>
      <c r="K79" s="90"/>
      <c r="L79" s="90"/>
      <c r="M79" s="90"/>
      <c r="N79" s="90"/>
      <c r="O79" s="90"/>
      <c r="P79" s="90"/>
      <c r="Q79" s="90"/>
      <c r="R79" s="90"/>
      <c r="S79" s="90"/>
      <c r="T79" s="58"/>
    </row>
    <row r="80" spans="2:20" x14ac:dyDescent="0.25">
      <c r="B80" s="56"/>
      <c r="C80" s="90"/>
      <c r="D80" s="90"/>
      <c r="E80" s="91"/>
      <c r="F80" s="90"/>
      <c r="G80" s="93"/>
      <c r="H80" s="89" t="s">
        <v>193</v>
      </c>
      <c r="I80" s="90"/>
      <c r="J80" s="90"/>
      <c r="K80" s="90"/>
      <c r="L80" s="90"/>
      <c r="M80" s="90"/>
      <c r="N80" s="90"/>
      <c r="O80" s="90"/>
      <c r="P80" s="90"/>
      <c r="Q80" s="90"/>
      <c r="R80" s="90"/>
      <c r="S80" s="90"/>
      <c r="T80" s="58"/>
    </row>
    <row r="81" spans="2:20" x14ac:dyDescent="0.25">
      <c r="B81" s="56"/>
      <c r="C81" s="90"/>
      <c r="D81" s="90"/>
      <c r="E81" s="91"/>
      <c r="F81" s="90"/>
      <c r="G81" s="93"/>
      <c r="H81" s="89" t="s">
        <v>194</v>
      </c>
      <c r="I81" s="90"/>
      <c r="J81" s="90"/>
      <c r="K81" s="90"/>
      <c r="L81" s="90"/>
      <c r="M81" s="90"/>
      <c r="N81" s="90"/>
      <c r="O81" s="90"/>
      <c r="P81" s="90"/>
      <c r="Q81" s="90"/>
      <c r="R81" s="90"/>
      <c r="S81" s="90"/>
      <c r="T81" s="58"/>
    </row>
    <row r="82" spans="2:20" x14ac:dyDescent="0.25">
      <c r="B82" s="56"/>
      <c r="C82" s="90"/>
      <c r="D82" s="90"/>
      <c r="E82" s="91"/>
      <c r="F82" s="90"/>
      <c r="G82" s="93"/>
      <c r="H82" s="89" t="s">
        <v>195</v>
      </c>
      <c r="I82" s="90"/>
      <c r="J82" s="90"/>
      <c r="K82" s="90"/>
      <c r="L82" s="90"/>
      <c r="M82" s="90"/>
      <c r="N82" s="90"/>
      <c r="O82" s="90"/>
      <c r="P82" s="90"/>
      <c r="Q82" s="90"/>
      <c r="R82" s="90"/>
      <c r="S82" s="90"/>
      <c r="T82" s="58"/>
    </row>
    <row r="83" spans="2:20" x14ac:dyDescent="0.25">
      <c r="B83" s="56"/>
      <c r="C83" s="90"/>
      <c r="D83" s="90"/>
      <c r="E83" s="91"/>
      <c r="F83" s="90"/>
      <c r="G83" s="89"/>
      <c r="H83" s="89" t="s">
        <v>196</v>
      </c>
      <c r="I83" s="90"/>
      <c r="J83" s="90"/>
      <c r="K83" s="90"/>
      <c r="L83" s="90"/>
      <c r="M83" s="90"/>
      <c r="N83" s="90"/>
      <c r="O83" s="90"/>
      <c r="P83" s="90"/>
      <c r="Q83" s="90"/>
      <c r="R83" s="90"/>
      <c r="S83" s="90"/>
      <c r="T83" s="58"/>
    </row>
    <row r="84" spans="2:20" x14ac:dyDescent="0.25">
      <c r="B84" s="56"/>
      <c r="C84" s="90"/>
      <c r="D84" s="90"/>
      <c r="E84" s="91"/>
      <c r="F84" s="90"/>
      <c r="G84" s="89"/>
      <c r="H84" s="89" t="s">
        <v>197</v>
      </c>
      <c r="I84" s="90"/>
      <c r="J84" s="90"/>
      <c r="K84" s="90"/>
      <c r="L84" s="90"/>
      <c r="M84" s="90"/>
      <c r="N84" s="90"/>
      <c r="O84" s="90"/>
      <c r="P84" s="90"/>
      <c r="Q84" s="90"/>
      <c r="R84" s="90"/>
      <c r="S84" s="90"/>
      <c r="T84" s="58"/>
    </row>
    <row r="85" spans="2:20" x14ac:dyDescent="0.25">
      <c r="B85" s="56"/>
      <c r="C85" s="90"/>
      <c r="D85" s="90"/>
      <c r="E85" s="91"/>
      <c r="F85" s="90"/>
      <c r="G85" s="93"/>
      <c r="H85" s="89" t="s">
        <v>198</v>
      </c>
      <c r="I85" s="90"/>
      <c r="J85" s="90"/>
      <c r="K85" s="90"/>
      <c r="L85" s="90"/>
      <c r="M85" s="90"/>
      <c r="N85" s="90"/>
      <c r="O85" s="90"/>
      <c r="P85" s="90"/>
      <c r="Q85" s="90"/>
      <c r="R85" s="90"/>
      <c r="S85" s="90"/>
      <c r="T85" s="58"/>
    </row>
    <row r="86" spans="2:20" x14ac:dyDescent="0.25">
      <c r="B86" s="56"/>
      <c r="C86" s="90"/>
      <c r="D86" s="90"/>
      <c r="E86" s="91"/>
      <c r="F86" s="90"/>
      <c r="G86" s="93"/>
      <c r="H86" s="89" t="s">
        <v>199</v>
      </c>
      <c r="I86" s="90"/>
      <c r="J86" s="90"/>
      <c r="K86" s="90"/>
      <c r="L86" s="90"/>
      <c r="M86" s="90"/>
      <c r="N86" s="90"/>
      <c r="O86" s="90"/>
      <c r="P86" s="90"/>
      <c r="Q86" s="90"/>
      <c r="R86" s="90"/>
      <c r="S86" s="90"/>
      <c r="T86" s="58"/>
    </row>
    <row r="87" spans="2:20" x14ac:dyDescent="0.25">
      <c r="B87" s="56"/>
      <c r="C87" s="90"/>
      <c r="D87" s="90"/>
      <c r="E87" s="91"/>
      <c r="F87" s="90"/>
      <c r="G87" s="93"/>
      <c r="H87" s="89" t="s">
        <v>200</v>
      </c>
      <c r="I87" s="90"/>
      <c r="J87" s="90"/>
      <c r="K87" s="90"/>
      <c r="L87" s="90"/>
      <c r="M87" s="90"/>
      <c r="N87" s="90"/>
      <c r="O87" s="90"/>
      <c r="P87" s="90"/>
      <c r="Q87" s="90"/>
      <c r="R87" s="90"/>
      <c r="S87" s="90"/>
      <c r="T87" s="58"/>
    </row>
    <row r="88" spans="2:20" x14ac:dyDescent="0.25">
      <c r="B88" s="56"/>
      <c r="C88" s="83"/>
      <c r="D88" s="83"/>
      <c r="E88" s="83"/>
      <c r="F88" s="83"/>
      <c r="G88" s="57"/>
      <c r="H88" s="83"/>
      <c r="I88" s="83"/>
      <c r="J88" s="83"/>
      <c r="K88" s="83"/>
      <c r="L88" s="83"/>
      <c r="M88" s="83"/>
      <c r="N88" s="83"/>
      <c r="O88" s="83"/>
      <c r="P88" s="83"/>
      <c r="Q88" s="83"/>
      <c r="R88" s="83"/>
      <c r="S88" s="83"/>
      <c r="T88" s="58"/>
    </row>
    <row r="89" spans="2:20" x14ac:dyDescent="0.25">
      <c r="B89" s="56"/>
      <c r="C89" s="152" t="s">
        <v>204</v>
      </c>
      <c r="D89" s="152"/>
      <c r="E89" s="91"/>
      <c r="F89" s="90"/>
      <c r="G89" s="93" t="s">
        <v>205</v>
      </c>
      <c r="H89" s="90"/>
      <c r="I89" s="90"/>
      <c r="J89" s="90"/>
      <c r="K89" s="90"/>
      <c r="L89" s="90"/>
      <c r="M89" s="90"/>
      <c r="N89" s="90"/>
      <c r="O89" s="90"/>
      <c r="P89" s="90"/>
      <c r="Q89" s="90"/>
      <c r="R89" s="90"/>
      <c r="S89" s="90"/>
      <c r="T89" s="58"/>
    </row>
    <row r="90" spans="2:20" x14ac:dyDescent="0.25">
      <c r="B90" s="56"/>
      <c r="C90" s="152"/>
      <c r="D90" s="152"/>
      <c r="E90" s="91"/>
      <c r="F90" s="90"/>
      <c r="G90" s="89" t="s">
        <v>206</v>
      </c>
      <c r="H90" s="90"/>
      <c r="I90" s="90"/>
      <c r="J90" s="90"/>
      <c r="K90" s="90"/>
      <c r="L90" s="90"/>
      <c r="M90" s="90"/>
      <c r="N90" s="90"/>
      <c r="O90" s="90"/>
      <c r="P90" s="90"/>
      <c r="Q90" s="90"/>
      <c r="R90" s="90"/>
      <c r="S90" s="90"/>
      <c r="T90" s="58"/>
    </row>
    <row r="91" spans="2:20" x14ac:dyDescent="0.25">
      <c r="B91" s="56"/>
      <c r="C91" s="152"/>
      <c r="D91" s="152"/>
      <c r="E91" s="94"/>
      <c r="F91" s="93"/>
      <c r="G91" s="93" t="s">
        <v>207</v>
      </c>
      <c r="H91" s="93"/>
      <c r="I91" s="93"/>
      <c r="J91" s="93"/>
      <c r="K91" s="93"/>
      <c r="L91" s="93"/>
      <c r="M91" s="93"/>
      <c r="N91" s="93"/>
      <c r="O91" s="93"/>
      <c r="P91" s="93"/>
      <c r="Q91" s="93"/>
      <c r="R91" s="93"/>
      <c r="S91" s="93"/>
      <c r="T91" s="58"/>
    </row>
    <row r="92" spans="2:20" x14ac:dyDescent="0.25">
      <c r="B92" s="56"/>
      <c r="C92" s="152"/>
      <c r="D92" s="152"/>
      <c r="E92" s="94"/>
      <c r="F92" s="93"/>
      <c r="G92" s="93" t="s">
        <v>208</v>
      </c>
      <c r="H92" s="93"/>
      <c r="I92" s="93"/>
      <c r="J92" s="93"/>
      <c r="K92" s="93"/>
      <c r="L92" s="93"/>
      <c r="M92" s="93"/>
      <c r="N92" s="93"/>
      <c r="O92" s="93"/>
      <c r="P92" s="93"/>
      <c r="Q92" s="93"/>
      <c r="R92" s="93"/>
      <c r="S92" s="93"/>
      <c r="T92" s="58"/>
    </row>
    <row r="93" spans="2:20" x14ac:dyDescent="0.25">
      <c r="B93" s="56"/>
      <c r="C93" s="93"/>
      <c r="D93" s="93"/>
      <c r="E93" s="94"/>
      <c r="F93" s="93"/>
      <c r="G93" s="93"/>
      <c r="H93" s="89" t="s">
        <v>68</v>
      </c>
      <c r="I93" s="93"/>
      <c r="J93" s="93"/>
      <c r="K93" s="93"/>
      <c r="L93" s="93"/>
      <c r="M93" s="93"/>
      <c r="N93" s="93"/>
      <c r="O93" s="93"/>
      <c r="P93" s="93"/>
      <c r="Q93" s="93"/>
      <c r="R93" s="93"/>
      <c r="S93" s="93"/>
      <c r="T93" s="58"/>
    </row>
    <row r="94" spans="2:20" x14ac:dyDescent="0.25">
      <c r="B94" s="56"/>
      <c r="C94" s="93"/>
      <c r="D94" s="93"/>
      <c r="E94" s="94"/>
      <c r="F94" s="93"/>
      <c r="G94" s="93"/>
      <c r="H94" s="89" t="s">
        <v>193</v>
      </c>
      <c r="I94" s="93"/>
      <c r="J94" s="93"/>
      <c r="K94" s="93"/>
      <c r="L94" s="93"/>
      <c r="M94" s="93"/>
      <c r="N94" s="93"/>
      <c r="O94" s="93"/>
      <c r="P94" s="93"/>
      <c r="Q94" s="93"/>
      <c r="R94" s="93"/>
      <c r="S94" s="93"/>
      <c r="T94" s="58"/>
    </row>
    <row r="95" spans="2:20" x14ac:dyDescent="0.25">
      <c r="B95" s="56"/>
      <c r="C95" s="93"/>
      <c r="D95" s="93"/>
      <c r="E95" s="94"/>
      <c r="F95" s="93"/>
      <c r="G95" s="93"/>
      <c r="H95" s="89" t="s">
        <v>194</v>
      </c>
      <c r="I95" s="93"/>
      <c r="J95" s="93"/>
      <c r="K95" s="93"/>
      <c r="L95" s="93"/>
      <c r="M95" s="93"/>
      <c r="N95" s="93"/>
      <c r="O95" s="93"/>
      <c r="P95" s="93"/>
      <c r="Q95" s="93"/>
      <c r="R95" s="93"/>
      <c r="S95" s="93"/>
      <c r="T95" s="58"/>
    </row>
    <row r="96" spans="2:20" x14ac:dyDescent="0.25">
      <c r="B96" s="56"/>
      <c r="C96" s="93"/>
      <c r="D96" s="93"/>
      <c r="E96" s="94"/>
      <c r="F96" s="93"/>
      <c r="G96" s="93"/>
      <c r="H96" s="89" t="s">
        <v>195</v>
      </c>
      <c r="I96" s="93"/>
      <c r="J96" s="93"/>
      <c r="K96" s="93"/>
      <c r="L96" s="93"/>
      <c r="M96" s="93"/>
      <c r="N96" s="93"/>
      <c r="O96" s="93"/>
      <c r="P96" s="93"/>
      <c r="Q96" s="93"/>
      <c r="R96" s="93"/>
      <c r="S96" s="93"/>
      <c r="T96" s="58"/>
    </row>
    <row r="97" spans="2:20" x14ac:dyDescent="0.25">
      <c r="B97" s="56"/>
      <c r="C97" s="93"/>
      <c r="D97" s="93"/>
      <c r="E97" s="94"/>
      <c r="F97" s="93"/>
      <c r="G97" s="93"/>
      <c r="H97" s="89" t="s">
        <v>196</v>
      </c>
      <c r="I97" s="93"/>
      <c r="J97" s="93"/>
      <c r="K97" s="93"/>
      <c r="L97" s="93"/>
      <c r="M97" s="93"/>
      <c r="N97" s="93"/>
      <c r="O97" s="93"/>
      <c r="P97" s="93"/>
      <c r="Q97" s="93"/>
      <c r="R97" s="93"/>
      <c r="S97" s="93"/>
      <c r="T97" s="58"/>
    </row>
    <row r="98" spans="2:20" x14ac:dyDescent="0.25">
      <c r="B98" s="56"/>
      <c r="C98" s="93"/>
      <c r="D98" s="93"/>
      <c r="E98" s="94"/>
      <c r="F98" s="93"/>
      <c r="G98" s="93"/>
      <c r="H98" s="89" t="s">
        <v>197</v>
      </c>
      <c r="I98" s="93"/>
      <c r="J98" s="93"/>
      <c r="K98" s="93"/>
      <c r="L98" s="93"/>
      <c r="M98" s="93"/>
      <c r="N98" s="93"/>
      <c r="O98" s="93"/>
      <c r="P98" s="93"/>
      <c r="Q98" s="93"/>
      <c r="R98" s="93"/>
      <c r="S98" s="93"/>
      <c r="T98" s="58"/>
    </row>
    <row r="99" spans="2:20" x14ac:dyDescent="0.25">
      <c r="B99" s="56"/>
      <c r="C99" s="93"/>
      <c r="D99" s="93"/>
      <c r="E99" s="94"/>
      <c r="F99" s="93"/>
      <c r="G99" s="93"/>
      <c r="H99" s="89" t="s">
        <v>198</v>
      </c>
      <c r="I99" s="93"/>
      <c r="J99" s="93"/>
      <c r="K99" s="93"/>
      <c r="L99" s="93"/>
      <c r="M99" s="93"/>
      <c r="N99" s="93"/>
      <c r="O99" s="93"/>
      <c r="P99" s="93"/>
      <c r="Q99" s="93"/>
      <c r="R99" s="93"/>
      <c r="S99" s="93"/>
      <c r="T99" s="58"/>
    </row>
    <row r="100" spans="2:20" x14ac:dyDescent="0.25">
      <c r="B100" s="56"/>
      <c r="C100" s="93"/>
      <c r="D100" s="93"/>
      <c r="E100" s="94"/>
      <c r="F100" s="93"/>
      <c r="G100" s="93"/>
      <c r="H100" s="89" t="s">
        <v>199</v>
      </c>
      <c r="I100" s="93"/>
      <c r="J100" s="93"/>
      <c r="K100" s="93"/>
      <c r="L100" s="93"/>
      <c r="M100" s="93"/>
      <c r="N100" s="93"/>
      <c r="O100" s="93"/>
      <c r="P100" s="93"/>
      <c r="Q100" s="93"/>
      <c r="R100" s="93"/>
      <c r="S100" s="93"/>
      <c r="T100" s="58"/>
    </row>
    <row r="101" spans="2:20" x14ac:dyDescent="0.25">
      <c r="B101" s="56"/>
      <c r="C101" s="93"/>
      <c r="D101" s="93"/>
      <c r="E101" s="94"/>
      <c r="F101" s="93"/>
      <c r="G101" s="93"/>
      <c r="H101" s="89" t="s">
        <v>200</v>
      </c>
      <c r="I101" s="93"/>
      <c r="J101" s="93"/>
      <c r="K101" s="93"/>
      <c r="L101" s="93"/>
      <c r="M101" s="93"/>
      <c r="N101" s="93"/>
      <c r="O101" s="93"/>
      <c r="P101" s="93"/>
      <c r="Q101" s="93"/>
      <c r="R101" s="93"/>
      <c r="S101" s="93"/>
      <c r="T101" s="58"/>
    </row>
    <row r="102" spans="2:20" x14ac:dyDescent="0.25">
      <c r="B102" s="56"/>
      <c r="C102" s="57"/>
      <c r="D102" s="57"/>
      <c r="E102" s="57"/>
      <c r="F102" s="57"/>
      <c r="G102" s="57"/>
      <c r="H102" s="57"/>
      <c r="I102" s="57"/>
      <c r="J102" s="57"/>
      <c r="K102" s="57"/>
      <c r="L102" s="57"/>
      <c r="M102" s="57"/>
      <c r="N102" s="57"/>
      <c r="O102" s="57"/>
      <c r="P102" s="57"/>
      <c r="Q102" s="57"/>
      <c r="R102" s="57"/>
      <c r="S102" s="57"/>
      <c r="T102" s="58"/>
    </row>
    <row r="103" spans="2:20" ht="18.75" x14ac:dyDescent="0.3">
      <c r="B103" s="56"/>
      <c r="C103" s="86" t="s">
        <v>211</v>
      </c>
      <c r="D103" s="63"/>
      <c r="E103" s="63"/>
      <c r="F103" s="63"/>
      <c r="G103" s="63"/>
      <c r="H103" s="63"/>
      <c r="I103" s="63"/>
      <c r="J103" s="63"/>
      <c r="K103" s="63"/>
      <c r="L103" s="63"/>
      <c r="M103" s="63"/>
      <c r="N103" s="63"/>
      <c r="O103" s="63"/>
      <c r="P103" s="63"/>
      <c r="Q103" s="63"/>
      <c r="R103" s="87" t="s">
        <v>188</v>
      </c>
      <c r="S103" s="63"/>
      <c r="T103" s="58"/>
    </row>
    <row r="104" spans="2:20" ht="18.75" x14ac:dyDescent="0.3">
      <c r="B104" s="56"/>
      <c r="C104" s="88"/>
      <c r="D104" s="57"/>
      <c r="E104" s="57"/>
      <c r="F104" s="57"/>
      <c r="G104" s="57"/>
      <c r="H104" s="57"/>
      <c r="I104" s="57"/>
      <c r="J104" s="57"/>
      <c r="K104" s="57"/>
      <c r="L104" s="57"/>
      <c r="M104" s="57"/>
      <c r="N104" s="57"/>
      <c r="O104" s="57"/>
      <c r="P104" s="57"/>
      <c r="Q104" s="57"/>
      <c r="R104" s="76"/>
      <c r="S104" s="57"/>
      <c r="T104" s="58"/>
    </row>
    <row r="105" spans="2:20" ht="15" customHeight="1" x14ac:dyDescent="0.25">
      <c r="B105" s="56"/>
      <c r="C105" s="131" t="s">
        <v>212</v>
      </c>
      <c r="D105" s="131"/>
      <c r="E105" s="131"/>
      <c r="F105" s="131"/>
      <c r="G105" s="131"/>
      <c r="H105" s="131"/>
      <c r="I105" s="131"/>
      <c r="J105" s="131"/>
      <c r="K105" s="131"/>
      <c r="L105" s="131"/>
      <c r="M105" s="131"/>
      <c r="N105" s="131"/>
      <c r="O105" s="131"/>
      <c r="P105" s="131"/>
      <c r="Q105" s="131"/>
      <c r="R105" s="131"/>
      <c r="S105" s="131"/>
      <c r="T105" s="58"/>
    </row>
    <row r="106" spans="2:20" x14ac:dyDescent="0.25">
      <c r="B106" s="56"/>
      <c r="C106" s="131"/>
      <c r="D106" s="131"/>
      <c r="E106" s="131"/>
      <c r="F106" s="131"/>
      <c r="G106" s="131"/>
      <c r="H106" s="131"/>
      <c r="I106" s="131"/>
      <c r="J106" s="131"/>
      <c r="K106" s="131"/>
      <c r="L106" s="131"/>
      <c r="M106" s="131"/>
      <c r="N106" s="131"/>
      <c r="O106" s="131"/>
      <c r="P106" s="131"/>
      <c r="Q106" s="131"/>
      <c r="R106" s="131"/>
      <c r="S106" s="131"/>
      <c r="T106" s="58"/>
    </row>
    <row r="107" spans="2:20" x14ac:dyDescent="0.25">
      <c r="B107" s="56"/>
      <c r="C107" s="131"/>
      <c r="D107" s="131"/>
      <c r="E107" s="131"/>
      <c r="F107" s="131"/>
      <c r="G107" s="131"/>
      <c r="H107" s="131"/>
      <c r="I107" s="131"/>
      <c r="J107" s="131"/>
      <c r="K107" s="131"/>
      <c r="L107" s="131"/>
      <c r="M107" s="131"/>
      <c r="N107" s="131"/>
      <c r="O107" s="131"/>
      <c r="P107" s="131"/>
      <c r="Q107" s="131"/>
      <c r="R107" s="131"/>
      <c r="S107" s="131"/>
      <c r="T107" s="58"/>
    </row>
    <row r="108" spans="2:20" x14ac:dyDescent="0.25">
      <c r="B108" s="56"/>
      <c r="C108" s="131"/>
      <c r="D108" s="131"/>
      <c r="E108" s="131"/>
      <c r="F108" s="131"/>
      <c r="G108" s="131"/>
      <c r="H108" s="131"/>
      <c r="I108" s="131"/>
      <c r="J108" s="131"/>
      <c r="K108" s="131"/>
      <c r="L108" s="131"/>
      <c r="M108" s="131"/>
      <c r="N108" s="131"/>
      <c r="O108" s="131"/>
      <c r="P108" s="131"/>
      <c r="Q108" s="131"/>
      <c r="R108" s="131"/>
      <c r="S108" s="131"/>
      <c r="T108" s="58"/>
    </row>
    <row r="109" spans="2:20" x14ac:dyDescent="0.25">
      <c r="B109" s="56"/>
      <c r="C109" s="131"/>
      <c r="D109" s="131"/>
      <c r="E109" s="131"/>
      <c r="F109" s="131"/>
      <c r="G109" s="131"/>
      <c r="H109" s="131"/>
      <c r="I109" s="131"/>
      <c r="J109" s="131"/>
      <c r="K109" s="131"/>
      <c r="L109" s="131"/>
      <c r="M109" s="131"/>
      <c r="N109" s="131"/>
      <c r="O109" s="131"/>
      <c r="P109" s="131"/>
      <c r="Q109" s="131"/>
      <c r="R109" s="131"/>
      <c r="S109" s="131"/>
      <c r="T109" s="58"/>
    </row>
    <row r="110" spans="2:20" x14ac:dyDescent="0.25">
      <c r="B110" s="56"/>
      <c r="C110" s="131"/>
      <c r="D110" s="131"/>
      <c r="E110" s="131"/>
      <c r="F110" s="131"/>
      <c r="G110" s="131"/>
      <c r="H110" s="131"/>
      <c r="I110" s="131"/>
      <c r="J110" s="131"/>
      <c r="K110" s="131"/>
      <c r="L110" s="131"/>
      <c r="M110" s="131"/>
      <c r="N110" s="131"/>
      <c r="O110" s="131"/>
      <c r="P110" s="131"/>
      <c r="Q110" s="131"/>
      <c r="R110" s="131"/>
      <c r="S110" s="131"/>
      <c r="T110" s="58"/>
    </row>
    <row r="111" spans="2:20" x14ac:dyDescent="0.25">
      <c r="B111" s="56"/>
      <c r="C111" s="131"/>
      <c r="D111" s="131"/>
      <c r="E111" s="131"/>
      <c r="F111" s="131"/>
      <c r="G111" s="131"/>
      <c r="H111" s="131"/>
      <c r="I111" s="131"/>
      <c r="J111" s="131"/>
      <c r="K111" s="131"/>
      <c r="L111" s="131"/>
      <c r="M111" s="131"/>
      <c r="N111" s="131"/>
      <c r="O111" s="131"/>
      <c r="P111" s="131"/>
      <c r="Q111" s="131"/>
      <c r="R111" s="131"/>
      <c r="S111" s="131"/>
      <c r="T111" s="58"/>
    </row>
    <row r="112" spans="2:20" x14ac:dyDescent="0.25">
      <c r="B112" s="56"/>
      <c r="C112" s="131"/>
      <c r="D112" s="131"/>
      <c r="E112" s="131"/>
      <c r="F112" s="131"/>
      <c r="G112" s="131"/>
      <c r="H112" s="131"/>
      <c r="I112" s="131"/>
      <c r="J112" s="131"/>
      <c r="K112" s="131"/>
      <c r="L112" s="131"/>
      <c r="M112" s="131"/>
      <c r="N112" s="131"/>
      <c r="O112" s="131"/>
      <c r="P112" s="131"/>
      <c r="Q112" s="131"/>
      <c r="R112" s="131"/>
      <c r="S112" s="131"/>
      <c r="T112" s="58"/>
    </row>
    <row r="113" spans="2:20" x14ac:dyDescent="0.25">
      <c r="B113" s="56"/>
      <c r="C113" s="131"/>
      <c r="D113" s="131"/>
      <c r="E113" s="131"/>
      <c r="F113" s="131"/>
      <c r="G113" s="131"/>
      <c r="H113" s="131"/>
      <c r="I113" s="131"/>
      <c r="J113" s="131"/>
      <c r="K113" s="131"/>
      <c r="L113" s="131"/>
      <c r="M113" s="131"/>
      <c r="N113" s="131"/>
      <c r="O113" s="131"/>
      <c r="P113" s="131"/>
      <c r="Q113" s="131"/>
      <c r="R113" s="131"/>
      <c r="S113" s="131"/>
      <c r="T113" s="58"/>
    </row>
    <row r="114" spans="2:20" x14ac:dyDescent="0.25">
      <c r="B114" s="56"/>
      <c r="C114" s="83"/>
      <c r="D114" s="83"/>
      <c r="E114" s="83"/>
      <c r="F114" s="83"/>
      <c r="G114" s="83"/>
      <c r="H114" s="83"/>
      <c r="I114" s="83"/>
      <c r="J114" s="83"/>
      <c r="K114" s="83"/>
      <c r="L114" s="83"/>
      <c r="M114" s="83"/>
      <c r="N114" s="83"/>
      <c r="O114" s="83"/>
      <c r="P114" s="83"/>
      <c r="Q114" s="83"/>
      <c r="R114" s="83"/>
      <c r="S114" s="83"/>
      <c r="T114" s="58"/>
    </row>
    <row r="115" spans="2:20" ht="18.75" x14ac:dyDescent="0.3">
      <c r="B115" s="56"/>
      <c r="C115" s="86" t="s">
        <v>176</v>
      </c>
      <c r="D115" s="95"/>
      <c r="E115" s="95"/>
      <c r="F115" s="95"/>
      <c r="G115" s="95"/>
      <c r="H115" s="95"/>
      <c r="I115" s="95"/>
      <c r="J115" s="95"/>
      <c r="K115" s="95"/>
      <c r="L115" s="95"/>
      <c r="M115" s="95"/>
      <c r="N115" s="95"/>
      <c r="O115" s="95"/>
      <c r="P115" s="95"/>
      <c r="Q115" s="95"/>
      <c r="R115" s="87" t="s">
        <v>188</v>
      </c>
      <c r="S115" s="95"/>
      <c r="T115" s="58"/>
    </row>
    <row r="116" spans="2:20" x14ac:dyDescent="0.25">
      <c r="B116" s="56"/>
      <c r="C116" s="131" t="s">
        <v>213</v>
      </c>
      <c r="D116" s="134"/>
      <c r="E116" s="134"/>
      <c r="F116" s="134"/>
      <c r="G116" s="134"/>
      <c r="H116" s="134"/>
      <c r="I116" s="134"/>
      <c r="J116" s="134"/>
      <c r="K116" s="134"/>
      <c r="L116" s="134"/>
      <c r="M116" s="134"/>
      <c r="N116" s="134"/>
      <c r="O116" s="134"/>
      <c r="P116" s="134"/>
      <c r="Q116" s="134"/>
      <c r="R116" s="134"/>
      <c r="S116" s="134"/>
      <c r="T116" s="58"/>
    </row>
    <row r="117" spans="2:20" x14ac:dyDescent="0.25">
      <c r="B117" s="56"/>
      <c r="C117" s="134"/>
      <c r="D117" s="134"/>
      <c r="E117" s="134"/>
      <c r="F117" s="134"/>
      <c r="G117" s="134"/>
      <c r="H117" s="134"/>
      <c r="I117" s="134"/>
      <c r="J117" s="134"/>
      <c r="K117" s="134"/>
      <c r="L117" s="134"/>
      <c r="M117" s="134"/>
      <c r="N117" s="134"/>
      <c r="O117" s="134"/>
      <c r="P117" s="134"/>
      <c r="Q117" s="134"/>
      <c r="R117" s="134"/>
      <c r="S117" s="134"/>
      <c r="T117" s="58"/>
    </row>
    <row r="118" spans="2:20" x14ac:dyDescent="0.25">
      <c r="B118" s="56"/>
      <c r="C118" s="83"/>
      <c r="D118" s="83"/>
      <c r="E118" s="83"/>
      <c r="F118" s="83"/>
      <c r="G118" s="83"/>
      <c r="H118" s="83"/>
      <c r="I118" s="83"/>
      <c r="J118" s="83"/>
      <c r="K118" s="83"/>
      <c r="L118" s="83"/>
      <c r="M118" s="83"/>
      <c r="N118" s="83"/>
      <c r="O118" s="83"/>
      <c r="P118" s="83"/>
      <c r="Q118" s="83"/>
      <c r="R118" s="83"/>
      <c r="S118" s="83"/>
      <c r="T118" s="58"/>
    </row>
    <row r="119" spans="2:20" ht="15.75" x14ac:dyDescent="0.25">
      <c r="B119" s="56"/>
      <c r="C119" s="96" t="s">
        <v>63</v>
      </c>
      <c r="D119" s="97"/>
      <c r="E119" s="96"/>
      <c r="F119" s="96" t="s">
        <v>64</v>
      </c>
      <c r="G119" s="96"/>
      <c r="H119" s="96"/>
      <c r="I119" s="96"/>
      <c r="J119" s="96"/>
      <c r="K119" s="96"/>
      <c r="L119" s="96"/>
      <c r="M119" s="96"/>
      <c r="N119" s="96"/>
      <c r="O119" s="96"/>
      <c r="P119" s="96"/>
      <c r="Q119" s="96"/>
      <c r="R119" s="96"/>
      <c r="S119" s="96"/>
      <c r="T119" s="58"/>
    </row>
    <row r="120" spans="2:20" x14ac:dyDescent="0.25">
      <c r="B120" s="56"/>
      <c r="C120" s="78" t="s">
        <v>55</v>
      </c>
      <c r="D120" s="79"/>
      <c r="E120" s="78"/>
      <c r="F120" s="78" t="s">
        <v>4</v>
      </c>
      <c r="G120" s="78"/>
      <c r="H120" s="78"/>
      <c r="I120" s="78"/>
      <c r="J120" s="78"/>
      <c r="K120" s="78"/>
      <c r="L120" s="78"/>
      <c r="M120" s="78"/>
      <c r="N120" s="78"/>
      <c r="O120" s="78"/>
      <c r="P120" s="78"/>
      <c r="Q120" s="78"/>
      <c r="R120" s="78"/>
      <c r="S120" s="78"/>
      <c r="T120" s="58"/>
    </row>
    <row r="121" spans="2:20" x14ac:dyDescent="0.25">
      <c r="B121" s="56"/>
      <c r="C121" s="78" t="s">
        <v>56</v>
      </c>
      <c r="D121" s="79"/>
      <c r="E121" s="78"/>
      <c r="F121" s="78" t="s">
        <v>5</v>
      </c>
      <c r="G121" s="78"/>
      <c r="H121" s="78"/>
      <c r="I121" s="78"/>
      <c r="J121" s="78"/>
      <c r="K121" s="78"/>
      <c r="L121" s="78"/>
      <c r="M121" s="78"/>
      <c r="N121" s="78"/>
      <c r="O121" s="78"/>
      <c r="P121" s="78"/>
      <c r="Q121" s="78"/>
      <c r="R121" s="78"/>
      <c r="S121" s="78"/>
      <c r="T121" s="58"/>
    </row>
    <row r="122" spans="2:20" x14ac:dyDescent="0.25">
      <c r="B122" s="56"/>
      <c r="C122" s="78" t="s">
        <v>50</v>
      </c>
      <c r="D122" s="79"/>
      <c r="E122" s="78"/>
      <c r="F122" s="80" t="s">
        <v>214</v>
      </c>
      <c r="G122" s="78"/>
      <c r="H122" s="78"/>
      <c r="I122" s="78"/>
      <c r="J122" s="78"/>
      <c r="K122" s="78"/>
      <c r="L122" s="78"/>
      <c r="M122" s="78"/>
      <c r="N122" s="78"/>
      <c r="O122" s="78"/>
      <c r="P122" s="78"/>
      <c r="Q122" s="78"/>
      <c r="R122" s="78"/>
      <c r="S122" s="78"/>
      <c r="T122" s="58"/>
    </row>
    <row r="123" spans="2:20" x14ac:dyDescent="0.25">
      <c r="B123" s="56"/>
      <c r="C123" s="78" t="s">
        <v>20</v>
      </c>
      <c r="D123" s="79"/>
      <c r="E123" s="78"/>
      <c r="F123" s="78" t="s">
        <v>65</v>
      </c>
      <c r="G123" s="78"/>
      <c r="H123" s="78"/>
      <c r="I123" s="78"/>
      <c r="J123" s="78"/>
      <c r="K123" s="78"/>
      <c r="L123" s="78"/>
      <c r="M123" s="78"/>
      <c r="N123" s="78"/>
      <c r="O123" s="78"/>
      <c r="P123" s="78"/>
      <c r="Q123" s="78"/>
      <c r="R123" s="78"/>
      <c r="S123" s="78"/>
      <c r="T123" s="58"/>
    </row>
    <row r="124" spans="2:20" x14ac:dyDescent="0.25">
      <c r="B124" s="56"/>
      <c r="C124" s="78" t="s">
        <v>21</v>
      </c>
      <c r="D124" s="79"/>
      <c r="E124" s="78"/>
      <c r="F124" s="78" t="s">
        <v>3</v>
      </c>
      <c r="G124" s="78"/>
      <c r="H124" s="78"/>
      <c r="I124" s="78"/>
      <c r="J124" s="78"/>
      <c r="K124" s="78"/>
      <c r="L124" s="78"/>
      <c r="M124" s="78"/>
      <c r="N124" s="78"/>
      <c r="O124" s="78"/>
      <c r="P124" s="78"/>
      <c r="Q124" s="78"/>
      <c r="R124" s="78"/>
      <c r="S124" s="78"/>
      <c r="T124" s="58"/>
    </row>
    <row r="125" spans="2:20" x14ac:dyDescent="0.25">
      <c r="B125" s="56"/>
      <c r="C125" s="78" t="s">
        <v>22</v>
      </c>
      <c r="D125" s="79"/>
      <c r="E125" s="78"/>
      <c r="F125" s="78" t="s">
        <v>66</v>
      </c>
      <c r="G125" s="78"/>
      <c r="H125" s="78"/>
      <c r="I125" s="78"/>
      <c r="J125" s="78"/>
      <c r="K125" s="78"/>
      <c r="L125" s="78"/>
      <c r="M125" s="78"/>
      <c r="N125" s="78"/>
      <c r="O125" s="78"/>
      <c r="P125" s="78"/>
      <c r="Q125" s="78"/>
      <c r="R125" s="78"/>
      <c r="S125" s="78"/>
      <c r="T125" s="58"/>
    </row>
    <row r="126" spans="2:20" x14ac:dyDescent="0.25">
      <c r="B126" s="56"/>
      <c r="C126" s="78" t="s">
        <v>23</v>
      </c>
      <c r="D126" s="79"/>
      <c r="E126" s="78"/>
      <c r="F126" s="78" t="s">
        <v>2</v>
      </c>
      <c r="G126" s="78"/>
      <c r="H126" s="78"/>
      <c r="I126" s="78"/>
      <c r="J126" s="78"/>
      <c r="K126" s="78"/>
      <c r="L126" s="78"/>
      <c r="M126" s="78"/>
      <c r="N126" s="78"/>
      <c r="O126" s="78"/>
      <c r="P126" s="78"/>
      <c r="Q126" s="78"/>
      <c r="R126" s="78"/>
      <c r="S126" s="78"/>
      <c r="T126" s="58"/>
    </row>
    <row r="127" spans="2:20" x14ac:dyDescent="0.25">
      <c r="B127" s="56"/>
      <c r="C127" s="78" t="s">
        <v>24</v>
      </c>
      <c r="D127" s="79"/>
      <c r="E127" s="78"/>
      <c r="F127" s="78" t="s">
        <v>9</v>
      </c>
      <c r="G127" s="78"/>
      <c r="H127" s="78"/>
      <c r="I127" s="78"/>
      <c r="J127" s="78"/>
      <c r="K127" s="78"/>
      <c r="L127" s="78"/>
      <c r="M127" s="78"/>
      <c r="N127" s="78"/>
      <c r="O127" s="78"/>
      <c r="P127" s="78"/>
      <c r="Q127" s="78"/>
      <c r="R127" s="78"/>
      <c r="S127" s="78"/>
      <c r="T127" s="58"/>
    </row>
    <row r="128" spans="2:20" x14ac:dyDescent="0.25">
      <c r="B128" s="56"/>
      <c r="C128" s="78" t="s">
        <v>25</v>
      </c>
      <c r="D128" s="79"/>
      <c r="E128" s="78"/>
      <c r="F128" s="78" t="s">
        <v>67</v>
      </c>
      <c r="G128" s="78"/>
      <c r="H128" s="78"/>
      <c r="I128" s="78"/>
      <c r="J128" s="78"/>
      <c r="K128" s="78"/>
      <c r="L128" s="78"/>
      <c r="M128" s="78"/>
      <c r="N128" s="78"/>
      <c r="O128" s="78"/>
      <c r="P128" s="78"/>
      <c r="Q128" s="78"/>
      <c r="R128" s="78"/>
      <c r="S128" s="78"/>
      <c r="T128" s="58"/>
    </row>
    <row r="129" spans="2:20" x14ac:dyDescent="0.25">
      <c r="B129" s="56"/>
      <c r="C129" s="78" t="s">
        <v>26</v>
      </c>
      <c r="D129" s="79"/>
      <c r="E129" s="78"/>
      <c r="F129" s="78" t="s">
        <v>69</v>
      </c>
      <c r="G129" s="78"/>
      <c r="H129" s="78"/>
      <c r="I129" s="78"/>
      <c r="J129" s="78"/>
      <c r="K129" s="78"/>
      <c r="L129" s="78"/>
      <c r="M129" s="78"/>
      <c r="N129" s="78"/>
      <c r="O129" s="78"/>
      <c r="P129" s="78"/>
      <c r="Q129" s="78"/>
      <c r="R129" s="78"/>
      <c r="S129" s="78"/>
      <c r="T129" s="58"/>
    </row>
    <row r="130" spans="2:20" x14ac:dyDescent="0.25">
      <c r="B130" s="56"/>
      <c r="C130" s="78" t="s">
        <v>17</v>
      </c>
      <c r="D130" s="79"/>
      <c r="E130" s="78"/>
      <c r="F130" s="78" t="s">
        <v>93</v>
      </c>
      <c r="G130" s="78"/>
      <c r="H130" s="78"/>
      <c r="I130" s="78"/>
      <c r="J130" s="78"/>
      <c r="K130" s="78"/>
      <c r="L130" s="78"/>
      <c r="M130" s="78"/>
      <c r="N130" s="78"/>
      <c r="O130" s="78"/>
      <c r="P130" s="78"/>
      <c r="Q130" s="78"/>
      <c r="R130" s="78"/>
      <c r="S130" s="78"/>
      <c r="T130" s="58"/>
    </row>
    <row r="131" spans="2:20" x14ac:dyDescent="0.25">
      <c r="B131" s="56"/>
      <c r="C131" s="78" t="s">
        <v>54</v>
      </c>
      <c r="D131" s="79"/>
      <c r="E131" s="78"/>
      <c r="F131" s="78" t="s">
        <v>68</v>
      </c>
      <c r="G131" s="78"/>
      <c r="H131" s="78"/>
      <c r="I131" s="78"/>
      <c r="J131" s="78"/>
      <c r="K131" s="78"/>
      <c r="L131" s="78"/>
      <c r="M131" s="78"/>
      <c r="N131" s="78"/>
      <c r="O131" s="78"/>
      <c r="P131" s="78"/>
      <c r="Q131" s="78"/>
      <c r="R131" s="78"/>
      <c r="S131" s="78"/>
      <c r="T131" s="58"/>
    </row>
    <row r="132" spans="2:20" x14ac:dyDescent="0.25">
      <c r="B132" s="56"/>
      <c r="C132" s="78" t="s">
        <v>57</v>
      </c>
      <c r="D132" s="79"/>
      <c r="E132" s="78"/>
      <c r="F132" s="78" t="s">
        <v>70</v>
      </c>
      <c r="G132" s="78"/>
      <c r="H132" s="78"/>
      <c r="I132" s="78"/>
      <c r="J132" s="78"/>
      <c r="K132" s="78"/>
      <c r="L132" s="78"/>
      <c r="M132" s="78"/>
      <c r="N132" s="78"/>
      <c r="O132" s="78"/>
      <c r="P132" s="78"/>
      <c r="Q132" s="78"/>
      <c r="R132" s="78"/>
      <c r="S132" s="78"/>
      <c r="T132" s="58"/>
    </row>
    <row r="133" spans="2:20" ht="15" customHeight="1" x14ac:dyDescent="0.25">
      <c r="B133" s="56"/>
      <c r="C133" s="146" t="s">
        <v>58</v>
      </c>
      <c r="D133" s="147"/>
      <c r="E133" s="150"/>
      <c r="F133" s="140" t="s">
        <v>71</v>
      </c>
      <c r="G133" s="140"/>
      <c r="H133" s="140"/>
      <c r="I133" s="140"/>
      <c r="J133" s="140"/>
      <c r="K133" s="140"/>
      <c r="L133" s="140"/>
      <c r="M133" s="140"/>
      <c r="N133" s="140"/>
      <c r="O133" s="140"/>
      <c r="P133" s="140"/>
      <c r="Q133" s="140"/>
      <c r="R133" s="140"/>
      <c r="S133" s="140"/>
      <c r="T133" s="58"/>
    </row>
    <row r="134" spans="2:20" x14ac:dyDescent="0.25">
      <c r="B134" s="56"/>
      <c r="C134" s="148"/>
      <c r="D134" s="149"/>
      <c r="E134" s="151"/>
      <c r="F134" s="137"/>
      <c r="G134" s="137"/>
      <c r="H134" s="137"/>
      <c r="I134" s="137"/>
      <c r="J134" s="137"/>
      <c r="K134" s="137"/>
      <c r="L134" s="137"/>
      <c r="M134" s="137"/>
      <c r="N134" s="137"/>
      <c r="O134" s="137"/>
      <c r="P134" s="137"/>
      <c r="Q134" s="137"/>
      <c r="R134" s="137"/>
      <c r="S134" s="137"/>
      <c r="T134" s="58"/>
    </row>
    <row r="135" spans="2:20" x14ac:dyDescent="0.25">
      <c r="B135" s="56"/>
      <c r="C135" s="78" t="s">
        <v>85</v>
      </c>
      <c r="D135" s="79"/>
      <c r="E135" s="78"/>
      <c r="F135" s="78" t="s">
        <v>72</v>
      </c>
      <c r="G135" s="78"/>
      <c r="H135" s="78"/>
      <c r="I135" s="78"/>
      <c r="J135" s="78"/>
      <c r="K135" s="78"/>
      <c r="L135" s="78"/>
      <c r="M135" s="78"/>
      <c r="N135" s="78"/>
      <c r="O135" s="78"/>
      <c r="P135" s="78"/>
      <c r="Q135" s="78"/>
      <c r="R135" s="78"/>
      <c r="S135" s="78"/>
      <c r="T135" s="58"/>
    </row>
    <row r="136" spans="2:20" x14ac:dyDescent="0.25">
      <c r="B136" s="56"/>
      <c r="C136" s="78" t="s">
        <v>59</v>
      </c>
      <c r="D136" s="79"/>
      <c r="E136" s="78"/>
      <c r="F136" s="78" t="s">
        <v>73</v>
      </c>
      <c r="G136" s="78"/>
      <c r="H136" s="78"/>
      <c r="I136" s="78"/>
      <c r="J136" s="78"/>
      <c r="K136" s="78"/>
      <c r="L136" s="78"/>
      <c r="M136" s="78"/>
      <c r="N136" s="78"/>
      <c r="O136" s="78"/>
      <c r="P136" s="78"/>
      <c r="Q136" s="78"/>
      <c r="R136" s="78"/>
      <c r="S136" s="78"/>
      <c r="T136" s="58"/>
    </row>
    <row r="137" spans="2:20" x14ac:dyDescent="0.25">
      <c r="B137" s="56"/>
      <c r="C137" s="78" t="s">
        <v>6</v>
      </c>
      <c r="D137" s="79"/>
      <c r="E137" s="78"/>
      <c r="F137" s="78" t="s">
        <v>46</v>
      </c>
      <c r="G137" s="78"/>
      <c r="H137" s="78"/>
      <c r="I137" s="78"/>
      <c r="J137" s="78"/>
      <c r="K137" s="78"/>
      <c r="L137" s="78"/>
      <c r="M137" s="78"/>
      <c r="N137" s="78"/>
      <c r="O137" s="78"/>
      <c r="P137" s="78"/>
      <c r="Q137" s="78"/>
      <c r="R137" s="78"/>
      <c r="S137" s="78"/>
      <c r="T137" s="58"/>
    </row>
    <row r="138" spans="2:20" x14ac:dyDescent="0.25">
      <c r="B138" s="56"/>
      <c r="C138" s="78" t="s">
        <v>60</v>
      </c>
      <c r="D138" s="79"/>
      <c r="E138" s="78"/>
      <c r="F138" s="78" t="s">
        <v>75</v>
      </c>
      <c r="G138" s="78"/>
      <c r="H138" s="78"/>
      <c r="I138" s="78"/>
      <c r="J138" s="78"/>
      <c r="K138" s="78"/>
      <c r="L138" s="78"/>
      <c r="M138" s="78"/>
      <c r="N138" s="78"/>
      <c r="O138" s="78"/>
      <c r="P138" s="78"/>
      <c r="Q138" s="78"/>
      <c r="R138" s="78"/>
      <c r="S138" s="78"/>
      <c r="T138" s="58"/>
    </row>
    <row r="139" spans="2:20" x14ac:dyDescent="0.25">
      <c r="B139" s="56"/>
      <c r="C139" s="78" t="s">
        <v>61</v>
      </c>
      <c r="D139" s="79"/>
      <c r="E139" s="78"/>
      <c r="F139" s="78" t="s">
        <v>76</v>
      </c>
      <c r="G139" s="78"/>
      <c r="H139" s="78"/>
      <c r="I139" s="78"/>
      <c r="J139" s="78"/>
      <c r="K139" s="78"/>
      <c r="L139" s="78"/>
      <c r="M139" s="78"/>
      <c r="N139" s="78"/>
      <c r="O139" s="78"/>
      <c r="P139" s="78"/>
      <c r="Q139" s="78"/>
      <c r="R139" s="78"/>
      <c r="S139" s="78"/>
      <c r="T139" s="58"/>
    </row>
    <row r="140" spans="2:20" x14ac:dyDescent="0.25">
      <c r="B140" s="56"/>
      <c r="C140" s="54" t="s">
        <v>62</v>
      </c>
      <c r="D140" s="55"/>
      <c r="E140" s="54"/>
      <c r="F140" s="54" t="s">
        <v>77</v>
      </c>
      <c r="G140" s="54"/>
      <c r="H140" s="54"/>
      <c r="I140" s="54"/>
      <c r="J140" s="54"/>
      <c r="K140" s="54"/>
      <c r="L140" s="54"/>
      <c r="M140" s="54"/>
      <c r="N140" s="54"/>
      <c r="O140" s="54"/>
      <c r="P140" s="54"/>
      <c r="Q140" s="54"/>
      <c r="R140" s="54"/>
      <c r="S140" s="54"/>
      <c r="T140" s="58"/>
    </row>
    <row r="141" spans="2:20" x14ac:dyDescent="0.25">
      <c r="B141" s="56"/>
      <c r="C141" s="57"/>
      <c r="D141" s="57"/>
      <c r="E141" s="57"/>
      <c r="F141" s="57"/>
      <c r="G141" s="57"/>
      <c r="H141" s="57"/>
      <c r="I141" s="57"/>
      <c r="J141" s="57"/>
      <c r="K141" s="57"/>
      <c r="L141" s="57"/>
      <c r="M141" s="57"/>
      <c r="N141" s="57"/>
      <c r="O141" s="57"/>
      <c r="P141" s="57"/>
      <c r="Q141" s="57"/>
      <c r="R141" s="57"/>
      <c r="S141" s="57"/>
      <c r="T141" s="58"/>
    </row>
    <row r="142" spans="2:20" ht="18.75" x14ac:dyDescent="0.3">
      <c r="B142" s="56"/>
      <c r="C142" s="86" t="s">
        <v>170</v>
      </c>
      <c r="D142" s="63"/>
      <c r="E142" s="63"/>
      <c r="F142" s="63"/>
      <c r="G142" s="63"/>
      <c r="H142" s="63"/>
      <c r="I142" s="63"/>
      <c r="J142" s="63"/>
      <c r="K142" s="63"/>
      <c r="L142" s="63"/>
      <c r="M142" s="63"/>
      <c r="N142" s="63"/>
      <c r="O142" s="63"/>
      <c r="P142" s="63"/>
      <c r="Q142" s="63"/>
      <c r="R142" s="87" t="s">
        <v>188</v>
      </c>
      <c r="S142" s="63"/>
      <c r="T142" s="58"/>
    </row>
    <row r="143" spans="2:20" ht="18.75" x14ac:dyDescent="0.3">
      <c r="B143" s="56"/>
      <c r="C143" s="88"/>
      <c r="D143" s="57"/>
      <c r="E143" s="57"/>
      <c r="F143" s="57"/>
      <c r="G143" s="57"/>
      <c r="H143" s="57"/>
      <c r="I143" s="57"/>
      <c r="J143" s="57"/>
      <c r="K143" s="57"/>
      <c r="L143" s="57"/>
      <c r="M143" s="57"/>
      <c r="N143" s="57"/>
      <c r="O143" s="57"/>
      <c r="P143" s="57"/>
      <c r="Q143" s="57"/>
      <c r="R143" s="76"/>
      <c r="S143" s="57"/>
      <c r="T143" s="58"/>
    </row>
    <row r="144" spans="2:20" x14ac:dyDescent="0.25">
      <c r="B144" s="56"/>
      <c r="C144" s="131" t="s">
        <v>215</v>
      </c>
      <c r="D144" s="134"/>
      <c r="E144" s="134"/>
      <c r="F144" s="134"/>
      <c r="G144" s="134"/>
      <c r="H144" s="134"/>
      <c r="I144" s="134"/>
      <c r="J144" s="134"/>
      <c r="K144" s="134"/>
      <c r="L144" s="134"/>
      <c r="M144" s="134"/>
      <c r="N144" s="134"/>
      <c r="O144" s="134"/>
      <c r="P144" s="134"/>
      <c r="Q144" s="134"/>
      <c r="R144" s="134"/>
      <c r="S144" s="134"/>
      <c r="T144" s="58"/>
    </row>
    <row r="145" spans="2:20" x14ac:dyDescent="0.25">
      <c r="B145" s="56"/>
      <c r="C145" s="134"/>
      <c r="D145" s="134"/>
      <c r="E145" s="134"/>
      <c r="F145" s="134"/>
      <c r="G145" s="134"/>
      <c r="H145" s="134"/>
      <c r="I145" s="134"/>
      <c r="J145" s="134"/>
      <c r="K145" s="134"/>
      <c r="L145" s="134"/>
      <c r="M145" s="134"/>
      <c r="N145" s="134"/>
      <c r="O145" s="134"/>
      <c r="P145" s="134"/>
      <c r="Q145" s="134"/>
      <c r="R145" s="134"/>
      <c r="S145" s="134"/>
      <c r="T145" s="58"/>
    </row>
    <row r="146" spans="2:20" x14ac:dyDescent="0.25">
      <c r="B146" s="56"/>
      <c r="C146" s="134"/>
      <c r="D146" s="134"/>
      <c r="E146" s="134"/>
      <c r="F146" s="134"/>
      <c r="G146" s="134"/>
      <c r="H146" s="134"/>
      <c r="I146" s="134"/>
      <c r="J146" s="134"/>
      <c r="K146" s="134"/>
      <c r="L146" s="134"/>
      <c r="M146" s="134"/>
      <c r="N146" s="134"/>
      <c r="O146" s="134"/>
      <c r="P146" s="134"/>
      <c r="Q146" s="134"/>
      <c r="R146" s="134"/>
      <c r="S146" s="134"/>
      <c r="T146" s="58"/>
    </row>
    <row r="147" spans="2:20" x14ac:dyDescent="0.25">
      <c r="B147" s="56"/>
      <c r="C147" s="57"/>
      <c r="D147" s="57"/>
      <c r="E147" s="57"/>
      <c r="F147" s="57"/>
      <c r="G147" s="57"/>
      <c r="H147" s="57"/>
      <c r="I147" s="57"/>
      <c r="J147" s="57"/>
      <c r="K147" s="57"/>
      <c r="L147" s="57"/>
      <c r="M147" s="57"/>
      <c r="N147" s="57"/>
      <c r="O147" s="57"/>
      <c r="P147" s="57"/>
      <c r="Q147" s="57"/>
      <c r="R147" s="57"/>
      <c r="S147" s="57"/>
      <c r="T147" s="58"/>
    </row>
    <row r="148" spans="2:20" ht="18.75" x14ac:dyDescent="0.3">
      <c r="B148" s="56"/>
      <c r="C148" s="98" t="s">
        <v>216</v>
      </c>
      <c r="D148" s="98"/>
      <c r="E148" s="98"/>
      <c r="F148" s="98"/>
      <c r="G148" s="98" t="s">
        <v>218</v>
      </c>
      <c r="H148" s="98"/>
      <c r="I148" s="98"/>
      <c r="J148" s="98"/>
      <c r="K148" s="98"/>
      <c r="L148" s="98"/>
      <c r="M148" s="98"/>
      <c r="N148" s="98"/>
      <c r="O148" s="98"/>
      <c r="P148" s="98"/>
      <c r="Q148" s="98"/>
      <c r="R148" s="98"/>
      <c r="S148" s="98"/>
      <c r="T148" s="58"/>
    </row>
    <row r="149" spans="2:20" x14ac:dyDescent="0.25">
      <c r="B149" s="56"/>
      <c r="C149" s="84" t="s">
        <v>217</v>
      </c>
      <c r="D149" s="57"/>
      <c r="E149" s="57"/>
      <c r="F149" s="55"/>
      <c r="G149" s="61" t="s">
        <v>220</v>
      </c>
      <c r="H149" s="57"/>
      <c r="I149" s="57"/>
      <c r="J149" s="57"/>
      <c r="K149" s="57"/>
      <c r="L149" s="57"/>
      <c r="M149" s="57"/>
      <c r="N149" s="57"/>
      <c r="O149" s="57"/>
      <c r="P149" s="57"/>
      <c r="Q149" s="57"/>
      <c r="R149" s="57"/>
      <c r="S149" s="57"/>
      <c r="T149" s="58"/>
    </row>
    <row r="150" spans="2:20" x14ac:dyDescent="0.25">
      <c r="B150" s="56"/>
      <c r="C150" s="57"/>
      <c r="D150" s="57"/>
      <c r="E150" s="57"/>
      <c r="F150" s="58"/>
      <c r="G150" s="57" t="s">
        <v>221</v>
      </c>
      <c r="H150" s="57"/>
      <c r="I150" s="57"/>
      <c r="J150" s="57"/>
      <c r="K150" s="57"/>
      <c r="L150" s="57"/>
      <c r="M150" s="57"/>
      <c r="N150" s="57"/>
      <c r="O150" s="57"/>
      <c r="P150" s="57"/>
      <c r="Q150" s="57"/>
      <c r="R150" s="57"/>
      <c r="S150" s="57"/>
      <c r="T150" s="58"/>
    </row>
    <row r="151" spans="2:20" x14ac:dyDescent="0.25">
      <c r="B151" s="56"/>
      <c r="C151" s="57"/>
      <c r="D151" s="57"/>
      <c r="E151" s="57"/>
      <c r="F151" s="58"/>
      <c r="G151" s="57" t="s">
        <v>222</v>
      </c>
      <c r="H151" s="57"/>
      <c r="I151" s="57"/>
      <c r="J151" s="57"/>
      <c r="K151" s="57"/>
      <c r="L151" s="57"/>
      <c r="M151" s="57"/>
      <c r="N151" s="57"/>
      <c r="O151" s="57"/>
      <c r="P151" s="57"/>
      <c r="Q151" s="57"/>
      <c r="R151" s="57"/>
      <c r="S151" s="57"/>
      <c r="T151" s="58"/>
    </row>
    <row r="152" spans="2:20" x14ac:dyDescent="0.25">
      <c r="B152" s="56"/>
      <c r="C152" s="63"/>
      <c r="D152" s="63"/>
      <c r="E152" s="63"/>
      <c r="F152" s="64"/>
      <c r="G152" s="81" t="s">
        <v>219</v>
      </c>
      <c r="H152" s="63"/>
      <c r="I152" s="63"/>
      <c r="J152" s="63"/>
      <c r="K152" s="63"/>
      <c r="L152" s="63"/>
      <c r="M152" s="63"/>
      <c r="N152" s="63"/>
      <c r="O152" s="63"/>
      <c r="P152" s="63"/>
      <c r="Q152" s="63"/>
      <c r="R152" s="63"/>
      <c r="S152" s="63"/>
      <c r="T152" s="58"/>
    </row>
    <row r="153" spans="2:20" x14ac:dyDescent="0.25">
      <c r="B153" s="56"/>
      <c r="C153" s="84" t="s">
        <v>223</v>
      </c>
      <c r="D153" s="57"/>
      <c r="E153" s="57"/>
      <c r="F153" s="58"/>
      <c r="G153" s="61" t="s">
        <v>225</v>
      </c>
      <c r="H153" s="57"/>
      <c r="I153" s="57"/>
      <c r="J153" s="57"/>
      <c r="K153" s="57"/>
      <c r="L153" s="57"/>
      <c r="M153" s="57"/>
      <c r="N153" s="57"/>
      <c r="O153" s="57"/>
      <c r="P153" s="57"/>
      <c r="Q153" s="57"/>
      <c r="R153" s="57"/>
      <c r="S153" s="57"/>
      <c r="T153" s="58"/>
    </row>
    <row r="154" spans="2:20" x14ac:dyDescent="0.25">
      <c r="B154" s="56"/>
      <c r="C154" s="57"/>
      <c r="D154" s="57"/>
      <c r="E154" s="57"/>
      <c r="F154" s="58"/>
      <c r="G154" s="85" t="s">
        <v>226</v>
      </c>
      <c r="H154" s="57"/>
      <c r="I154" s="57"/>
      <c r="J154" s="57"/>
      <c r="K154" s="57"/>
      <c r="L154" s="57"/>
      <c r="M154" s="57"/>
      <c r="N154" s="57"/>
      <c r="O154" s="57"/>
      <c r="P154" s="57"/>
      <c r="Q154" s="57"/>
      <c r="R154" s="57"/>
      <c r="S154" s="57"/>
      <c r="T154" s="58"/>
    </row>
    <row r="155" spans="2:20" x14ac:dyDescent="0.25">
      <c r="B155" s="56"/>
      <c r="C155" s="57"/>
      <c r="D155" s="57"/>
      <c r="E155" s="57"/>
      <c r="F155" s="58"/>
      <c r="G155" s="57" t="s">
        <v>227</v>
      </c>
      <c r="H155" s="57"/>
      <c r="I155" s="57"/>
      <c r="J155" s="57"/>
      <c r="K155" s="57"/>
      <c r="L155" s="57"/>
      <c r="M155" s="57"/>
      <c r="N155" s="57"/>
      <c r="O155" s="57"/>
      <c r="P155" s="57"/>
      <c r="Q155" s="57"/>
      <c r="R155" s="57"/>
      <c r="S155" s="57"/>
      <c r="T155" s="58"/>
    </row>
    <row r="156" spans="2:20" x14ac:dyDescent="0.25">
      <c r="B156" s="56"/>
      <c r="C156" s="63"/>
      <c r="D156" s="63"/>
      <c r="E156" s="63"/>
      <c r="F156" s="64"/>
      <c r="G156" s="63" t="s">
        <v>228</v>
      </c>
      <c r="H156" s="63"/>
      <c r="I156" s="63"/>
      <c r="J156" s="63"/>
      <c r="K156" s="63"/>
      <c r="L156" s="63"/>
      <c r="M156" s="63"/>
      <c r="N156" s="63"/>
      <c r="O156" s="63"/>
      <c r="P156" s="63"/>
      <c r="Q156" s="63"/>
      <c r="R156" s="63"/>
      <c r="S156" s="63"/>
      <c r="T156" s="58"/>
    </row>
    <row r="157" spans="2:20" x14ac:dyDescent="0.25">
      <c r="B157" s="56"/>
      <c r="C157" s="84" t="s">
        <v>224</v>
      </c>
      <c r="D157" s="57"/>
      <c r="E157" s="57"/>
      <c r="F157" s="58"/>
      <c r="G157" s="61" t="s">
        <v>229</v>
      </c>
      <c r="H157" s="57"/>
      <c r="I157" s="57"/>
      <c r="J157" s="57"/>
      <c r="K157" s="57"/>
      <c r="L157" s="57"/>
      <c r="M157" s="57"/>
      <c r="N157" s="57"/>
      <c r="O157" s="57"/>
      <c r="P157" s="57"/>
      <c r="Q157" s="57"/>
      <c r="R157" s="57"/>
      <c r="S157" s="57"/>
      <c r="T157" s="58"/>
    </row>
    <row r="158" spans="2:20" x14ac:dyDescent="0.25">
      <c r="B158" s="56"/>
      <c r="C158" s="57"/>
      <c r="D158" s="57"/>
      <c r="E158" s="57"/>
      <c r="F158" s="58"/>
      <c r="G158" s="85" t="s">
        <v>226</v>
      </c>
      <c r="H158" s="57"/>
      <c r="I158" s="57"/>
      <c r="J158" s="57"/>
      <c r="K158" s="57"/>
      <c r="L158" s="57"/>
      <c r="M158" s="57"/>
      <c r="N158" s="57"/>
      <c r="O158" s="57"/>
      <c r="P158" s="57"/>
      <c r="Q158" s="57"/>
      <c r="R158" s="57"/>
      <c r="S158" s="57"/>
      <c r="T158" s="58"/>
    </row>
    <row r="159" spans="2:20" x14ac:dyDescent="0.25">
      <c r="B159" s="56"/>
      <c r="C159" s="57"/>
      <c r="D159" s="57"/>
      <c r="E159" s="57"/>
      <c r="F159" s="58"/>
      <c r="G159" s="57" t="s">
        <v>227</v>
      </c>
      <c r="H159" s="57"/>
      <c r="I159" s="57"/>
      <c r="J159" s="57"/>
      <c r="K159" s="57"/>
      <c r="L159" s="57"/>
      <c r="M159" s="57"/>
      <c r="N159" s="57"/>
      <c r="O159" s="57"/>
      <c r="P159" s="57"/>
      <c r="Q159" s="57"/>
      <c r="R159" s="57"/>
      <c r="S159" s="57"/>
      <c r="T159" s="58"/>
    </row>
    <row r="160" spans="2:20" x14ac:dyDescent="0.25">
      <c r="B160" s="56"/>
      <c r="C160" s="63"/>
      <c r="D160" s="63"/>
      <c r="E160" s="63"/>
      <c r="F160" s="64"/>
      <c r="G160" s="63" t="s">
        <v>228</v>
      </c>
      <c r="H160" s="63"/>
      <c r="I160" s="63"/>
      <c r="J160" s="63"/>
      <c r="K160" s="63"/>
      <c r="L160" s="63"/>
      <c r="M160" s="63"/>
      <c r="N160" s="63"/>
      <c r="O160" s="63"/>
      <c r="P160" s="63"/>
      <c r="Q160" s="63"/>
      <c r="R160" s="63"/>
      <c r="S160" s="63"/>
      <c r="T160" s="58"/>
    </row>
    <row r="161" spans="2:20" x14ac:dyDescent="0.25">
      <c r="B161" s="62"/>
      <c r="C161" s="63"/>
      <c r="D161" s="63"/>
      <c r="E161" s="63"/>
      <c r="F161" s="63"/>
      <c r="G161" s="63"/>
      <c r="H161" s="63"/>
      <c r="I161" s="63"/>
      <c r="J161" s="63"/>
      <c r="K161" s="63"/>
      <c r="L161" s="63"/>
      <c r="M161" s="63"/>
      <c r="N161" s="63"/>
      <c r="O161" s="63"/>
      <c r="P161" s="63"/>
      <c r="Q161" s="63"/>
      <c r="R161" s="63"/>
      <c r="S161" s="63"/>
      <c r="T161" s="64"/>
    </row>
    <row r="163" spans="2:20" x14ac:dyDescent="0.25">
      <c r="B163" s="53"/>
      <c r="C163" s="54"/>
      <c r="D163" s="54"/>
      <c r="E163" s="54"/>
      <c r="F163" s="54"/>
      <c r="G163" s="54"/>
      <c r="H163" s="54"/>
      <c r="I163" s="54"/>
      <c r="J163" s="54"/>
      <c r="K163" s="54"/>
      <c r="L163" s="54"/>
      <c r="M163" s="54"/>
      <c r="N163" s="54"/>
      <c r="O163" s="54"/>
      <c r="P163" s="54"/>
      <c r="Q163" s="54"/>
      <c r="R163" s="54"/>
      <c r="S163" s="54"/>
      <c r="T163" s="55"/>
    </row>
    <row r="164" spans="2:20" ht="23.25" x14ac:dyDescent="0.35">
      <c r="B164" s="56"/>
      <c r="C164" s="72" t="s">
        <v>230</v>
      </c>
      <c r="D164" s="72"/>
      <c r="E164" s="72"/>
      <c r="F164" s="72"/>
      <c r="G164" s="72"/>
      <c r="H164" s="72"/>
      <c r="I164" s="72"/>
      <c r="J164" s="72"/>
      <c r="K164" s="72"/>
      <c r="L164" s="72"/>
      <c r="M164" s="72"/>
      <c r="N164" s="72"/>
      <c r="O164" s="72"/>
      <c r="P164" s="72"/>
      <c r="Q164" s="72"/>
      <c r="R164" s="99"/>
      <c r="S164" s="72"/>
      <c r="T164" s="58"/>
    </row>
    <row r="165" spans="2:20" x14ac:dyDescent="0.25">
      <c r="B165" s="56"/>
      <c r="C165" s="57"/>
      <c r="D165" s="57"/>
      <c r="E165" s="57"/>
      <c r="F165" s="57"/>
      <c r="G165" s="57"/>
      <c r="H165" s="57"/>
      <c r="I165" s="57"/>
      <c r="J165" s="57"/>
      <c r="K165" s="57"/>
      <c r="L165" s="57"/>
      <c r="M165" s="57"/>
      <c r="N165" s="57"/>
      <c r="O165" s="57"/>
      <c r="P165" s="57"/>
      <c r="Q165" s="57"/>
      <c r="R165" s="76" t="s">
        <v>188</v>
      </c>
      <c r="S165" s="57"/>
      <c r="T165" s="58"/>
    </row>
    <row r="166" spans="2:20" x14ac:dyDescent="0.25">
      <c r="B166" s="56"/>
      <c r="C166" s="131" t="s">
        <v>231</v>
      </c>
      <c r="D166" s="134"/>
      <c r="E166" s="134"/>
      <c r="F166" s="134"/>
      <c r="G166" s="134"/>
      <c r="H166" s="134"/>
      <c r="I166" s="134"/>
      <c r="J166" s="134"/>
      <c r="K166" s="134"/>
      <c r="L166" s="134"/>
      <c r="M166" s="134"/>
      <c r="N166" s="134"/>
      <c r="O166" s="134"/>
      <c r="P166" s="134"/>
      <c r="Q166" s="134"/>
      <c r="R166" s="134"/>
      <c r="S166" s="134"/>
      <c r="T166" s="58"/>
    </row>
    <row r="167" spans="2:20" x14ac:dyDescent="0.25">
      <c r="B167" s="56"/>
      <c r="C167" s="134"/>
      <c r="D167" s="134"/>
      <c r="E167" s="134"/>
      <c r="F167" s="134"/>
      <c r="G167" s="134"/>
      <c r="H167" s="134"/>
      <c r="I167" s="134"/>
      <c r="J167" s="134"/>
      <c r="K167" s="134"/>
      <c r="L167" s="134"/>
      <c r="M167" s="134"/>
      <c r="N167" s="134"/>
      <c r="O167" s="134"/>
      <c r="P167" s="134"/>
      <c r="Q167" s="134"/>
      <c r="R167" s="134"/>
      <c r="S167" s="134"/>
      <c r="T167" s="58"/>
    </row>
    <row r="168" spans="2:20" x14ac:dyDescent="0.25">
      <c r="B168" s="56"/>
      <c r="C168" s="134"/>
      <c r="D168" s="134"/>
      <c r="E168" s="134"/>
      <c r="F168" s="134"/>
      <c r="G168" s="134"/>
      <c r="H168" s="134"/>
      <c r="I168" s="134"/>
      <c r="J168" s="134"/>
      <c r="K168" s="134"/>
      <c r="L168" s="134"/>
      <c r="M168" s="134"/>
      <c r="N168" s="134"/>
      <c r="O168" s="134"/>
      <c r="P168" s="134"/>
      <c r="Q168" s="134"/>
      <c r="R168" s="134"/>
      <c r="S168" s="134"/>
      <c r="T168" s="58"/>
    </row>
    <row r="169" spans="2:20" x14ac:dyDescent="0.25">
      <c r="B169" s="56"/>
      <c r="C169" s="57"/>
      <c r="D169" s="57"/>
      <c r="E169" s="57"/>
      <c r="F169" s="57"/>
      <c r="G169" s="57"/>
      <c r="H169" s="57"/>
      <c r="I169" s="57"/>
      <c r="J169" s="57"/>
      <c r="K169" s="57"/>
      <c r="L169" s="57"/>
      <c r="M169" s="57"/>
      <c r="N169" s="57"/>
      <c r="O169" s="57"/>
      <c r="P169" s="57"/>
      <c r="Q169" s="57"/>
      <c r="R169" s="57"/>
      <c r="S169" s="57"/>
      <c r="T169" s="58"/>
    </row>
    <row r="170" spans="2:20" ht="18.75" x14ac:dyDescent="0.3">
      <c r="B170" s="56"/>
      <c r="C170" s="100" t="s">
        <v>216</v>
      </c>
      <c r="D170" s="100"/>
      <c r="E170" s="100"/>
      <c r="F170" s="100" t="s">
        <v>233</v>
      </c>
      <c r="G170" s="100"/>
      <c r="H170" s="100"/>
      <c r="I170" s="100"/>
      <c r="J170" s="100"/>
      <c r="K170" s="100"/>
      <c r="L170" s="100"/>
      <c r="M170" s="100" t="s">
        <v>234</v>
      </c>
      <c r="N170" s="100"/>
      <c r="O170" s="100"/>
      <c r="P170" s="100"/>
      <c r="Q170" s="100"/>
      <c r="R170" s="100"/>
      <c r="S170" s="100"/>
      <c r="T170" s="58"/>
    </row>
    <row r="171" spans="2:20" ht="15" customHeight="1" x14ac:dyDescent="0.25">
      <c r="B171" s="56"/>
      <c r="C171" s="84" t="s">
        <v>232</v>
      </c>
      <c r="D171" s="57"/>
      <c r="E171" s="58"/>
      <c r="F171" s="142" t="s">
        <v>235</v>
      </c>
      <c r="G171" s="131"/>
      <c r="H171" s="131"/>
      <c r="I171" s="131"/>
      <c r="J171" s="131"/>
      <c r="K171" s="131"/>
      <c r="L171" s="143"/>
      <c r="M171" s="57"/>
      <c r="N171" s="57"/>
      <c r="O171" s="57"/>
      <c r="P171" s="57"/>
      <c r="Q171" s="57"/>
      <c r="R171" s="57"/>
      <c r="S171" s="57"/>
      <c r="T171" s="58"/>
    </row>
    <row r="172" spans="2:20" x14ac:dyDescent="0.25">
      <c r="B172" s="56"/>
      <c r="C172" s="57"/>
      <c r="D172" s="57"/>
      <c r="E172" s="58"/>
      <c r="F172" s="142"/>
      <c r="G172" s="131"/>
      <c r="H172" s="131"/>
      <c r="I172" s="131"/>
      <c r="J172" s="131"/>
      <c r="K172" s="131"/>
      <c r="L172" s="143"/>
      <c r="M172" s="57"/>
      <c r="N172" s="57"/>
      <c r="O172" s="57"/>
      <c r="P172" s="57"/>
      <c r="Q172" s="57"/>
      <c r="R172" s="57"/>
      <c r="S172" s="57"/>
      <c r="T172" s="58"/>
    </row>
    <row r="173" spans="2:20" x14ac:dyDescent="0.25">
      <c r="B173" s="56"/>
      <c r="C173" s="57"/>
      <c r="D173" s="57"/>
      <c r="E173" s="58"/>
      <c r="F173" s="142"/>
      <c r="G173" s="131"/>
      <c r="H173" s="131"/>
      <c r="I173" s="131"/>
      <c r="J173" s="131"/>
      <c r="K173" s="131"/>
      <c r="L173" s="143"/>
      <c r="M173" s="57"/>
      <c r="N173" s="57"/>
      <c r="O173" s="57"/>
      <c r="P173" s="57"/>
      <c r="Q173" s="57"/>
      <c r="R173" s="57"/>
      <c r="S173" s="57"/>
      <c r="T173" s="58"/>
    </row>
    <row r="174" spans="2:20" x14ac:dyDescent="0.25">
      <c r="B174" s="56"/>
      <c r="C174" s="63"/>
      <c r="D174" s="63"/>
      <c r="E174" s="64"/>
      <c r="F174" s="144"/>
      <c r="G174" s="132"/>
      <c r="H174" s="132"/>
      <c r="I174" s="132"/>
      <c r="J174" s="132"/>
      <c r="K174" s="132"/>
      <c r="L174" s="145"/>
      <c r="M174" s="63"/>
      <c r="N174" s="63"/>
      <c r="O174" s="63"/>
      <c r="P174" s="63"/>
      <c r="Q174" s="63"/>
      <c r="R174" s="63"/>
      <c r="S174" s="63"/>
      <c r="T174" s="58"/>
    </row>
    <row r="175" spans="2:20" ht="15" customHeight="1" x14ac:dyDescent="0.25">
      <c r="B175" s="56"/>
      <c r="C175" s="101" t="s">
        <v>236</v>
      </c>
      <c r="D175" s="54"/>
      <c r="E175" s="55"/>
      <c r="F175" s="139" t="s">
        <v>237</v>
      </c>
      <c r="G175" s="140"/>
      <c r="H175" s="140"/>
      <c r="I175" s="140"/>
      <c r="J175" s="140"/>
      <c r="K175" s="140"/>
      <c r="L175" s="141"/>
      <c r="M175" s="130" t="s">
        <v>238</v>
      </c>
      <c r="N175" s="130"/>
      <c r="O175" s="130"/>
      <c r="P175" s="130"/>
      <c r="Q175" s="130"/>
      <c r="R175" s="130"/>
      <c r="S175" s="130"/>
      <c r="T175" s="58"/>
    </row>
    <row r="176" spans="2:20" x14ac:dyDescent="0.25">
      <c r="B176" s="56"/>
      <c r="C176" s="57"/>
      <c r="D176" s="57"/>
      <c r="E176" s="58"/>
      <c r="F176" s="133"/>
      <c r="G176" s="134"/>
      <c r="H176" s="134"/>
      <c r="I176" s="134"/>
      <c r="J176" s="134"/>
      <c r="K176" s="134"/>
      <c r="L176" s="135"/>
      <c r="M176" s="131"/>
      <c r="N176" s="131"/>
      <c r="O176" s="131"/>
      <c r="P176" s="131"/>
      <c r="Q176" s="131"/>
      <c r="R176" s="131"/>
      <c r="S176" s="131"/>
      <c r="T176" s="58"/>
    </row>
    <row r="177" spans="2:20" x14ac:dyDescent="0.25">
      <c r="B177" s="56"/>
      <c r="C177" s="57"/>
      <c r="D177" s="57"/>
      <c r="E177" s="58"/>
      <c r="F177" s="133"/>
      <c r="G177" s="134"/>
      <c r="H177" s="134"/>
      <c r="I177" s="134"/>
      <c r="J177" s="134"/>
      <c r="K177" s="134"/>
      <c r="L177" s="135"/>
      <c r="M177" s="131"/>
      <c r="N177" s="131"/>
      <c r="O177" s="131"/>
      <c r="P177" s="131"/>
      <c r="Q177" s="131"/>
      <c r="R177" s="131"/>
      <c r="S177" s="131"/>
      <c r="T177" s="58"/>
    </row>
    <row r="178" spans="2:20" ht="15" customHeight="1" x14ac:dyDescent="0.25">
      <c r="B178" s="56"/>
      <c r="C178" s="63"/>
      <c r="D178" s="63"/>
      <c r="E178" s="64"/>
      <c r="F178" s="136"/>
      <c r="G178" s="137"/>
      <c r="H178" s="137"/>
      <c r="I178" s="137"/>
      <c r="J178" s="137"/>
      <c r="K178" s="137"/>
      <c r="L178" s="138"/>
      <c r="M178" s="131"/>
      <c r="N178" s="131"/>
      <c r="O178" s="131"/>
      <c r="P178" s="131"/>
      <c r="Q178" s="131"/>
      <c r="R178" s="131"/>
      <c r="S178" s="131"/>
      <c r="T178" s="58"/>
    </row>
    <row r="179" spans="2:20" x14ac:dyDescent="0.25">
      <c r="B179" s="56"/>
      <c r="C179" s="84" t="s">
        <v>239</v>
      </c>
      <c r="D179" s="57"/>
      <c r="E179" s="58"/>
      <c r="F179" s="133" t="s">
        <v>237</v>
      </c>
      <c r="G179" s="134"/>
      <c r="H179" s="134"/>
      <c r="I179" s="134"/>
      <c r="J179" s="134"/>
      <c r="K179" s="134"/>
      <c r="L179" s="135"/>
      <c r="M179" s="131"/>
      <c r="N179" s="131"/>
      <c r="O179" s="131"/>
      <c r="P179" s="131"/>
      <c r="Q179" s="131"/>
      <c r="R179" s="131"/>
      <c r="S179" s="131"/>
      <c r="T179" s="58"/>
    </row>
    <row r="180" spans="2:20" x14ac:dyDescent="0.25">
      <c r="B180" s="56"/>
      <c r="C180" s="57"/>
      <c r="D180" s="57"/>
      <c r="E180" s="58"/>
      <c r="F180" s="133"/>
      <c r="G180" s="134"/>
      <c r="H180" s="134"/>
      <c r="I180" s="134"/>
      <c r="J180" s="134"/>
      <c r="K180" s="134"/>
      <c r="L180" s="135"/>
      <c r="M180" s="131"/>
      <c r="N180" s="131"/>
      <c r="O180" s="131"/>
      <c r="P180" s="131"/>
      <c r="Q180" s="131"/>
      <c r="R180" s="131"/>
      <c r="S180" s="131"/>
      <c r="T180" s="58"/>
    </row>
    <row r="181" spans="2:20" x14ac:dyDescent="0.25">
      <c r="B181" s="56"/>
      <c r="C181" s="57"/>
      <c r="D181" s="57"/>
      <c r="E181" s="58"/>
      <c r="F181" s="133"/>
      <c r="G181" s="134"/>
      <c r="H181" s="134"/>
      <c r="I181" s="134"/>
      <c r="J181" s="134"/>
      <c r="K181" s="134"/>
      <c r="L181" s="135"/>
      <c r="M181" s="131"/>
      <c r="N181" s="131"/>
      <c r="O181" s="131"/>
      <c r="P181" s="131"/>
      <c r="Q181" s="131"/>
      <c r="R181" s="131"/>
      <c r="S181" s="131"/>
      <c r="T181" s="58"/>
    </row>
    <row r="182" spans="2:20" x14ac:dyDescent="0.25">
      <c r="B182" s="56"/>
      <c r="C182" s="63"/>
      <c r="D182" s="63"/>
      <c r="E182" s="64"/>
      <c r="F182" s="136"/>
      <c r="G182" s="137"/>
      <c r="H182" s="137"/>
      <c r="I182" s="137"/>
      <c r="J182" s="137"/>
      <c r="K182" s="137"/>
      <c r="L182" s="138"/>
      <c r="M182" s="132"/>
      <c r="N182" s="132"/>
      <c r="O182" s="132"/>
      <c r="P182" s="132"/>
      <c r="Q182" s="132"/>
      <c r="R182" s="132"/>
      <c r="S182" s="132"/>
      <c r="T182" s="58"/>
    </row>
    <row r="183" spans="2:20" x14ac:dyDescent="0.25">
      <c r="B183" s="62"/>
      <c r="C183" s="63"/>
      <c r="D183" s="63"/>
      <c r="E183" s="63"/>
      <c r="F183" s="63"/>
      <c r="G183" s="63"/>
      <c r="H183" s="63"/>
      <c r="I183" s="63"/>
      <c r="J183" s="63"/>
      <c r="K183" s="63"/>
      <c r="L183" s="63"/>
      <c r="M183" s="63"/>
      <c r="N183" s="63"/>
      <c r="O183" s="63"/>
      <c r="P183" s="63"/>
      <c r="Q183" s="63"/>
      <c r="R183" s="63"/>
      <c r="S183" s="63"/>
      <c r="T183" s="64"/>
    </row>
  </sheetData>
  <sheetProtection algorithmName="SHA-512" hashValue="Emv4NeYgmjgjpCIRlTy/QTpfM0xbEB+dXu4HraiNHNWW9ewLQSz1nV17ntqcJIhXIto40sgmUOzU3XNc+3g6zQ==" saltValue="qKMl/SujXfBtJHsGsN32TA==" spinCount="100000" sheet="1" objects="1" scenarios="1"/>
  <mergeCells count="25">
    <mergeCell ref="C23:S33"/>
    <mergeCell ref="C35:S42"/>
    <mergeCell ref="C43:F43"/>
    <mergeCell ref="G43:S43"/>
    <mergeCell ref="C75:D78"/>
    <mergeCell ref="C89:D92"/>
    <mergeCell ref="C53:S55"/>
    <mergeCell ref="C44:F44"/>
    <mergeCell ref="C45:F45"/>
    <mergeCell ref="C46:F46"/>
    <mergeCell ref="G44:S44"/>
    <mergeCell ref="G45:S45"/>
    <mergeCell ref="G46:S46"/>
    <mergeCell ref="C58:S59"/>
    <mergeCell ref="C105:S113"/>
    <mergeCell ref="C116:S117"/>
    <mergeCell ref="F133:S134"/>
    <mergeCell ref="C133:D134"/>
    <mergeCell ref="E133:E134"/>
    <mergeCell ref="M175:S182"/>
    <mergeCell ref="F179:L182"/>
    <mergeCell ref="F175:L178"/>
    <mergeCell ref="C144:S146"/>
    <mergeCell ref="C166:S168"/>
    <mergeCell ref="F171:L174"/>
  </mergeCells>
  <hyperlinks>
    <hyperlink ref="C149" location="'Comparison Population'!A1" display="Comparison Population" xr:uid="{3561EB59-8BA3-4C60-B81F-E4B73DDA2126}"/>
    <hyperlink ref="C153" location="'Sec Enrollment'!A1" display="Sec Enrollment" xr:uid="{4059B011-E92C-4BFF-B265-0908BDFA2A76}"/>
    <hyperlink ref="C157" location="'PS Enrollment'!A1" display="PS Enrollment" xr:uid="{7F0810C9-C643-4EAA-A3FF-1FE5730BA55F}"/>
    <hyperlink ref="R165" location="Instructions!A1" display="(Return to Top)" xr:uid="{441C58B6-C889-4C81-8B29-47600DB61C84}"/>
    <hyperlink ref="C171" location="Dashboard!A1" display="Dashboard" xr:uid="{9497F7D9-25D8-48CD-BE83-8B517BE305FC}"/>
    <hyperlink ref="C175" location="'Heatmap (Sec)'!A1" display="Heatmap (Sec)" xr:uid="{259A743D-3E7C-44F6-8CA4-7590FD64FE0C}"/>
    <hyperlink ref="C179" location="'Heatmap (PS)'!A1" display="Heatmap (PS)" xr:uid="{3F3FF0D9-924D-4264-91B3-1DA256DD73B9}"/>
    <hyperlink ref="C16" location="Instructions!A162" display="Analyzing Your Data" xr:uid="{05FE57D5-B6C6-4DDE-8B3E-9F4986D7AEE7}"/>
    <hyperlink ref="D15" location="Instructions!A141" display="Entering Your Data" xr:uid="{75720357-CF78-478D-86EE-5A4DD06E293A}"/>
    <hyperlink ref="D14" location="Instructions!A114" display="Data Fields Key" xr:uid="{388F0323-1CCE-4F41-AC94-DCF40C002C80}"/>
    <hyperlink ref="D13" location="Instructions!A102" display="Identifying a Comparison Population" xr:uid="{C26A15FD-83D5-4F7A-95DC-666B44C5B1FE}"/>
    <hyperlink ref="D12" location="Instructions!A56" display="Gathering Your Data" xr:uid="{25BCB064-0EAB-4FF3-9B60-987777764ACD}"/>
    <hyperlink ref="D11" location="Instructions!A50" display="Participants vs. Concentrators" xr:uid="{E35B32D5-D35F-495C-A053-08A364FB0FB1}"/>
    <hyperlink ref="C10" location="Instructions!A48" display="Entering Your Data" xr:uid="{518DC274-EEA8-40F8-B9A1-FB1275D9361F}"/>
    <hyperlink ref="D9" location="Instructions!A33" display="What Is A Proportionality Gap Analysis? " xr:uid="{DA6A51FF-9D32-4949-9CD0-B94E47AB558A}"/>
    <hyperlink ref="D8" location="Instructions!A20" display="Purpose" xr:uid="{6DD843CD-2DF2-4159-9905-9CD43D3B32B2}"/>
    <hyperlink ref="C7" location="Instructions!A18" display="Introduction" xr:uid="{C51E679E-76F4-4ED9-AEE9-F67DCCF4C26C}"/>
    <hyperlink ref="R142" location="Instructions!A1" display="(Return to Top)" xr:uid="{1C512CC4-1FE7-475B-BE7B-8B21701D3FD1}"/>
    <hyperlink ref="R115" location="Instructions!A1" display="(Return to Top)" xr:uid="{4D55B4D4-9FC3-4877-A9BB-9EF5A4CF4FF5}"/>
    <hyperlink ref="R103" location="Instructions!A1" display="(Return to Top)" xr:uid="{3A5CE6CC-AEF2-4583-91A0-BD936CB5C00B}"/>
    <hyperlink ref="R57" location="Instructions!A1" display="(Return to Top)" xr:uid="{5B728A0F-95B2-4844-B072-F0A1A57E1A3C}"/>
    <hyperlink ref="R51" location="Instructions!A1" display="(Return to Top)" xr:uid="{9794C0E7-A558-4811-B6BD-F29A80794E64}"/>
    <hyperlink ref="R34" location="Instructions!A1" display="(Return to Top)" xr:uid="{234967FA-8ABD-4510-BD93-0BC766583020}"/>
    <hyperlink ref="R21" location="Instructions!A1" display="(Return to Top)" xr:uid="{C1B093E4-D9BF-4025-93E0-60142CD41E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F130-7D16-4F2D-ACA2-68086E05A466}">
  <dimension ref="B1:AE117"/>
  <sheetViews>
    <sheetView showGridLines="0" tabSelected="1" zoomScaleNormal="100" workbookViewId="0">
      <selection activeCell="D82" sqref="D82"/>
    </sheetView>
  </sheetViews>
  <sheetFormatPr defaultRowHeight="15" x14ac:dyDescent="0.25"/>
  <cols>
    <col min="1" max="1" width="3" style="40" customWidth="1"/>
    <col min="2" max="2" width="1.28515625" style="40" customWidth="1"/>
    <col min="3" max="3" width="50.5703125" style="40" customWidth="1"/>
    <col min="4" max="4" width="47.42578125" style="40" customWidth="1"/>
    <col min="5" max="5" width="1.85546875" style="40" customWidth="1"/>
    <col min="6" max="20" width="5.7109375" style="40" customWidth="1"/>
    <col min="21" max="25" width="9.140625" style="40" customWidth="1"/>
    <col min="26" max="30" width="9.140625" style="40"/>
    <col min="31" max="31" width="2.140625" style="40" customWidth="1"/>
    <col min="32" max="16384" width="9.140625" style="40"/>
  </cols>
  <sheetData>
    <row r="1" spans="2:31" ht="15.75" thickBot="1" x14ac:dyDescent="0.3"/>
    <row r="2" spans="2:31" x14ac:dyDescent="0.25">
      <c r="B2" s="102"/>
      <c r="C2" s="103"/>
      <c r="D2" s="103"/>
      <c r="E2" s="104"/>
    </row>
    <row r="3" spans="2:31" ht="23.25" x14ac:dyDescent="0.35">
      <c r="B3" s="105"/>
      <c r="C3" s="162" t="s">
        <v>136</v>
      </c>
      <c r="D3" s="162"/>
      <c r="E3" s="106"/>
    </row>
    <row r="4" spans="2:31" ht="81.75" customHeight="1" x14ac:dyDescent="0.25">
      <c r="B4" s="105"/>
      <c r="C4" s="160" t="s">
        <v>138</v>
      </c>
      <c r="D4" s="161"/>
      <c r="E4" s="106"/>
    </row>
    <row r="5" spans="2:31" ht="15.75" x14ac:dyDescent="0.25">
      <c r="B5" s="105"/>
      <c r="C5" s="163" t="s">
        <v>137</v>
      </c>
      <c r="D5" s="163"/>
      <c r="E5" s="106"/>
    </row>
    <row r="6" spans="2:31" ht="50.1" customHeight="1" x14ac:dyDescent="0.25">
      <c r="B6" s="105"/>
      <c r="C6" s="107" t="s">
        <v>133</v>
      </c>
      <c r="D6" s="108" t="s">
        <v>139</v>
      </c>
      <c r="E6" s="106"/>
    </row>
    <row r="7" spans="2:31" ht="50.1" customHeight="1" x14ac:dyDescent="0.25">
      <c r="B7" s="105"/>
      <c r="C7" s="107" t="s">
        <v>134</v>
      </c>
      <c r="D7" s="108" t="s">
        <v>140</v>
      </c>
      <c r="E7" s="106"/>
    </row>
    <row r="8" spans="2:31" ht="50.1" customHeight="1" x14ac:dyDescent="0.25">
      <c r="B8" s="105"/>
      <c r="C8" s="107" t="s">
        <v>135</v>
      </c>
      <c r="D8" s="108" t="s">
        <v>141</v>
      </c>
      <c r="E8" s="106"/>
    </row>
    <row r="9" spans="2:31" ht="10.5" customHeight="1" thickBot="1" x14ac:dyDescent="0.3">
      <c r="B9" s="109"/>
      <c r="C9" s="110"/>
      <c r="D9" s="111"/>
      <c r="E9" s="112"/>
    </row>
    <row r="11" spans="2:31" x14ac:dyDescent="0.25">
      <c r="B11" s="53"/>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row>
    <row r="12" spans="2:31" ht="23.25" x14ac:dyDescent="0.35">
      <c r="B12" s="56"/>
      <c r="C12" s="52" t="s">
        <v>142</v>
      </c>
      <c r="D12" s="49"/>
      <c r="E12" s="49"/>
      <c r="F12" s="166" t="s">
        <v>188</v>
      </c>
      <c r="G12" s="166"/>
      <c r="H12" s="166"/>
      <c r="I12" s="49"/>
      <c r="J12" s="49"/>
      <c r="K12" s="49"/>
      <c r="L12" s="49"/>
      <c r="M12" s="49"/>
      <c r="N12" s="49"/>
      <c r="O12" s="49"/>
      <c r="P12" s="49"/>
      <c r="Q12" s="49"/>
      <c r="R12" s="49"/>
      <c r="S12" s="49"/>
      <c r="T12" s="49"/>
      <c r="U12" s="49"/>
      <c r="V12" s="49"/>
      <c r="W12" s="49"/>
      <c r="X12" s="49"/>
      <c r="Y12" s="49"/>
      <c r="Z12" s="49"/>
      <c r="AA12" s="50"/>
      <c r="AB12" s="50"/>
      <c r="AC12" s="50"/>
      <c r="AD12" s="50"/>
      <c r="AE12" s="58"/>
    </row>
    <row r="13" spans="2:31" x14ac:dyDescent="0.25">
      <c r="B13" s="56"/>
      <c r="C13" s="164"/>
      <c r="D13" s="164"/>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row>
    <row r="14" spans="2:31" x14ac:dyDescent="0.25">
      <c r="B14" s="56"/>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8"/>
    </row>
    <row r="15" spans="2:31" x14ac:dyDescent="0.25">
      <c r="B15" s="56"/>
      <c r="C15" s="59" t="s">
        <v>143</v>
      </c>
      <c r="D15" s="57"/>
      <c r="E15" s="59" t="s">
        <v>144</v>
      </c>
      <c r="F15" s="57"/>
      <c r="G15" s="57"/>
      <c r="H15" s="57"/>
      <c r="I15" s="57"/>
      <c r="J15" s="57"/>
      <c r="K15" s="57"/>
      <c r="L15" s="57"/>
      <c r="M15" s="57"/>
      <c r="N15" s="57"/>
      <c r="O15" s="57"/>
      <c r="P15" s="57"/>
      <c r="Q15" s="57"/>
      <c r="R15" s="57"/>
      <c r="S15" s="57"/>
      <c r="T15" s="57"/>
      <c r="U15" s="57"/>
      <c r="V15" s="59" t="s">
        <v>145</v>
      </c>
      <c r="W15" s="57"/>
      <c r="X15" s="57"/>
      <c r="Y15" s="57"/>
      <c r="Z15" s="57"/>
      <c r="AA15" s="57"/>
      <c r="AB15" s="57"/>
      <c r="AC15" s="57"/>
      <c r="AD15" s="57"/>
      <c r="AE15" s="58"/>
    </row>
    <row r="16" spans="2:31" x14ac:dyDescent="0.25">
      <c r="B16" s="56"/>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8"/>
    </row>
    <row r="17" spans="2:31" x14ac:dyDescent="0.25">
      <c r="B17" s="56"/>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8"/>
    </row>
    <row r="18" spans="2:31" x14ac:dyDescent="0.25">
      <c r="B18" s="56"/>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8"/>
    </row>
    <row r="19" spans="2:31" x14ac:dyDescent="0.25">
      <c r="B19" s="56"/>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8"/>
    </row>
    <row r="20" spans="2:31" x14ac:dyDescent="0.25">
      <c r="B20" s="56"/>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row>
    <row r="21" spans="2:31" x14ac:dyDescent="0.25">
      <c r="B21" s="56"/>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8"/>
    </row>
    <row r="22" spans="2:31" x14ac:dyDescent="0.25">
      <c r="B22" s="56"/>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8"/>
    </row>
    <row r="23" spans="2:31" x14ac:dyDescent="0.25">
      <c r="B23" s="56"/>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8"/>
    </row>
    <row r="24" spans="2:31" x14ac:dyDescent="0.25">
      <c r="B24" s="56"/>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8"/>
    </row>
    <row r="25" spans="2:31" x14ac:dyDescent="0.25">
      <c r="B25" s="56"/>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8"/>
    </row>
    <row r="26" spans="2:31" hidden="1" x14ac:dyDescent="0.25">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8"/>
    </row>
    <row r="27" spans="2:31" hidden="1" x14ac:dyDescent="0.25">
      <c r="B27" s="56"/>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8"/>
    </row>
    <row r="28" spans="2:31" hidden="1" x14ac:dyDescent="0.25">
      <c r="B28" s="56"/>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8"/>
    </row>
    <row r="29" spans="2:31" hidden="1" x14ac:dyDescent="0.25">
      <c r="B29" s="56"/>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8"/>
    </row>
    <row r="30" spans="2:31" hidden="1" x14ac:dyDescent="0.25">
      <c r="B30" s="56"/>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8"/>
    </row>
    <row r="31" spans="2:31" hidden="1" x14ac:dyDescent="0.25">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8"/>
    </row>
    <row r="32" spans="2:31" hidden="1" x14ac:dyDescent="0.25">
      <c r="B32" s="56"/>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8"/>
    </row>
    <row r="33" spans="2:31" hidden="1" x14ac:dyDescent="0.25">
      <c r="B33" s="56"/>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8"/>
    </row>
    <row r="34" spans="2:31" hidden="1" x14ac:dyDescent="0.25">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8"/>
    </row>
    <row r="35" spans="2:31" hidden="1" x14ac:dyDescent="0.25">
      <c r="B35" s="56"/>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8"/>
    </row>
    <row r="36" spans="2:31" hidden="1" x14ac:dyDescent="0.25">
      <c r="B36" s="56"/>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8"/>
    </row>
    <row r="37" spans="2:31" x14ac:dyDescent="0.25">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8"/>
    </row>
    <row r="38" spans="2:31" x14ac:dyDescent="0.25">
      <c r="B38" s="56"/>
      <c r="C38" s="60" t="s">
        <v>146</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8"/>
    </row>
    <row r="39" spans="2:31" x14ac:dyDescent="0.25">
      <c r="B39" s="56"/>
      <c r="C39" s="57" t="s">
        <v>147</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8"/>
    </row>
    <row r="40" spans="2:31" x14ac:dyDescent="0.25">
      <c r="B40" s="56"/>
      <c r="C40" s="61" t="s">
        <v>148</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8"/>
    </row>
    <row r="41" spans="2:31" x14ac:dyDescent="0.25">
      <c r="B41" s="56"/>
      <c r="C41" s="57" t="s">
        <v>149</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8"/>
    </row>
    <row r="42" spans="2:31" x14ac:dyDescent="0.25">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4"/>
    </row>
    <row r="44" spans="2:31" x14ac:dyDescent="0.25">
      <c r="B44" s="53"/>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5"/>
    </row>
    <row r="45" spans="2:31" ht="23.25" x14ac:dyDescent="0.35">
      <c r="B45" s="56"/>
      <c r="C45" s="66" t="s">
        <v>134</v>
      </c>
      <c r="D45" s="67"/>
      <c r="E45" s="67"/>
      <c r="F45" s="165" t="s">
        <v>188</v>
      </c>
      <c r="G45" s="165"/>
      <c r="H45" s="165"/>
      <c r="I45" s="67"/>
      <c r="J45" s="67"/>
      <c r="K45" s="67"/>
      <c r="L45" s="67"/>
      <c r="M45" s="67"/>
      <c r="N45" s="67"/>
      <c r="O45" s="67"/>
      <c r="P45" s="67"/>
      <c r="Q45" s="67"/>
      <c r="R45" s="67"/>
      <c r="S45" s="67"/>
      <c r="T45" s="67"/>
      <c r="U45" s="67"/>
      <c r="V45" s="67"/>
      <c r="W45" s="67"/>
      <c r="X45" s="67"/>
      <c r="Y45" s="67"/>
      <c r="Z45" s="67"/>
      <c r="AA45" s="68"/>
      <c r="AB45" s="68"/>
      <c r="AC45" s="68"/>
      <c r="AD45" s="68"/>
      <c r="AE45" s="58"/>
    </row>
    <row r="46" spans="2:31" x14ac:dyDescent="0.25">
      <c r="B46" s="56"/>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8"/>
    </row>
    <row r="47" spans="2:31" x14ac:dyDescent="0.25">
      <c r="B47" s="56"/>
      <c r="C47" s="59" t="s">
        <v>150</v>
      </c>
      <c r="D47" s="57"/>
      <c r="E47" s="59" t="s">
        <v>151</v>
      </c>
      <c r="F47" s="57"/>
      <c r="G47" s="57"/>
      <c r="H47" s="57"/>
      <c r="I47" s="57"/>
      <c r="J47" s="57"/>
      <c r="K47" s="57"/>
      <c r="L47" s="57"/>
      <c r="M47" s="57"/>
      <c r="N47" s="57"/>
      <c r="O47" s="57"/>
      <c r="P47" s="57"/>
      <c r="Q47" s="57"/>
      <c r="R47" s="57"/>
      <c r="S47" s="57"/>
      <c r="T47" s="57"/>
      <c r="U47" s="57"/>
      <c r="V47" s="59" t="s">
        <v>152</v>
      </c>
      <c r="W47" s="57"/>
      <c r="X47" s="57"/>
      <c r="Y47" s="57"/>
      <c r="Z47" s="57"/>
      <c r="AA47" s="57"/>
      <c r="AB47" s="57"/>
      <c r="AC47" s="57"/>
      <c r="AD47" s="57"/>
      <c r="AE47" s="58"/>
    </row>
    <row r="48" spans="2:31" x14ac:dyDescent="0.25">
      <c r="B48" s="56"/>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8"/>
    </row>
    <row r="49" spans="2:31" x14ac:dyDescent="0.25">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8"/>
    </row>
    <row r="50" spans="2:31" x14ac:dyDescent="0.25">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8"/>
    </row>
    <row r="51" spans="2:31" x14ac:dyDescent="0.25">
      <c r="B51" s="56"/>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8"/>
    </row>
    <row r="52" spans="2:31" x14ac:dyDescent="0.25">
      <c r="B52" s="56"/>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8"/>
    </row>
    <row r="53" spans="2:31" x14ac:dyDescent="0.25">
      <c r="B53" s="56"/>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8"/>
    </row>
    <row r="54" spans="2:31" x14ac:dyDescent="0.25">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8"/>
    </row>
    <row r="55" spans="2:31" x14ac:dyDescent="0.25">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8"/>
    </row>
    <row r="56" spans="2:31" x14ac:dyDescent="0.25">
      <c r="B56" s="56"/>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8"/>
    </row>
    <row r="57" spans="2:31" x14ac:dyDescent="0.25">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8"/>
    </row>
    <row r="58" spans="2:31" hidden="1" x14ac:dyDescent="0.25">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8"/>
    </row>
    <row r="59" spans="2:31" hidden="1" x14ac:dyDescent="0.25">
      <c r="B59" s="56"/>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8"/>
    </row>
    <row r="60" spans="2:31" hidden="1" x14ac:dyDescent="0.25">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8"/>
    </row>
    <row r="61" spans="2:31" hidden="1" x14ac:dyDescent="0.25">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8"/>
    </row>
    <row r="62" spans="2:31" hidden="1" x14ac:dyDescent="0.25">
      <c r="B62" s="56"/>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8"/>
    </row>
    <row r="63" spans="2:31" hidden="1" x14ac:dyDescent="0.25">
      <c r="B63" s="56"/>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8"/>
    </row>
    <row r="64" spans="2:31" hidden="1" x14ac:dyDescent="0.25">
      <c r="B64" s="56"/>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8"/>
    </row>
    <row r="65" spans="2:31" hidden="1" x14ac:dyDescent="0.25">
      <c r="B65" s="56"/>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8"/>
    </row>
    <row r="66" spans="2:31" hidden="1" x14ac:dyDescent="0.25">
      <c r="B66" s="56"/>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8"/>
    </row>
    <row r="67" spans="2:31" hidden="1" x14ac:dyDescent="0.25">
      <c r="B67" s="56"/>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8"/>
    </row>
    <row r="68" spans="2:31" hidden="1" x14ac:dyDescent="0.25">
      <c r="B68" s="56"/>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8"/>
    </row>
    <row r="69" spans="2:31" x14ac:dyDescent="0.25">
      <c r="B69" s="56"/>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8"/>
    </row>
    <row r="70" spans="2:31" x14ac:dyDescent="0.25">
      <c r="B70" s="56"/>
      <c r="C70" s="60" t="s">
        <v>146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8"/>
    </row>
    <row r="71" spans="2:31" x14ac:dyDescent="0.25">
      <c r="B71" s="56"/>
      <c r="C71" s="57" t="s">
        <v>153</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8"/>
    </row>
    <row r="72" spans="2:31" x14ac:dyDescent="0.25">
      <c r="B72" s="56"/>
      <c r="C72" s="57" t="s">
        <v>154</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8"/>
    </row>
    <row r="73" spans="2:31" x14ac:dyDescent="0.25">
      <c r="B73" s="56"/>
      <c r="C73" s="61" t="s">
        <v>166</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8"/>
    </row>
    <row r="74" spans="2:31" x14ac:dyDescent="0.25">
      <c r="B74" s="56"/>
      <c r="C74" s="61"/>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8"/>
    </row>
    <row r="75" spans="2:31" x14ac:dyDescent="0.25">
      <c r="B75" s="56"/>
      <c r="C75" s="59" t="s">
        <v>162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8"/>
    </row>
    <row r="76" spans="2:31" x14ac:dyDescent="0.25">
      <c r="B76" s="56"/>
      <c r="C76" s="71" t="s">
        <v>167</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8"/>
    </row>
    <row r="77" spans="2:31" x14ac:dyDescent="0.25">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4"/>
    </row>
    <row r="78" spans="2:31" x14ac:dyDescent="0.25">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row>
    <row r="79" spans="2:31" x14ac:dyDescent="0.25">
      <c r="B79" s="53"/>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5"/>
    </row>
    <row r="80" spans="2:31" ht="23.25" x14ac:dyDescent="0.35">
      <c r="B80" s="56"/>
      <c r="C80" s="69" t="s">
        <v>135</v>
      </c>
      <c r="D80" s="113"/>
      <c r="E80" s="113"/>
      <c r="F80" s="159" t="s">
        <v>188</v>
      </c>
      <c r="G80" s="159"/>
      <c r="H80" s="159"/>
      <c r="I80" s="69"/>
      <c r="J80" s="69"/>
      <c r="K80" s="69"/>
      <c r="L80" s="69"/>
      <c r="M80" s="69"/>
      <c r="N80" s="69"/>
      <c r="O80" s="69"/>
      <c r="P80" s="69"/>
      <c r="Q80" s="69"/>
      <c r="R80" s="69"/>
      <c r="S80" s="69"/>
      <c r="T80" s="69"/>
      <c r="U80" s="69"/>
      <c r="V80" s="69"/>
      <c r="W80" s="69"/>
      <c r="X80" s="69"/>
      <c r="Y80" s="69"/>
      <c r="Z80" s="69"/>
      <c r="AA80" s="69"/>
      <c r="AB80" s="69"/>
      <c r="AC80" s="69"/>
      <c r="AD80" s="69"/>
      <c r="AE80" s="58"/>
    </row>
    <row r="81" spans="2:31" x14ac:dyDescent="0.25">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8"/>
    </row>
    <row r="82" spans="2:31" ht="15.75" thickBot="1" x14ac:dyDescent="0.3">
      <c r="B82" s="56"/>
      <c r="C82" s="57" t="s">
        <v>155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8"/>
    </row>
    <row r="83" spans="2:31" ht="19.5" thickBot="1" x14ac:dyDescent="0.35">
      <c r="B83" s="56"/>
      <c r="C83" s="114" t="s">
        <v>108</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8"/>
    </row>
    <row r="84" spans="2:31" x14ac:dyDescent="0.25">
      <c r="B84" s="56"/>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8"/>
    </row>
    <row r="85" spans="2:31" x14ac:dyDescent="0.25">
      <c r="B85" s="56"/>
      <c r="C85" s="59" t="s">
        <v>156</v>
      </c>
      <c r="D85" s="57"/>
      <c r="E85" s="59" t="s">
        <v>157</v>
      </c>
      <c r="F85" s="57"/>
      <c r="G85" s="57"/>
      <c r="H85" s="57"/>
      <c r="I85" s="57"/>
      <c r="J85" s="57"/>
      <c r="K85" s="57"/>
      <c r="L85" s="57"/>
      <c r="M85" s="57"/>
      <c r="N85" s="57"/>
      <c r="O85" s="57"/>
      <c r="P85" s="57"/>
      <c r="Q85" s="57"/>
      <c r="R85" s="57"/>
      <c r="S85" s="57"/>
      <c r="T85" s="57"/>
      <c r="U85" s="57"/>
      <c r="V85" s="59" t="s">
        <v>158</v>
      </c>
      <c r="W85" s="57"/>
      <c r="X85" s="57"/>
      <c r="Y85" s="57"/>
      <c r="Z85" s="57"/>
      <c r="AA85" s="57"/>
      <c r="AB85" s="57"/>
      <c r="AC85" s="57"/>
      <c r="AD85" s="57"/>
      <c r="AE85" s="58"/>
    </row>
    <row r="86" spans="2:31" x14ac:dyDescent="0.25">
      <c r="B86" s="56"/>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8"/>
    </row>
    <row r="87" spans="2:31" x14ac:dyDescent="0.25">
      <c r="B87" s="56"/>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8"/>
    </row>
    <row r="88" spans="2:31" x14ac:dyDescent="0.25">
      <c r="B88" s="56"/>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8"/>
    </row>
    <row r="89" spans="2:31" x14ac:dyDescent="0.25">
      <c r="B89" s="56"/>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8"/>
    </row>
    <row r="90" spans="2:31" x14ac:dyDescent="0.25">
      <c r="B90" s="56"/>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8"/>
    </row>
    <row r="91" spans="2:31" x14ac:dyDescent="0.25">
      <c r="B91" s="56"/>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8"/>
    </row>
    <row r="92" spans="2:31" x14ac:dyDescent="0.25">
      <c r="B92" s="56"/>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8"/>
    </row>
    <row r="93" spans="2:31" x14ac:dyDescent="0.25">
      <c r="B93" s="56"/>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8"/>
    </row>
    <row r="94" spans="2:31" x14ac:dyDescent="0.25">
      <c r="B94" s="56"/>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8"/>
    </row>
    <row r="95" spans="2:31" x14ac:dyDescent="0.25">
      <c r="B95" s="56"/>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row>
    <row r="96" spans="2:31" x14ac:dyDescent="0.25">
      <c r="B96" s="56"/>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8"/>
    </row>
    <row r="97" spans="2:31" hidden="1" x14ac:dyDescent="0.25">
      <c r="B97" s="56"/>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8"/>
    </row>
    <row r="98" spans="2:31" hidden="1" x14ac:dyDescent="0.25">
      <c r="B98" s="56"/>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8"/>
    </row>
    <row r="99" spans="2:31" hidden="1" x14ac:dyDescent="0.25">
      <c r="B99" s="56"/>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8"/>
    </row>
    <row r="100" spans="2:31" hidden="1" x14ac:dyDescent="0.25">
      <c r="B100" s="56"/>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8"/>
    </row>
    <row r="101" spans="2:31" hidden="1" x14ac:dyDescent="0.25">
      <c r="B101" s="56"/>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8"/>
    </row>
    <row r="102" spans="2:31" hidden="1" x14ac:dyDescent="0.25">
      <c r="B102" s="56"/>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8"/>
    </row>
    <row r="103" spans="2:31" hidden="1" x14ac:dyDescent="0.25">
      <c r="B103" s="56"/>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8"/>
    </row>
    <row r="104" spans="2:31" hidden="1" x14ac:dyDescent="0.25">
      <c r="B104" s="56"/>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8"/>
    </row>
    <row r="105" spans="2:31" hidden="1" x14ac:dyDescent="0.25">
      <c r="B105" s="56"/>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8"/>
    </row>
    <row r="106" spans="2:31" hidden="1" x14ac:dyDescent="0.25">
      <c r="B106" s="56"/>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8"/>
    </row>
    <row r="107" spans="2:31" x14ac:dyDescent="0.25">
      <c r="B107" s="56"/>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8"/>
    </row>
    <row r="108" spans="2:31" x14ac:dyDescent="0.25">
      <c r="B108" s="56"/>
      <c r="C108" s="60" t="s">
        <v>146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8"/>
    </row>
    <row r="109" spans="2:31" x14ac:dyDescent="0.25">
      <c r="B109" s="56"/>
      <c r="C109" s="57" t="s">
        <v>159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8"/>
    </row>
    <row r="110" spans="2:31" x14ac:dyDescent="0.25">
      <c r="B110" s="56"/>
      <c r="C110" s="57" t="s">
        <v>160</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8"/>
    </row>
    <row r="111" spans="2:31" x14ac:dyDescent="0.25">
      <c r="B111" s="56"/>
      <c r="C111" s="57" t="s">
        <v>161</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8"/>
    </row>
    <row r="112" spans="2:31" x14ac:dyDescent="0.25">
      <c r="B112" s="56"/>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8"/>
    </row>
    <row r="113" spans="2:31" x14ac:dyDescent="0.25">
      <c r="B113" s="56"/>
      <c r="C113" s="60" t="s">
        <v>162</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8"/>
    </row>
    <row r="114" spans="2:31" x14ac:dyDescent="0.25">
      <c r="B114" s="56"/>
      <c r="C114" s="70" t="s">
        <v>163</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8"/>
    </row>
    <row r="115" spans="2:31" x14ac:dyDescent="0.25">
      <c r="B115" s="56"/>
      <c r="C115" s="57" t="s">
        <v>164</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8"/>
    </row>
    <row r="116" spans="2:31" x14ac:dyDescent="0.25">
      <c r="B116" s="56"/>
      <c r="C116" s="57" t="s">
        <v>165</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8"/>
    </row>
    <row r="117" spans="2:31" x14ac:dyDescent="0.25">
      <c r="B117" s="62"/>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4"/>
    </row>
  </sheetData>
  <sheetProtection algorithmName="SHA-512" hashValue="meFP9XpLA7CUBVf3ZTzMepUox/9JyI8Xv3V18lsnKnxK11SWHKXeEzxkMP3P0UPkxllHYJ2Xwe/vO9IuUavbjQ==" saltValue="VZIucMokZ8iLXl6QhO+oZQ==" spinCount="100000" sheet="1" objects="1" scenarios="1"/>
  <mergeCells count="7">
    <mergeCell ref="F80:H80"/>
    <mergeCell ref="C4:D4"/>
    <mergeCell ref="C3:D3"/>
    <mergeCell ref="C5:D5"/>
    <mergeCell ref="C13:D13"/>
    <mergeCell ref="F45:H45"/>
    <mergeCell ref="F12:H12"/>
  </mergeCells>
  <hyperlinks>
    <hyperlink ref="C6" location="Dashboard!A10" display="Enrollment in CTE" xr:uid="{A6F78F45-0446-4C14-A5EF-D8DD68B6EA0A}"/>
    <hyperlink ref="C7" location="Dashboard!A43" display="Under- and Over-Enrollment in CTE Programs" xr:uid="{446E29B8-AFD7-4401-A0C4-66E3E215A0B4}"/>
    <hyperlink ref="C8" location="Dashboard!A78" display="Enrollment by Career Cluster" xr:uid="{CB9C3E33-81D2-471D-B931-66D22AE117CC}"/>
    <hyperlink ref="F80" location="Dashboard!A1" display="(Return to Top)" xr:uid="{75A149BD-CA48-45B5-8004-6050BFDEF54D}"/>
    <hyperlink ref="F45" location="Dashboard!A1" display="(Return to Top)" xr:uid="{3AFECCBC-42FE-4606-96D4-3C764B3AB5AA}"/>
    <hyperlink ref="F12" location="Dashboard!A1" display="(Return to Top)" xr:uid="{FF7A9190-6A5E-4EC8-948B-FB39AA010FF3}"/>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D0C412F-42B5-4254-BAC5-922D78CC5487}">
          <x14:formula1>
            <xm:f>'Dashboard Data'!$M$3:$AB$3</xm:f>
          </x14:formula1>
          <xm:sqref>C83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0AD24-D73C-44D5-B794-2E73231F5AA6}">
  <dimension ref="A1:F30"/>
  <sheetViews>
    <sheetView zoomScale="80" zoomScaleNormal="80" workbookViewId="0">
      <pane ySplit="4" topLeftCell="A5" activePane="bottomLeft" state="frozen"/>
      <selection activeCell="A4" sqref="A4"/>
      <selection pane="bottomLeft" activeCell="C12" sqref="C12"/>
    </sheetView>
  </sheetViews>
  <sheetFormatPr defaultRowHeight="15" x14ac:dyDescent="0.25"/>
  <cols>
    <col min="1" max="1" width="95.28515625" style="4" customWidth="1"/>
    <col min="2" max="5" width="10.7109375" style="4" customWidth="1"/>
    <col min="6" max="16384" width="9.140625" style="4"/>
  </cols>
  <sheetData>
    <row r="1" spans="1:6" ht="18.75" x14ac:dyDescent="0.3">
      <c r="A1" s="167" t="s">
        <v>28</v>
      </c>
      <c r="B1" s="167"/>
      <c r="C1" s="167"/>
      <c r="D1" s="167"/>
      <c r="E1" s="167"/>
    </row>
    <row r="2" spans="1:6" ht="108.75" customHeight="1" x14ac:dyDescent="0.25">
      <c r="A2" s="168" t="s">
        <v>95</v>
      </c>
      <c r="B2" s="168"/>
      <c r="C2" s="168"/>
      <c r="D2" s="168"/>
      <c r="E2" s="168"/>
    </row>
    <row r="3" spans="1:6" ht="4.5" customHeight="1" x14ac:dyDescent="0.25"/>
    <row r="4" spans="1:6" x14ac:dyDescent="0.25">
      <c r="A4" s="4" t="s">
        <v>8</v>
      </c>
      <c r="B4" s="28" t="s">
        <v>39</v>
      </c>
      <c r="C4" s="28" t="s">
        <v>40</v>
      </c>
      <c r="D4" s="28" t="s">
        <v>38</v>
      </c>
      <c r="E4" s="29" t="s">
        <v>41</v>
      </c>
      <c r="F4" s="29"/>
    </row>
    <row r="5" spans="1:6" x14ac:dyDescent="0.25">
      <c r="A5" s="30" t="s">
        <v>51</v>
      </c>
      <c r="B5" s="13"/>
      <c r="C5" s="15"/>
      <c r="D5" s="13"/>
      <c r="E5" s="14"/>
      <c r="F5" s="29"/>
    </row>
    <row r="6" spans="1:6" x14ac:dyDescent="0.25">
      <c r="A6" s="26" t="s">
        <v>4</v>
      </c>
      <c r="B6" s="128">
        <v>46206</v>
      </c>
      <c r="C6" s="3">
        <f>IFERROR((B6/$B$29), "")</f>
        <v>0.51</v>
      </c>
      <c r="D6" s="2"/>
      <c r="E6" s="3" t="str">
        <f>IFERROR((D6/$D$29), "")</f>
        <v/>
      </c>
      <c r="F6" s="29"/>
    </row>
    <row r="7" spans="1:6" x14ac:dyDescent="0.25">
      <c r="A7" s="26" t="s">
        <v>5</v>
      </c>
      <c r="B7" s="128">
        <v>44394</v>
      </c>
      <c r="C7" s="3">
        <f>IFERROR((B7/$B$29), "")</f>
        <v>0.49</v>
      </c>
      <c r="D7" s="2"/>
      <c r="E7" s="3" t="str">
        <f>IFERROR((D7/$D$29), "")</f>
        <v/>
      </c>
      <c r="F7" s="29"/>
    </row>
    <row r="8" spans="1:6" hidden="1" x14ac:dyDescent="0.25">
      <c r="A8" s="26" t="s">
        <v>50</v>
      </c>
      <c r="B8" s="2"/>
      <c r="C8" s="3">
        <f>IFERROR((B8/$B$29), "")</f>
        <v>0</v>
      </c>
      <c r="D8" s="2"/>
      <c r="E8" s="3" t="str">
        <f>IFERROR((D8/$D$29), "")</f>
        <v/>
      </c>
      <c r="F8" s="29"/>
    </row>
    <row r="9" spans="1:6" x14ac:dyDescent="0.25">
      <c r="A9" s="30" t="s">
        <v>52</v>
      </c>
      <c r="B9" s="13"/>
      <c r="C9" s="15"/>
      <c r="D9" s="13"/>
      <c r="E9" s="15"/>
      <c r="F9" s="29"/>
    </row>
    <row r="10" spans="1:6" hidden="1" x14ac:dyDescent="0.25">
      <c r="A10" s="26" t="s">
        <v>13</v>
      </c>
      <c r="B10" s="2"/>
      <c r="C10" s="3">
        <f t="shared" ref="C10:C17" si="0">IFERROR((B10/$B$29), "")</f>
        <v>0</v>
      </c>
      <c r="D10" s="2"/>
      <c r="E10" s="3" t="str">
        <f t="shared" ref="E10:E17" si="1">IFERROR((D10/$D$29), "")</f>
        <v/>
      </c>
      <c r="F10" s="29"/>
    </row>
    <row r="11" spans="1:6" x14ac:dyDescent="0.25">
      <c r="A11" s="26" t="s">
        <v>3</v>
      </c>
      <c r="B11" s="128">
        <v>6795</v>
      </c>
      <c r="C11" s="3">
        <f t="shared" si="0"/>
        <v>7.4999999999999997E-2</v>
      </c>
      <c r="D11" s="2"/>
      <c r="E11" s="3" t="str">
        <f t="shared" si="1"/>
        <v/>
      </c>
      <c r="F11" s="31"/>
    </row>
    <row r="12" spans="1:6" x14ac:dyDescent="0.25">
      <c r="A12" s="26" t="s">
        <v>1</v>
      </c>
      <c r="B12" s="128">
        <v>28690</v>
      </c>
      <c r="C12" s="3">
        <f t="shared" si="0"/>
        <v>0.31666666666666665</v>
      </c>
      <c r="D12" s="2"/>
      <c r="E12" s="3" t="str">
        <f t="shared" si="1"/>
        <v/>
      </c>
      <c r="F12" s="31"/>
    </row>
    <row r="13" spans="1:6" x14ac:dyDescent="0.25">
      <c r="A13" s="26" t="s">
        <v>2</v>
      </c>
      <c r="B13" s="128">
        <v>23405</v>
      </c>
      <c r="C13" s="3">
        <f t="shared" si="0"/>
        <v>0.25833333333333336</v>
      </c>
      <c r="D13" s="2"/>
      <c r="E13" s="3" t="str">
        <f t="shared" si="1"/>
        <v/>
      </c>
      <c r="F13" s="31"/>
    </row>
    <row r="14" spans="1:6" x14ac:dyDescent="0.25">
      <c r="A14" s="26" t="s">
        <v>0</v>
      </c>
      <c r="B14" s="128">
        <v>31710</v>
      </c>
      <c r="C14" s="3">
        <f t="shared" si="0"/>
        <v>0.35</v>
      </c>
      <c r="D14" s="2"/>
      <c r="E14" s="3" t="str">
        <f t="shared" si="1"/>
        <v/>
      </c>
      <c r="F14" s="31"/>
    </row>
    <row r="15" spans="1:6" hidden="1" x14ac:dyDescent="0.25">
      <c r="A15" s="26" t="s">
        <v>14</v>
      </c>
      <c r="B15" s="2"/>
      <c r="C15" s="3">
        <f t="shared" si="0"/>
        <v>0</v>
      </c>
      <c r="D15" s="2"/>
      <c r="E15" s="3" t="str">
        <f t="shared" si="1"/>
        <v/>
      </c>
      <c r="F15" s="32"/>
    </row>
    <row r="16" spans="1:6" hidden="1" x14ac:dyDescent="0.25">
      <c r="A16" s="26" t="s">
        <v>12</v>
      </c>
      <c r="B16" s="2"/>
      <c r="C16" s="3">
        <f t="shared" si="0"/>
        <v>0</v>
      </c>
      <c r="D16" s="2"/>
      <c r="E16" s="3" t="str">
        <f t="shared" si="1"/>
        <v/>
      </c>
      <c r="F16" s="32"/>
    </row>
    <row r="17" spans="1:6" hidden="1" x14ac:dyDescent="0.25">
      <c r="A17" s="26" t="s">
        <v>17</v>
      </c>
      <c r="B17" s="2"/>
      <c r="C17" s="3">
        <f t="shared" si="0"/>
        <v>0</v>
      </c>
      <c r="D17" s="2"/>
      <c r="E17" s="3" t="str">
        <f t="shared" si="1"/>
        <v/>
      </c>
      <c r="F17" s="32"/>
    </row>
    <row r="18" spans="1:6" x14ac:dyDescent="0.25">
      <c r="A18" s="30" t="s">
        <v>53</v>
      </c>
      <c r="B18" s="12"/>
      <c r="C18" s="16"/>
      <c r="D18" s="12"/>
      <c r="E18" s="16"/>
      <c r="F18" s="32"/>
    </row>
    <row r="19" spans="1:6" x14ac:dyDescent="0.25">
      <c r="A19" s="26" t="s">
        <v>42</v>
      </c>
      <c r="B19" s="128">
        <v>12684</v>
      </c>
      <c r="C19" s="3">
        <f t="shared" ref="C19:C27" si="2">IFERROR((B19/$B$29), "")</f>
        <v>0.14000000000000001</v>
      </c>
      <c r="D19" s="2"/>
      <c r="E19" s="3" t="str">
        <f t="shared" ref="E19:E27" si="3">IFERROR((D19/$D$29), "")</f>
        <v/>
      </c>
      <c r="F19" s="32"/>
    </row>
    <row r="20" spans="1:6" x14ac:dyDescent="0.25">
      <c r="A20" s="26" t="s">
        <v>43</v>
      </c>
      <c r="B20" s="128">
        <v>34989</v>
      </c>
      <c r="C20" s="3">
        <f t="shared" si="2"/>
        <v>0.38619205298013243</v>
      </c>
      <c r="D20" s="2"/>
      <c r="E20" s="3" t="str">
        <f t="shared" si="3"/>
        <v/>
      </c>
      <c r="F20" s="31"/>
    </row>
    <row r="21" spans="1:6" hidden="1" x14ac:dyDescent="0.25">
      <c r="A21" s="26" t="s">
        <v>44</v>
      </c>
      <c r="B21" s="2"/>
      <c r="C21" s="3">
        <f t="shared" si="2"/>
        <v>0</v>
      </c>
      <c r="D21" s="2"/>
      <c r="E21" s="3" t="str">
        <f t="shared" si="3"/>
        <v/>
      </c>
      <c r="F21" s="31"/>
    </row>
    <row r="22" spans="1:6" hidden="1" x14ac:dyDescent="0.25">
      <c r="A22" s="26" t="s">
        <v>15</v>
      </c>
      <c r="B22" s="2"/>
      <c r="C22" s="3">
        <f t="shared" si="2"/>
        <v>0</v>
      </c>
      <c r="D22" s="2"/>
      <c r="E22" s="3" t="str">
        <f t="shared" si="3"/>
        <v/>
      </c>
      <c r="F22" s="31"/>
    </row>
    <row r="23" spans="1:6" hidden="1" x14ac:dyDescent="0.25">
      <c r="A23" s="26" t="s">
        <v>45</v>
      </c>
      <c r="B23" s="2"/>
      <c r="C23" s="3">
        <f t="shared" si="2"/>
        <v>0</v>
      </c>
      <c r="D23" s="2"/>
      <c r="E23" s="3" t="str">
        <f t="shared" si="3"/>
        <v/>
      </c>
      <c r="F23" s="31"/>
    </row>
    <row r="24" spans="1:6" x14ac:dyDescent="0.25">
      <c r="A24" s="26" t="s">
        <v>46</v>
      </c>
      <c r="B24" s="128">
        <v>4698</v>
      </c>
      <c r="C24" s="3">
        <f t="shared" si="2"/>
        <v>5.1854304635761586E-2</v>
      </c>
      <c r="D24" s="2"/>
      <c r="E24" s="3" t="str">
        <f t="shared" si="3"/>
        <v/>
      </c>
      <c r="F24" s="31"/>
    </row>
    <row r="25" spans="1:6" hidden="1" x14ac:dyDescent="0.25">
      <c r="A25" s="26" t="s">
        <v>47</v>
      </c>
      <c r="B25" s="2"/>
      <c r="C25" s="3">
        <f t="shared" si="2"/>
        <v>0</v>
      </c>
      <c r="D25" s="2"/>
      <c r="E25" s="3" t="str">
        <f t="shared" si="3"/>
        <v/>
      </c>
      <c r="F25" s="31"/>
    </row>
    <row r="26" spans="1:6" hidden="1" x14ac:dyDescent="0.25">
      <c r="A26" s="26" t="s">
        <v>48</v>
      </c>
      <c r="B26" s="2"/>
      <c r="C26" s="3">
        <f t="shared" si="2"/>
        <v>0</v>
      </c>
      <c r="D26" s="2"/>
      <c r="E26" s="3" t="str">
        <f t="shared" si="3"/>
        <v/>
      </c>
      <c r="F26" s="32"/>
    </row>
    <row r="27" spans="1:6" hidden="1" x14ac:dyDescent="0.25">
      <c r="A27" s="26" t="s">
        <v>49</v>
      </c>
      <c r="B27" s="2"/>
      <c r="C27" s="3">
        <f t="shared" si="2"/>
        <v>0</v>
      </c>
      <c r="D27" s="2"/>
      <c r="E27" s="3" t="str">
        <f t="shared" si="3"/>
        <v/>
      </c>
      <c r="F27" s="32"/>
    </row>
    <row r="28" spans="1:6" ht="7.5" customHeight="1" thickBot="1" x14ac:dyDescent="0.3">
      <c r="B28" s="1"/>
      <c r="D28" s="1"/>
    </row>
    <row r="29" spans="1:6" ht="15.75" thickBot="1" x14ac:dyDescent="0.3">
      <c r="A29" s="27" t="s">
        <v>27</v>
      </c>
      <c r="B29" s="11">
        <v>90600</v>
      </c>
      <c r="D29" s="11"/>
    </row>
    <row r="30" spans="1:6" x14ac:dyDescent="0.25">
      <c r="A30" s="33"/>
    </row>
  </sheetData>
  <sheetProtection algorithmName="SHA-512" hashValue="Yk/VR5tWtatZnWYK9F1vPWfvgy5Xc9+7xB59oUEW8YchDfmj2Z2Ii6YAxpxBn5roqhckEoR7CkQs5gaMBJlA0g==" saltValue="4pd6AV28x9EM/yugmgxfQA==" spinCount="100000" sheet="1" objects="1" scenarios="1"/>
  <mergeCells count="2">
    <mergeCell ref="A1:E1"/>
    <mergeCell ref="A2:E2"/>
  </mergeCells>
  <pageMargins left="0.7" right="0.7" top="0.75" bottom="0.75" header="0.3" footer="0.3"/>
  <pageSetup orientation="portrait" r:id="rId1"/>
  <ignoredErrors>
    <ignoredError sqref="C24:C27 C10:C17 C6:C7 C4" unlocked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71F1-1C79-4A7D-B4C4-97FA774A49BD}">
  <dimension ref="A1:AR35"/>
  <sheetViews>
    <sheetView zoomScale="90" zoomScaleNormal="90" workbookViewId="0">
      <pane ySplit="5" topLeftCell="A6" activePane="bottomLeft" state="frozen"/>
      <selection activeCell="A3" sqref="A3"/>
      <selection pane="bottomLeft" activeCell="F15" sqref="F15"/>
    </sheetView>
  </sheetViews>
  <sheetFormatPr defaultRowHeight="15" x14ac:dyDescent="0.25"/>
  <cols>
    <col min="1" max="1" width="15.5703125" style="4" customWidth="1"/>
    <col min="2" max="2" width="48.28515625" style="4" customWidth="1"/>
    <col min="3" max="3" width="44.85546875" style="4" customWidth="1"/>
    <col min="4" max="4" width="11.140625" style="4" bestFit="1" customWidth="1"/>
    <col min="5" max="5" width="9" style="4" bestFit="1" customWidth="1"/>
    <col min="6" max="6" width="10.42578125" style="4" bestFit="1" customWidth="1"/>
    <col min="7" max="7" width="10.42578125" style="4" hidden="1" customWidth="1"/>
    <col min="8" max="8" width="9.28515625" style="4" hidden="1" customWidth="1"/>
    <col min="9" max="9" width="11.85546875" style="4" bestFit="1" customWidth="1"/>
    <col min="10" max="10" width="9" style="4" bestFit="1" customWidth="1"/>
    <col min="11" max="11" width="10.140625" style="4" bestFit="1" customWidth="1"/>
    <col min="12" max="12" width="8.5703125" style="4" bestFit="1" customWidth="1"/>
    <col min="13" max="13" width="9.28515625" style="4" hidden="1" customWidth="1"/>
    <col min="14" max="15" width="9.7109375" style="4" hidden="1" customWidth="1"/>
    <col min="16" max="16" width="11.28515625" style="4" bestFit="1" customWidth="1"/>
    <col min="17" max="17" width="6.7109375" style="4" bestFit="1" customWidth="1"/>
    <col min="18" max="20" width="0" style="4" hidden="1" customWidth="1"/>
    <col min="21" max="21" width="9.140625" style="4"/>
    <col min="22" max="24" width="0" style="4" hidden="1" customWidth="1"/>
    <col min="25" max="26" width="9.140625" style="4"/>
    <col min="27" max="28" width="0" style="4" hidden="1" customWidth="1"/>
    <col min="29" max="29" width="10.28515625" style="4" customWidth="1"/>
    <col min="30" max="32" width="9.140625" style="4"/>
    <col min="33" max="35" width="0" style="4" hidden="1" customWidth="1"/>
    <col min="36" max="37" width="9.140625" style="4"/>
    <col min="38" max="40" width="0" style="4" hidden="1" customWidth="1"/>
    <col min="41" max="41" width="9.140625" style="4"/>
    <col min="42" max="44" width="0" style="4" hidden="1" customWidth="1"/>
    <col min="45" max="16384" width="9.140625" style="4"/>
  </cols>
  <sheetData>
    <row r="1" spans="1:44" ht="18.75" customHeight="1" x14ac:dyDescent="0.3">
      <c r="A1" s="172" t="s">
        <v>29</v>
      </c>
      <c r="B1" s="172"/>
      <c r="C1" s="172"/>
      <c r="D1" s="172"/>
    </row>
    <row r="2" spans="1:44" ht="63" customHeight="1" x14ac:dyDescent="0.25">
      <c r="A2" s="171" t="s">
        <v>94</v>
      </c>
      <c r="B2" s="171"/>
      <c r="C2" s="171"/>
      <c r="D2" s="171"/>
    </row>
    <row r="3" spans="1:44" ht="4.5" customHeight="1" x14ac:dyDescent="0.25">
      <c r="A3" s="5"/>
      <c r="B3" s="5"/>
      <c r="C3" s="5"/>
      <c r="D3" s="5"/>
    </row>
    <row r="4" spans="1:44" ht="17.25" customHeight="1" x14ac:dyDescent="0.25">
      <c r="A4" s="18"/>
      <c r="B4" s="18"/>
      <c r="C4" s="18"/>
      <c r="D4" s="18"/>
      <c r="E4" s="169" t="s">
        <v>51</v>
      </c>
      <c r="F4" s="169"/>
      <c r="G4" s="169"/>
      <c r="H4" s="173" t="s">
        <v>52</v>
      </c>
      <c r="I4" s="173"/>
      <c r="J4" s="173"/>
      <c r="K4" s="173"/>
      <c r="L4" s="173"/>
      <c r="M4" s="173"/>
      <c r="N4" s="173"/>
      <c r="O4" s="173"/>
      <c r="P4" s="170" t="s">
        <v>53</v>
      </c>
      <c r="Q4" s="170"/>
      <c r="R4" s="170"/>
      <c r="S4" s="170"/>
      <c r="T4" s="170"/>
      <c r="U4" s="170"/>
      <c r="V4" s="170"/>
      <c r="W4" s="170"/>
      <c r="X4" s="170"/>
      <c r="Y4" s="169" t="s">
        <v>51</v>
      </c>
      <c r="Z4" s="169"/>
      <c r="AA4" s="169"/>
      <c r="AB4" s="173" t="s">
        <v>52</v>
      </c>
      <c r="AC4" s="173"/>
      <c r="AD4" s="173"/>
      <c r="AE4" s="173"/>
      <c r="AF4" s="173"/>
      <c r="AG4" s="173"/>
      <c r="AH4" s="173"/>
      <c r="AI4" s="173"/>
      <c r="AJ4" s="170" t="s">
        <v>53</v>
      </c>
      <c r="AK4" s="170"/>
      <c r="AL4" s="170"/>
      <c r="AM4" s="170"/>
      <c r="AN4" s="170"/>
      <c r="AO4" s="170"/>
      <c r="AP4" s="170"/>
      <c r="AQ4" s="170"/>
      <c r="AR4" s="170"/>
    </row>
    <row r="5" spans="1:44" ht="45" x14ac:dyDescent="0.25">
      <c r="A5" s="4" t="s">
        <v>30</v>
      </c>
      <c r="B5" s="4" t="s">
        <v>19</v>
      </c>
      <c r="C5" s="4" t="s">
        <v>10</v>
      </c>
      <c r="D5" s="4" t="s">
        <v>7</v>
      </c>
      <c r="E5" s="19" t="s">
        <v>55</v>
      </c>
      <c r="F5" s="20" t="s">
        <v>56</v>
      </c>
      <c r="G5" s="20" t="s">
        <v>50</v>
      </c>
      <c r="H5" s="21" t="s">
        <v>122</v>
      </c>
      <c r="I5" s="22" t="s">
        <v>3</v>
      </c>
      <c r="J5" s="22" t="s">
        <v>123</v>
      </c>
      <c r="K5" s="22" t="s">
        <v>124</v>
      </c>
      <c r="L5" s="22" t="s">
        <v>9</v>
      </c>
      <c r="M5" s="22" t="s">
        <v>125</v>
      </c>
      <c r="N5" s="21" t="s">
        <v>126</v>
      </c>
      <c r="O5" s="21" t="s">
        <v>17</v>
      </c>
      <c r="P5" s="23" t="s">
        <v>54</v>
      </c>
      <c r="Q5" s="23" t="s">
        <v>57</v>
      </c>
      <c r="R5" s="23" t="s">
        <v>58</v>
      </c>
      <c r="S5" s="23" t="s">
        <v>85</v>
      </c>
      <c r="T5" s="23" t="s">
        <v>59</v>
      </c>
      <c r="U5" s="23" t="s">
        <v>74</v>
      </c>
      <c r="V5" s="23" t="s">
        <v>60</v>
      </c>
      <c r="W5" s="23" t="s">
        <v>61</v>
      </c>
      <c r="X5" s="23" t="s">
        <v>62</v>
      </c>
      <c r="Y5" s="19" t="s">
        <v>78</v>
      </c>
      <c r="Z5" s="19" t="s">
        <v>79</v>
      </c>
      <c r="AA5" s="19" t="s">
        <v>80</v>
      </c>
      <c r="AB5" s="21" t="s">
        <v>32</v>
      </c>
      <c r="AC5" s="21" t="s">
        <v>11</v>
      </c>
      <c r="AD5" s="21" t="s">
        <v>33</v>
      </c>
      <c r="AE5" s="183" t="s">
        <v>272</v>
      </c>
      <c r="AF5" s="183" t="s">
        <v>273</v>
      </c>
      <c r="AG5" s="21" t="s">
        <v>36</v>
      </c>
      <c r="AH5" s="21" t="s">
        <v>37</v>
      </c>
      <c r="AI5" s="21" t="s">
        <v>92</v>
      </c>
      <c r="AJ5" s="23" t="s">
        <v>81</v>
      </c>
      <c r="AK5" s="24" t="s">
        <v>82</v>
      </c>
      <c r="AL5" s="23" t="s">
        <v>83</v>
      </c>
      <c r="AM5" s="23" t="s">
        <v>84</v>
      </c>
      <c r="AN5" s="23" t="s">
        <v>86</v>
      </c>
      <c r="AO5" s="23" t="s">
        <v>87</v>
      </c>
      <c r="AP5" s="23" t="s">
        <v>88</v>
      </c>
      <c r="AQ5" s="23" t="s">
        <v>89</v>
      </c>
      <c r="AR5" s="23" t="s">
        <v>90</v>
      </c>
    </row>
    <row r="6" spans="1:44" x14ac:dyDescent="0.25">
      <c r="A6" s="35"/>
      <c r="B6" s="35" t="s">
        <v>245</v>
      </c>
      <c r="C6" s="182" t="s">
        <v>108</v>
      </c>
      <c r="D6" s="9">
        <v>36</v>
      </c>
      <c r="E6" s="9">
        <v>22</v>
      </c>
      <c r="F6" s="9">
        <v>12</v>
      </c>
      <c r="G6" s="9"/>
      <c r="H6" s="9"/>
      <c r="I6" s="9">
        <v>0</v>
      </c>
      <c r="J6" s="9">
        <v>14</v>
      </c>
      <c r="K6" s="9">
        <v>12</v>
      </c>
      <c r="L6" s="9">
        <v>10</v>
      </c>
      <c r="M6" s="9"/>
      <c r="N6" s="9"/>
      <c r="O6" s="9"/>
      <c r="P6" s="9">
        <v>27</v>
      </c>
      <c r="Q6" s="9">
        <v>24</v>
      </c>
      <c r="R6" s="9"/>
      <c r="S6" s="9"/>
      <c r="T6" s="9"/>
      <c r="U6" s="127">
        <v>1</v>
      </c>
      <c r="V6" s="9"/>
      <c r="W6" s="9"/>
      <c r="X6" s="9"/>
      <c r="Y6" s="8">
        <f>IFERROR((Table3[[#This Row],[F]]/Table3[[#This Row],[Total]]), "")</f>
        <v>0.61111111111111116</v>
      </c>
      <c r="Z6" s="8">
        <f>IFERROR((Table3[[#This Row],[M]]/Table3[[#This Row],[Total]]), "")</f>
        <v>0.33333333333333331</v>
      </c>
      <c r="AA6" s="8">
        <f>IFERROR((Table3[[#This Row],[Other]]/Table3[[#This Row],[Total]]), "")</f>
        <v>0</v>
      </c>
      <c r="AB6" s="8">
        <f>IFERROR((Table3[[#This Row],[AmInd]]/Table3[[#This Row],[Total]]), "")</f>
        <v>0</v>
      </c>
      <c r="AC6" s="8">
        <f>IFERROR((Table3[[#This Row],[Asian]]/Table3[[#This Row],[Total]]), "")</f>
        <v>0</v>
      </c>
      <c r="AD6" s="8">
        <f>IFERROR((Table3[[#This Row],[Hispanic]]/Table3[[#This Row],[Total]]), "")</f>
        <v>0.3888888888888889</v>
      </c>
      <c r="AE6" s="8">
        <f>IFERROR((Table3[[#This Row],[Black]]/Table3[[#This Row],[Total]]), "")</f>
        <v>0.33333333333333331</v>
      </c>
      <c r="AF6" s="8">
        <f>IFERROR((Table3[[#This Row],[White]]/Table3[[#This Row],[Total]]), "")</f>
        <v>0.27777777777777779</v>
      </c>
      <c r="AG6" s="8">
        <f>IFERROR((Table3[[#This Row],[H/PI]]/Table3[[#This Row],[Total]]), "")</f>
        <v>0</v>
      </c>
      <c r="AH6" s="8">
        <f>IFERROR((Table3[[#This Row],[Multi]]/Table3[[#This Row],[Total]]), "")</f>
        <v>0</v>
      </c>
      <c r="AI6" s="8">
        <f>IFERROR((Table3[[#This Row],[Unknown]]/Table3[[#This Row],[Total]]), "")</f>
        <v>0</v>
      </c>
      <c r="AJ6" s="8">
        <f>IFERROR((Table3[[#This Row],[Dis]]/Table3[[#This Row],[Total]]), "")</f>
        <v>0.75</v>
      </c>
      <c r="AK6" s="8">
        <f>IFERROR((Table3[[#This Row],[ED]]/Table3[[#This Row],[Total]]), "")</f>
        <v>0.66666666666666663</v>
      </c>
      <c r="AL6" s="8">
        <f>IFERROR((Table3[[#This Row],[Non-trad]]/Table3[[#This Row],[Total]]), "")</f>
        <v>0</v>
      </c>
      <c r="AM6" s="8">
        <f>IFERROR((Table3[[#This Row],[SP]]/Table3[[#This Row],[Total]]), "")</f>
        <v>0</v>
      </c>
      <c r="AN6" s="8">
        <f>IFERROR((Table3[[#This Row],[OOW]]/Table3[[#This Row],[Total]]), "")</f>
        <v>0</v>
      </c>
      <c r="AO6" s="8">
        <f>IFERROR((Table3[[#This Row],[EL]]/Table3[[#This Row],[Total]]), "")</f>
        <v>2.7777777777777776E-2</v>
      </c>
      <c r="AP6" s="8">
        <f>IFERROR((Table3[[#This Row],[Homeless]]/Table3[[#This Row],[Total]]), "")</f>
        <v>0</v>
      </c>
      <c r="AQ6" s="8">
        <f>IFERROR((Table3[[#This Row],[Foster]]/Table3[[#This Row],[Total]]), "")</f>
        <v>0</v>
      </c>
      <c r="AR6" s="8">
        <f>IFERROR((Table3[[#This Row],[AD]]/Table3[[#This Row],[Total]]), "")</f>
        <v>0</v>
      </c>
    </row>
    <row r="7" spans="1:44" x14ac:dyDescent="0.25">
      <c r="A7" s="35"/>
      <c r="B7" s="35" t="s">
        <v>246</v>
      </c>
      <c r="C7" s="182" t="s">
        <v>108</v>
      </c>
      <c r="D7" s="9">
        <v>26</v>
      </c>
      <c r="E7" s="9">
        <v>2</v>
      </c>
      <c r="F7" s="9">
        <v>24</v>
      </c>
      <c r="G7" s="9"/>
      <c r="H7" s="9"/>
      <c r="I7" s="9">
        <v>0</v>
      </c>
      <c r="J7" s="9">
        <v>12</v>
      </c>
      <c r="K7" s="9">
        <v>6</v>
      </c>
      <c r="L7" s="9">
        <v>6</v>
      </c>
      <c r="M7" s="9"/>
      <c r="N7" s="9"/>
      <c r="O7" s="9"/>
      <c r="P7" s="9">
        <v>17</v>
      </c>
      <c r="Q7" s="9">
        <v>20</v>
      </c>
      <c r="R7" s="9"/>
      <c r="S7" s="9"/>
      <c r="T7" s="9"/>
      <c r="U7" s="127">
        <v>2</v>
      </c>
      <c r="V7" s="9"/>
      <c r="W7" s="9"/>
      <c r="X7" s="9"/>
      <c r="Y7" s="8">
        <f>IFERROR((Table3[[#This Row],[F]]/Table3[[#This Row],[Total]]), "")</f>
        <v>7.6923076923076927E-2</v>
      </c>
      <c r="Z7" s="8">
        <f>IFERROR((Table3[[#This Row],[M]]/Table3[[#This Row],[Total]]), "")</f>
        <v>0.92307692307692313</v>
      </c>
      <c r="AA7" s="8">
        <f>IFERROR((Table3[[#This Row],[Other]]/Table3[[#This Row],[Total]]), "")</f>
        <v>0</v>
      </c>
      <c r="AB7" s="8">
        <f>IFERROR((Table3[[#This Row],[AmInd]]/Table3[[#This Row],[Total]]), "")</f>
        <v>0</v>
      </c>
      <c r="AC7" s="8">
        <f>IFERROR((Table3[[#This Row],[Asian]]/Table3[[#This Row],[Total]]), "")</f>
        <v>0</v>
      </c>
      <c r="AD7" s="8">
        <f>IFERROR((Table3[[#This Row],[Hispanic]]/Table3[[#This Row],[Total]]), "")</f>
        <v>0.46153846153846156</v>
      </c>
      <c r="AE7" s="8">
        <f>IFERROR((Table3[[#This Row],[Black]]/Table3[[#This Row],[Total]]), "")</f>
        <v>0.23076923076923078</v>
      </c>
      <c r="AF7" s="8">
        <f>IFERROR((Table3[[#This Row],[White]]/Table3[[#This Row],[Total]]), "")</f>
        <v>0.23076923076923078</v>
      </c>
      <c r="AG7" s="8">
        <f>IFERROR((Table3[[#This Row],[H/PI]]/Table3[[#This Row],[Total]]), "")</f>
        <v>0</v>
      </c>
      <c r="AH7" s="8">
        <f>IFERROR((Table3[[#This Row],[Multi]]/Table3[[#This Row],[Total]]), "")</f>
        <v>0</v>
      </c>
      <c r="AI7" s="8">
        <f>IFERROR((Table3[[#This Row],[Unknown]]/Table3[[#This Row],[Total]]), "")</f>
        <v>0</v>
      </c>
      <c r="AJ7" s="8">
        <f>IFERROR((Table3[[#This Row],[Dis]]/Table3[[#This Row],[Total]]), "")</f>
        <v>0.65384615384615385</v>
      </c>
      <c r="AK7" s="8">
        <f>IFERROR((Table3[[#This Row],[ED]]/Table3[[#This Row],[Total]]), "")</f>
        <v>0.76923076923076927</v>
      </c>
      <c r="AL7" s="8">
        <f>IFERROR((Table3[[#This Row],[Non-trad]]/Table3[[#This Row],[Total]]), "")</f>
        <v>0</v>
      </c>
      <c r="AM7" s="8">
        <f>IFERROR((Table3[[#This Row],[SP]]/Table3[[#This Row],[Total]]), "")</f>
        <v>0</v>
      </c>
      <c r="AN7" s="8">
        <f>IFERROR((Table3[[#This Row],[OOW]]/Table3[[#This Row],[Total]]), "")</f>
        <v>0</v>
      </c>
      <c r="AO7" s="8">
        <f>IFERROR((Table3[[#This Row],[EL]]/Table3[[#This Row],[Total]]), "")</f>
        <v>7.6923076923076927E-2</v>
      </c>
      <c r="AP7" s="8">
        <f>IFERROR((Table3[[#This Row],[Homeless]]/Table3[[#This Row],[Total]]), "")</f>
        <v>0</v>
      </c>
      <c r="AQ7" s="8">
        <f>IFERROR((Table3[[#This Row],[Foster]]/Table3[[#This Row],[Total]]), "")</f>
        <v>0</v>
      </c>
      <c r="AR7" s="8">
        <f>IFERROR((Table3[[#This Row],[AD]]/Table3[[#This Row],[Total]]), "")</f>
        <v>0</v>
      </c>
    </row>
    <row r="8" spans="1:44" x14ac:dyDescent="0.25">
      <c r="A8" s="35"/>
      <c r="B8" s="35" t="s">
        <v>247</v>
      </c>
      <c r="C8" s="182" t="s">
        <v>109</v>
      </c>
      <c r="D8" s="9">
        <v>58</v>
      </c>
      <c r="E8" s="9">
        <v>9</v>
      </c>
      <c r="F8" s="9">
        <v>49</v>
      </c>
      <c r="G8" s="9"/>
      <c r="H8" s="9"/>
      <c r="I8" s="9">
        <v>1</v>
      </c>
      <c r="J8" s="9">
        <v>7</v>
      </c>
      <c r="K8" s="9">
        <v>19</v>
      </c>
      <c r="L8" s="9">
        <v>22</v>
      </c>
      <c r="M8" s="9"/>
      <c r="N8" s="9"/>
      <c r="O8" s="9"/>
      <c r="P8" s="9">
        <v>15</v>
      </c>
      <c r="Q8" s="9">
        <v>22</v>
      </c>
      <c r="R8" s="9"/>
      <c r="S8" s="9"/>
      <c r="T8" s="9"/>
      <c r="U8" s="127">
        <v>0</v>
      </c>
      <c r="V8" s="9"/>
      <c r="W8" s="9"/>
      <c r="X8" s="9"/>
      <c r="Y8" s="8">
        <f>IFERROR((Table3[[#This Row],[F]]/Table3[[#This Row],[Total]]), "")</f>
        <v>0.15517241379310345</v>
      </c>
      <c r="Z8" s="8">
        <f>IFERROR((Table3[[#This Row],[M]]/Table3[[#This Row],[Total]]), "")</f>
        <v>0.84482758620689657</v>
      </c>
      <c r="AA8" s="8">
        <f>IFERROR((Table3[[#This Row],[Other]]/Table3[[#This Row],[Total]]), "")</f>
        <v>0</v>
      </c>
      <c r="AB8" s="8">
        <f>IFERROR((Table3[[#This Row],[AmInd]]/Table3[[#This Row],[Total]]), "")</f>
        <v>0</v>
      </c>
      <c r="AC8" s="8">
        <f>IFERROR((Table3[[#This Row],[Asian]]/Table3[[#This Row],[Total]]), "")</f>
        <v>1.7241379310344827E-2</v>
      </c>
      <c r="AD8" s="8">
        <f>IFERROR((Table3[[#This Row],[Hispanic]]/Table3[[#This Row],[Total]]), "")</f>
        <v>0.1206896551724138</v>
      </c>
      <c r="AE8" s="8">
        <f>IFERROR((Table3[[#This Row],[Black]]/Table3[[#This Row],[Total]]), "")</f>
        <v>0.32758620689655171</v>
      </c>
      <c r="AF8" s="8">
        <f>IFERROR((Table3[[#This Row],[White]]/Table3[[#This Row],[Total]]), "")</f>
        <v>0.37931034482758619</v>
      </c>
      <c r="AG8" s="8">
        <f>IFERROR((Table3[[#This Row],[H/PI]]/Table3[[#This Row],[Total]]), "")</f>
        <v>0</v>
      </c>
      <c r="AH8" s="8">
        <f>IFERROR((Table3[[#This Row],[Multi]]/Table3[[#This Row],[Total]]), "")</f>
        <v>0</v>
      </c>
      <c r="AI8" s="8">
        <f>IFERROR((Table3[[#This Row],[Unknown]]/Table3[[#This Row],[Total]]), "")</f>
        <v>0</v>
      </c>
      <c r="AJ8" s="8">
        <f>IFERROR((Table3[[#This Row],[Dis]]/Table3[[#This Row],[Total]]), "")</f>
        <v>0.25862068965517243</v>
      </c>
      <c r="AK8" s="8">
        <f>IFERROR((Table3[[#This Row],[ED]]/Table3[[#This Row],[Total]]), "")</f>
        <v>0.37931034482758619</v>
      </c>
      <c r="AL8" s="8">
        <f>IFERROR((Table3[[#This Row],[Non-trad]]/Table3[[#This Row],[Total]]), "")</f>
        <v>0</v>
      </c>
      <c r="AM8" s="8">
        <f>IFERROR((Table3[[#This Row],[SP]]/Table3[[#This Row],[Total]]), "")</f>
        <v>0</v>
      </c>
      <c r="AN8" s="8">
        <f>IFERROR((Table3[[#This Row],[OOW]]/Table3[[#This Row],[Total]]), "")</f>
        <v>0</v>
      </c>
      <c r="AO8" s="8">
        <f>IFERROR((Table3[[#This Row],[EL]]/Table3[[#This Row],[Total]]), "")</f>
        <v>0</v>
      </c>
      <c r="AP8" s="8">
        <f>IFERROR((Table3[[#This Row],[Homeless]]/Table3[[#This Row],[Total]]), "")</f>
        <v>0</v>
      </c>
      <c r="AQ8" s="8">
        <f>IFERROR((Table3[[#This Row],[Foster]]/Table3[[#This Row],[Total]]), "")</f>
        <v>0</v>
      </c>
      <c r="AR8" s="8">
        <f>IFERROR((Table3[[#This Row],[AD]]/Table3[[#This Row],[Total]]), "")</f>
        <v>0</v>
      </c>
    </row>
    <row r="9" spans="1:44" x14ac:dyDescent="0.25">
      <c r="A9" s="35"/>
      <c r="B9" s="35" t="s">
        <v>248</v>
      </c>
      <c r="C9" s="182" t="s">
        <v>109</v>
      </c>
      <c r="D9" s="9">
        <v>39</v>
      </c>
      <c r="E9" s="9">
        <v>12</v>
      </c>
      <c r="F9" s="9">
        <v>27</v>
      </c>
      <c r="G9" s="9"/>
      <c r="H9" s="9"/>
      <c r="I9" s="9">
        <v>6</v>
      </c>
      <c r="J9" s="9">
        <v>2</v>
      </c>
      <c r="K9" s="9">
        <v>5</v>
      </c>
      <c r="L9" s="9">
        <v>32</v>
      </c>
      <c r="M9" s="9"/>
      <c r="N9" s="9"/>
      <c r="O9" s="9"/>
      <c r="P9" s="9">
        <v>2</v>
      </c>
      <c r="Q9" s="9">
        <v>16</v>
      </c>
      <c r="R9" s="9"/>
      <c r="S9" s="9"/>
      <c r="T9" s="9"/>
      <c r="U9" s="127">
        <v>0</v>
      </c>
      <c r="V9" s="9"/>
      <c r="W9" s="9"/>
      <c r="X9" s="9"/>
      <c r="Y9" s="8">
        <f>IFERROR((Table3[[#This Row],[F]]/Table3[[#This Row],[Total]]), "")</f>
        <v>0.30769230769230771</v>
      </c>
      <c r="Z9" s="8">
        <f>IFERROR((Table3[[#This Row],[M]]/Table3[[#This Row],[Total]]), "")</f>
        <v>0.69230769230769229</v>
      </c>
      <c r="AA9" s="8">
        <f>IFERROR((Table3[[#This Row],[Other]]/Table3[[#This Row],[Total]]), "")</f>
        <v>0</v>
      </c>
      <c r="AB9" s="8">
        <f>IFERROR((Table3[[#This Row],[AmInd]]/Table3[[#This Row],[Total]]), "")</f>
        <v>0</v>
      </c>
      <c r="AC9" s="8">
        <f>IFERROR((Table3[[#This Row],[Asian]]/Table3[[#This Row],[Total]]), "")</f>
        <v>0.15384615384615385</v>
      </c>
      <c r="AD9" s="8">
        <f>IFERROR((Table3[[#This Row],[Hispanic]]/Table3[[#This Row],[Total]]), "")</f>
        <v>5.128205128205128E-2</v>
      </c>
      <c r="AE9" s="8">
        <f>IFERROR((Table3[[#This Row],[Black]]/Table3[[#This Row],[Total]]), "")</f>
        <v>0.12820512820512819</v>
      </c>
      <c r="AF9" s="8">
        <f>IFERROR((Table3[[#This Row],[White]]/Table3[[#This Row],[Total]]), "")</f>
        <v>0.82051282051282048</v>
      </c>
      <c r="AG9" s="8">
        <f>IFERROR((Table3[[#This Row],[H/PI]]/Table3[[#This Row],[Total]]), "")</f>
        <v>0</v>
      </c>
      <c r="AH9" s="8">
        <f>IFERROR((Table3[[#This Row],[Multi]]/Table3[[#This Row],[Total]]), "")</f>
        <v>0</v>
      </c>
      <c r="AI9" s="8">
        <f>IFERROR((Table3[[#This Row],[Unknown]]/Table3[[#This Row],[Total]]), "")</f>
        <v>0</v>
      </c>
      <c r="AJ9" s="8">
        <f>IFERROR((Table3[[#This Row],[Dis]]/Table3[[#This Row],[Total]]), "")</f>
        <v>5.128205128205128E-2</v>
      </c>
      <c r="AK9" s="8">
        <f>IFERROR((Table3[[#This Row],[ED]]/Table3[[#This Row],[Total]]), "")</f>
        <v>0.41025641025641024</v>
      </c>
      <c r="AL9" s="8">
        <f>IFERROR((Table3[[#This Row],[Non-trad]]/Table3[[#This Row],[Total]]), "")</f>
        <v>0</v>
      </c>
      <c r="AM9" s="8">
        <f>IFERROR((Table3[[#This Row],[SP]]/Table3[[#This Row],[Total]]), "")</f>
        <v>0</v>
      </c>
      <c r="AN9" s="8">
        <f>IFERROR((Table3[[#This Row],[OOW]]/Table3[[#This Row],[Total]]), "")</f>
        <v>0</v>
      </c>
      <c r="AO9" s="8">
        <f>IFERROR((Table3[[#This Row],[EL]]/Table3[[#This Row],[Total]]), "")</f>
        <v>0</v>
      </c>
      <c r="AP9" s="8">
        <f>IFERROR((Table3[[#This Row],[Homeless]]/Table3[[#This Row],[Total]]), "")</f>
        <v>0</v>
      </c>
      <c r="AQ9" s="8">
        <f>IFERROR((Table3[[#This Row],[Foster]]/Table3[[#This Row],[Total]]), "")</f>
        <v>0</v>
      </c>
      <c r="AR9" s="8">
        <f>IFERROR((Table3[[#This Row],[AD]]/Table3[[#This Row],[Total]]), "")</f>
        <v>0</v>
      </c>
    </row>
    <row r="10" spans="1:44" x14ac:dyDescent="0.25">
      <c r="A10" s="35"/>
      <c r="B10" s="35" t="s">
        <v>249</v>
      </c>
      <c r="C10" s="182" t="s">
        <v>110</v>
      </c>
      <c r="D10" s="9">
        <v>57</v>
      </c>
      <c r="E10" s="9">
        <v>32</v>
      </c>
      <c r="F10" s="9">
        <v>25</v>
      </c>
      <c r="G10" s="9"/>
      <c r="H10" s="9"/>
      <c r="I10" s="9">
        <v>2</v>
      </c>
      <c r="J10" s="9">
        <v>9</v>
      </c>
      <c r="K10" s="9">
        <v>20</v>
      </c>
      <c r="L10" s="9">
        <v>26</v>
      </c>
      <c r="M10" s="9"/>
      <c r="N10" s="9"/>
      <c r="O10" s="9"/>
      <c r="P10" s="9">
        <v>9</v>
      </c>
      <c r="Q10" s="9">
        <v>20</v>
      </c>
      <c r="R10" s="9"/>
      <c r="S10" s="9"/>
      <c r="T10" s="9"/>
      <c r="U10" s="127">
        <v>0</v>
      </c>
      <c r="V10" s="9"/>
      <c r="W10" s="9"/>
      <c r="X10" s="9"/>
      <c r="Y10" s="8">
        <f>IFERROR((Table3[[#This Row],[F]]/Table3[[#This Row],[Total]]), "")</f>
        <v>0.56140350877192979</v>
      </c>
      <c r="Z10" s="8">
        <f>IFERROR((Table3[[#This Row],[M]]/Table3[[#This Row],[Total]]), "")</f>
        <v>0.43859649122807015</v>
      </c>
      <c r="AA10" s="8">
        <f>IFERROR((Table3[[#This Row],[Other]]/Table3[[#This Row],[Total]]), "")</f>
        <v>0</v>
      </c>
      <c r="AB10" s="8">
        <f>IFERROR((Table3[[#This Row],[AmInd]]/Table3[[#This Row],[Total]]), "")</f>
        <v>0</v>
      </c>
      <c r="AC10" s="8">
        <f>IFERROR((Table3[[#This Row],[Asian]]/Table3[[#This Row],[Total]]), "")</f>
        <v>3.5087719298245612E-2</v>
      </c>
      <c r="AD10" s="8">
        <f>IFERROR((Table3[[#This Row],[Hispanic]]/Table3[[#This Row],[Total]]), "")</f>
        <v>0.15789473684210525</v>
      </c>
      <c r="AE10" s="8">
        <f>IFERROR((Table3[[#This Row],[Black]]/Table3[[#This Row],[Total]]), "")</f>
        <v>0.35087719298245612</v>
      </c>
      <c r="AF10" s="8">
        <f>IFERROR((Table3[[#This Row],[White]]/Table3[[#This Row],[Total]]), "")</f>
        <v>0.45614035087719296</v>
      </c>
      <c r="AG10" s="8">
        <f>IFERROR((Table3[[#This Row],[H/PI]]/Table3[[#This Row],[Total]]), "")</f>
        <v>0</v>
      </c>
      <c r="AH10" s="8">
        <f>IFERROR((Table3[[#This Row],[Multi]]/Table3[[#This Row],[Total]]), "")</f>
        <v>0</v>
      </c>
      <c r="AI10" s="8">
        <f>IFERROR((Table3[[#This Row],[Unknown]]/Table3[[#This Row],[Total]]), "")</f>
        <v>0</v>
      </c>
      <c r="AJ10" s="8">
        <f>IFERROR((Table3[[#This Row],[Dis]]/Table3[[#This Row],[Total]]), "")</f>
        <v>0.15789473684210525</v>
      </c>
      <c r="AK10" s="8">
        <f>IFERROR((Table3[[#This Row],[ED]]/Table3[[#This Row],[Total]]), "")</f>
        <v>0.35087719298245612</v>
      </c>
      <c r="AL10" s="8">
        <f>IFERROR((Table3[[#This Row],[Non-trad]]/Table3[[#This Row],[Total]]), "")</f>
        <v>0</v>
      </c>
      <c r="AM10" s="8">
        <f>IFERROR((Table3[[#This Row],[SP]]/Table3[[#This Row],[Total]]), "")</f>
        <v>0</v>
      </c>
      <c r="AN10" s="8">
        <f>IFERROR((Table3[[#This Row],[OOW]]/Table3[[#This Row],[Total]]), "")</f>
        <v>0</v>
      </c>
      <c r="AO10" s="8">
        <f>IFERROR((Table3[[#This Row],[EL]]/Table3[[#This Row],[Total]]), "")</f>
        <v>0</v>
      </c>
      <c r="AP10" s="8">
        <f>IFERROR((Table3[[#This Row],[Homeless]]/Table3[[#This Row],[Total]]), "")</f>
        <v>0</v>
      </c>
      <c r="AQ10" s="8">
        <f>IFERROR((Table3[[#This Row],[Foster]]/Table3[[#This Row],[Total]]), "")</f>
        <v>0</v>
      </c>
      <c r="AR10" s="8">
        <f>IFERROR((Table3[[#This Row],[AD]]/Table3[[#This Row],[Total]]), "")</f>
        <v>0</v>
      </c>
    </row>
    <row r="11" spans="1:44" x14ac:dyDescent="0.25">
      <c r="A11" s="35"/>
      <c r="B11" s="35" t="s">
        <v>250</v>
      </c>
      <c r="C11" s="182" t="s">
        <v>110</v>
      </c>
      <c r="D11" s="9">
        <v>72</v>
      </c>
      <c r="E11" s="9">
        <v>34</v>
      </c>
      <c r="F11" s="9">
        <v>38</v>
      </c>
      <c r="G11" s="9"/>
      <c r="H11" s="9"/>
      <c r="I11" s="9">
        <v>4</v>
      </c>
      <c r="J11" s="9">
        <v>15</v>
      </c>
      <c r="K11" s="9">
        <v>7</v>
      </c>
      <c r="L11" s="9">
        <v>48</v>
      </c>
      <c r="M11" s="9"/>
      <c r="N11" s="9"/>
      <c r="O11" s="9"/>
      <c r="P11" s="9">
        <v>6</v>
      </c>
      <c r="Q11" s="9">
        <v>32</v>
      </c>
      <c r="R11" s="9"/>
      <c r="S11" s="9"/>
      <c r="T11" s="9"/>
      <c r="U11" s="127">
        <v>0</v>
      </c>
      <c r="V11" s="9"/>
      <c r="W11" s="9"/>
      <c r="X11" s="9"/>
      <c r="Y11" s="8">
        <f>IFERROR((Table3[[#This Row],[F]]/Table3[[#This Row],[Total]]), "")</f>
        <v>0.47222222222222221</v>
      </c>
      <c r="Z11" s="8">
        <f>IFERROR((Table3[[#This Row],[M]]/Table3[[#This Row],[Total]]), "")</f>
        <v>0.52777777777777779</v>
      </c>
      <c r="AA11" s="8">
        <f>IFERROR((Table3[[#This Row],[Other]]/Table3[[#This Row],[Total]]), "")</f>
        <v>0</v>
      </c>
      <c r="AB11" s="8">
        <f>IFERROR((Table3[[#This Row],[AmInd]]/Table3[[#This Row],[Total]]), "")</f>
        <v>0</v>
      </c>
      <c r="AC11" s="8">
        <f>IFERROR((Table3[[#This Row],[Asian]]/Table3[[#This Row],[Total]]), "")</f>
        <v>5.5555555555555552E-2</v>
      </c>
      <c r="AD11" s="8">
        <f>IFERROR((Table3[[#This Row],[Hispanic]]/Table3[[#This Row],[Total]]), "")</f>
        <v>0.20833333333333334</v>
      </c>
      <c r="AE11" s="8">
        <f>IFERROR((Table3[[#This Row],[Black]]/Table3[[#This Row],[Total]]), "")</f>
        <v>9.7222222222222224E-2</v>
      </c>
      <c r="AF11" s="8">
        <f>IFERROR((Table3[[#This Row],[White]]/Table3[[#This Row],[Total]]), "")</f>
        <v>0.66666666666666663</v>
      </c>
      <c r="AG11" s="8">
        <f>IFERROR((Table3[[#This Row],[H/PI]]/Table3[[#This Row],[Total]]), "")</f>
        <v>0</v>
      </c>
      <c r="AH11" s="8">
        <f>IFERROR((Table3[[#This Row],[Multi]]/Table3[[#This Row],[Total]]), "")</f>
        <v>0</v>
      </c>
      <c r="AI11" s="8">
        <f>IFERROR((Table3[[#This Row],[Unknown]]/Table3[[#This Row],[Total]]), "")</f>
        <v>0</v>
      </c>
      <c r="AJ11" s="8">
        <f>IFERROR((Table3[[#This Row],[Dis]]/Table3[[#This Row],[Total]]), "")</f>
        <v>8.3333333333333329E-2</v>
      </c>
      <c r="AK11" s="8">
        <f>IFERROR((Table3[[#This Row],[ED]]/Table3[[#This Row],[Total]]), "")</f>
        <v>0.44444444444444442</v>
      </c>
      <c r="AL11" s="8">
        <f>IFERROR((Table3[[#This Row],[Non-trad]]/Table3[[#This Row],[Total]]), "")</f>
        <v>0</v>
      </c>
      <c r="AM11" s="8">
        <f>IFERROR((Table3[[#This Row],[SP]]/Table3[[#This Row],[Total]]), "")</f>
        <v>0</v>
      </c>
      <c r="AN11" s="8">
        <f>IFERROR((Table3[[#This Row],[OOW]]/Table3[[#This Row],[Total]]), "")</f>
        <v>0</v>
      </c>
      <c r="AO11" s="8">
        <f>IFERROR((Table3[[#This Row],[EL]]/Table3[[#This Row],[Total]]), "")</f>
        <v>0</v>
      </c>
      <c r="AP11" s="8">
        <f>IFERROR((Table3[[#This Row],[Homeless]]/Table3[[#This Row],[Total]]), "")</f>
        <v>0</v>
      </c>
      <c r="AQ11" s="8">
        <f>IFERROR((Table3[[#This Row],[Foster]]/Table3[[#This Row],[Total]]), "")</f>
        <v>0</v>
      </c>
      <c r="AR11" s="8">
        <f>IFERROR((Table3[[#This Row],[AD]]/Table3[[#This Row],[Total]]), "")</f>
        <v>0</v>
      </c>
    </row>
    <row r="12" spans="1:44" x14ac:dyDescent="0.25">
      <c r="A12" s="35"/>
      <c r="B12" s="35" t="s">
        <v>251</v>
      </c>
      <c r="C12" s="182" t="s">
        <v>111</v>
      </c>
      <c r="D12" s="9">
        <v>65</v>
      </c>
      <c r="E12" s="9">
        <v>39</v>
      </c>
      <c r="F12" s="9">
        <v>26</v>
      </c>
      <c r="G12" s="9"/>
      <c r="H12" s="9"/>
      <c r="I12" s="9">
        <v>4</v>
      </c>
      <c r="J12" s="9">
        <v>11</v>
      </c>
      <c r="K12" s="9">
        <v>22</v>
      </c>
      <c r="L12" s="9">
        <v>28</v>
      </c>
      <c r="M12" s="9"/>
      <c r="N12" s="9"/>
      <c r="O12" s="9"/>
      <c r="P12" s="9">
        <v>2</v>
      </c>
      <c r="Q12" s="9">
        <v>27</v>
      </c>
      <c r="R12" s="9"/>
      <c r="S12" s="9"/>
      <c r="T12" s="9"/>
      <c r="U12" s="127">
        <v>0</v>
      </c>
      <c r="V12" s="9"/>
      <c r="W12" s="9"/>
      <c r="X12" s="9"/>
      <c r="Y12" s="8">
        <f>IFERROR((Table3[[#This Row],[F]]/Table3[[#This Row],[Total]]), "")</f>
        <v>0.6</v>
      </c>
      <c r="Z12" s="8">
        <f>IFERROR((Table3[[#This Row],[M]]/Table3[[#This Row],[Total]]), "")</f>
        <v>0.4</v>
      </c>
      <c r="AA12" s="8">
        <f>IFERROR((Table3[[#This Row],[Other]]/Table3[[#This Row],[Total]]), "")</f>
        <v>0</v>
      </c>
      <c r="AB12" s="8">
        <f>IFERROR((Table3[[#This Row],[AmInd]]/Table3[[#This Row],[Total]]), "")</f>
        <v>0</v>
      </c>
      <c r="AC12" s="8">
        <f>IFERROR((Table3[[#This Row],[Asian]]/Table3[[#This Row],[Total]]), "")</f>
        <v>6.1538461538461542E-2</v>
      </c>
      <c r="AD12" s="8">
        <f>IFERROR((Table3[[#This Row],[Hispanic]]/Table3[[#This Row],[Total]]), "")</f>
        <v>0.16923076923076924</v>
      </c>
      <c r="AE12" s="8">
        <f>IFERROR((Table3[[#This Row],[Black]]/Table3[[#This Row],[Total]]), "")</f>
        <v>0.33846153846153848</v>
      </c>
      <c r="AF12" s="8">
        <f>IFERROR((Table3[[#This Row],[White]]/Table3[[#This Row],[Total]]), "")</f>
        <v>0.43076923076923079</v>
      </c>
      <c r="AG12" s="8">
        <f>IFERROR((Table3[[#This Row],[H/PI]]/Table3[[#This Row],[Total]]), "")</f>
        <v>0</v>
      </c>
      <c r="AH12" s="8">
        <f>IFERROR((Table3[[#This Row],[Multi]]/Table3[[#This Row],[Total]]), "")</f>
        <v>0</v>
      </c>
      <c r="AI12" s="8">
        <f>IFERROR((Table3[[#This Row],[Unknown]]/Table3[[#This Row],[Total]]), "")</f>
        <v>0</v>
      </c>
      <c r="AJ12" s="8">
        <f>IFERROR((Table3[[#This Row],[Dis]]/Table3[[#This Row],[Total]]), "")</f>
        <v>3.0769230769230771E-2</v>
      </c>
      <c r="AK12" s="8">
        <f>IFERROR((Table3[[#This Row],[ED]]/Table3[[#This Row],[Total]]), "")</f>
        <v>0.41538461538461541</v>
      </c>
      <c r="AL12" s="8">
        <f>IFERROR((Table3[[#This Row],[Non-trad]]/Table3[[#This Row],[Total]]), "")</f>
        <v>0</v>
      </c>
      <c r="AM12" s="8">
        <f>IFERROR((Table3[[#This Row],[SP]]/Table3[[#This Row],[Total]]), "")</f>
        <v>0</v>
      </c>
      <c r="AN12" s="8">
        <f>IFERROR((Table3[[#This Row],[OOW]]/Table3[[#This Row],[Total]]), "")</f>
        <v>0</v>
      </c>
      <c r="AO12" s="8">
        <f>IFERROR((Table3[[#This Row],[EL]]/Table3[[#This Row],[Total]]), "")</f>
        <v>0</v>
      </c>
      <c r="AP12" s="8">
        <f>IFERROR((Table3[[#This Row],[Homeless]]/Table3[[#This Row],[Total]]), "")</f>
        <v>0</v>
      </c>
      <c r="AQ12" s="8">
        <f>IFERROR((Table3[[#This Row],[Foster]]/Table3[[#This Row],[Total]]), "")</f>
        <v>0</v>
      </c>
      <c r="AR12" s="8">
        <f>IFERROR((Table3[[#This Row],[AD]]/Table3[[#This Row],[Total]]), "")</f>
        <v>0</v>
      </c>
    </row>
    <row r="13" spans="1:44" x14ac:dyDescent="0.25">
      <c r="A13" s="35"/>
      <c r="B13" s="35" t="s">
        <v>252</v>
      </c>
      <c r="C13" s="182" t="s">
        <v>111</v>
      </c>
      <c r="D13" s="9">
        <v>34</v>
      </c>
      <c r="E13" s="9">
        <v>34</v>
      </c>
      <c r="F13" s="9">
        <v>0</v>
      </c>
      <c r="G13" s="9"/>
      <c r="H13" s="9"/>
      <c r="I13" s="9">
        <v>0</v>
      </c>
      <c r="J13" s="9">
        <v>12</v>
      </c>
      <c r="K13" s="9">
        <v>12</v>
      </c>
      <c r="L13" s="9">
        <v>10</v>
      </c>
      <c r="M13" s="9"/>
      <c r="N13" s="9"/>
      <c r="O13" s="9"/>
      <c r="P13" s="9">
        <v>24</v>
      </c>
      <c r="Q13" s="9">
        <v>32</v>
      </c>
      <c r="R13" s="9"/>
      <c r="S13" s="9"/>
      <c r="T13" s="9"/>
      <c r="U13" s="127">
        <v>0</v>
      </c>
      <c r="V13" s="9"/>
      <c r="W13" s="9"/>
      <c r="X13" s="9"/>
      <c r="Y13" s="8">
        <f>IFERROR((Table3[[#This Row],[F]]/Table3[[#This Row],[Total]]), "")</f>
        <v>1</v>
      </c>
      <c r="Z13" s="8">
        <f>IFERROR((Table3[[#This Row],[M]]/Table3[[#This Row],[Total]]), "")</f>
        <v>0</v>
      </c>
      <c r="AA13" s="8">
        <f>IFERROR((Table3[[#This Row],[Other]]/Table3[[#This Row],[Total]]), "")</f>
        <v>0</v>
      </c>
      <c r="AB13" s="8">
        <f>IFERROR((Table3[[#This Row],[AmInd]]/Table3[[#This Row],[Total]]), "")</f>
        <v>0</v>
      </c>
      <c r="AC13" s="8">
        <f>IFERROR((Table3[[#This Row],[Asian]]/Table3[[#This Row],[Total]]), "")</f>
        <v>0</v>
      </c>
      <c r="AD13" s="8">
        <f>IFERROR((Table3[[#This Row],[Hispanic]]/Table3[[#This Row],[Total]]), "")</f>
        <v>0.35294117647058826</v>
      </c>
      <c r="AE13" s="8">
        <f>IFERROR((Table3[[#This Row],[Black]]/Table3[[#This Row],[Total]]), "")</f>
        <v>0.35294117647058826</v>
      </c>
      <c r="AF13" s="8">
        <f>IFERROR((Table3[[#This Row],[White]]/Table3[[#This Row],[Total]]), "")</f>
        <v>0.29411764705882354</v>
      </c>
      <c r="AG13" s="8">
        <f>IFERROR((Table3[[#This Row],[H/PI]]/Table3[[#This Row],[Total]]), "")</f>
        <v>0</v>
      </c>
      <c r="AH13" s="8">
        <f>IFERROR((Table3[[#This Row],[Multi]]/Table3[[#This Row],[Total]]), "")</f>
        <v>0</v>
      </c>
      <c r="AI13" s="8">
        <f>IFERROR((Table3[[#This Row],[Unknown]]/Table3[[#This Row],[Total]]), "")</f>
        <v>0</v>
      </c>
      <c r="AJ13" s="8">
        <f>IFERROR((Table3[[#This Row],[Dis]]/Table3[[#This Row],[Total]]), "")</f>
        <v>0.70588235294117652</v>
      </c>
      <c r="AK13" s="8">
        <f>IFERROR((Table3[[#This Row],[ED]]/Table3[[#This Row],[Total]]), "")</f>
        <v>0.94117647058823528</v>
      </c>
      <c r="AL13" s="8">
        <f>IFERROR((Table3[[#This Row],[Non-trad]]/Table3[[#This Row],[Total]]), "")</f>
        <v>0</v>
      </c>
      <c r="AM13" s="8">
        <f>IFERROR((Table3[[#This Row],[SP]]/Table3[[#This Row],[Total]]), "")</f>
        <v>0</v>
      </c>
      <c r="AN13" s="8">
        <f>IFERROR((Table3[[#This Row],[OOW]]/Table3[[#This Row],[Total]]), "")</f>
        <v>0</v>
      </c>
      <c r="AO13" s="8">
        <f>IFERROR((Table3[[#This Row],[EL]]/Table3[[#This Row],[Total]]), "")</f>
        <v>0</v>
      </c>
      <c r="AP13" s="8">
        <f>IFERROR((Table3[[#This Row],[Homeless]]/Table3[[#This Row],[Total]]), "")</f>
        <v>0</v>
      </c>
      <c r="AQ13" s="8">
        <f>IFERROR((Table3[[#This Row],[Foster]]/Table3[[#This Row],[Total]]), "")</f>
        <v>0</v>
      </c>
      <c r="AR13" s="8">
        <f>IFERROR((Table3[[#This Row],[AD]]/Table3[[#This Row],[Total]]), "")</f>
        <v>0</v>
      </c>
    </row>
    <row r="14" spans="1:44" x14ac:dyDescent="0.25">
      <c r="A14" s="35"/>
      <c r="B14" s="35" t="s">
        <v>253</v>
      </c>
      <c r="C14" s="182" t="s">
        <v>112</v>
      </c>
      <c r="D14" s="9">
        <v>49</v>
      </c>
      <c r="E14" s="9">
        <v>47</v>
      </c>
      <c r="F14" s="9">
        <v>2</v>
      </c>
      <c r="G14" s="9"/>
      <c r="H14" s="9"/>
      <c r="I14" s="9">
        <v>1</v>
      </c>
      <c r="J14" s="9">
        <v>20</v>
      </c>
      <c r="K14" s="9">
        <v>16</v>
      </c>
      <c r="L14" s="9">
        <v>12</v>
      </c>
      <c r="M14" s="9"/>
      <c r="N14" s="9"/>
      <c r="O14" s="9"/>
      <c r="P14" s="9">
        <v>24</v>
      </c>
      <c r="Q14" s="9">
        <v>32</v>
      </c>
      <c r="R14" s="9"/>
      <c r="S14" s="9"/>
      <c r="T14" s="9"/>
      <c r="U14" s="127">
        <v>0</v>
      </c>
      <c r="V14" s="9"/>
      <c r="W14" s="9"/>
      <c r="X14" s="9"/>
      <c r="Y14" s="8">
        <f>IFERROR((Table3[[#This Row],[F]]/Table3[[#This Row],[Total]]), "")</f>
        <v>0.95918367346938771</v>
      </c>
      <c r="Z14" s="8">
        <f>IFERROR((Table3[[#This Row],[M]]/Table3[[#This Row],[Total]]), "")</f>
        <v>4.0816326530612242E-2</v>
      </c>
      <c r="AA14" s="8">
        <f>IFERROR((Table3[[#This Row],[Other]]/Table3[[#This Row],[Total]]), "")</f>
        <v>0</v>
      </c>
      <c r="AB14" s="8">
        <f>IFERROR((Table3[[#This Row],[AmInd]]/Table3[[#This Row],[Total]]), "")</f>
        <v>0</v>
      </c>
      <c r="AC14" s="8">
        <f>IFERROR((Table3[[#This Row],[Asian]]/Table3[[#This Row],[Total]]), "")</f>
        <v>2.0408163265306121E-2</v>
      </c>
      <c r="AD14" s="8">
        <f>IFERROR((Table3[[#This Row],[Hispanic]]/Table3[[#This Row],[Total]]), "")</f>
        <v>0.40816326530612246</v>
      </c>
      <c r="AE14" s="8">
        <f>IFERROR((Table3[[#This Row],[Black]]/Table3[[#This Row],[Total]]), "")</f>
        <v>0.32653061224489793</v>
      </c>
      <c r="AF14" s="8">
        <f>IFERROR((Table3[[#This Row],[White]]/Table3[[#This Row],[Total]]), "")</f>
        <v>0.24489795918367346</v>
      </c>
      <c r="AG14" s="8">
        <f>IFERROR((Table3[[#This Row],[H/PI]]/Table3[[#This Row],[Total]]), "")</f>
        <v>0</v>
      </c>
      <c r="AH14" s="8">
        <f>IFERROR((Table3[[#This Row],[Multi]]/Table3[[#This Row],[Total]]), "")</f>
        <v>0</v>
      </c>
      <c r="AI14" s="8">
        <f>IFERROR((Table3[[#This Row],[Unknown]]/Table3[[#This Row],[Total]]), "")</f>
        <v>0</v>
      </c>
      <c r="AJ14" s="8">
        <f>IFERROR((Table3[[#This Row],[Dis]]/Table3[[#This Row],[Total]]), "")</f>
        <v>0.48979591836734693</v>
      </c>
      <c r="AK14" s="8">
        <f>IFERROR((Table3[[#This Row],[ED]]/Table3[[#This Row],[Total]]), "")</f>
        <v>0.65306122448979587</v>
      </c>
      <c r="AL14" s="8">
        <f>IFERROR((Table3[[#This Row],[Non-trad]]/Table3[[#This Row],[Total]]), "")</f>
        <v>0</v>
      </c>
      <c r="AM14" s="8">
        <f>IFERROR((Table3[[#This Row],[SP]]/Table3[[#This Row],[Total]]), "")</f>
        <v>0</v>
      </c>
      <c r="AN14" s="8">
        <f>IFERROR((Table3[[#This Row],[OOW]]/Table3[[#This Row],[Total]]), "")</f>
        <v>0</v>
      </c>
      <c r="AO14" s="8">
        <f>IFERROR((Table3[[#This Row],[EL]]/Table3[[#This Row],[Total]]), "")</f>
        <v>0</v>
      </c>
      <c r="AP14" s="8">
        <f>IFERROR((Table3[[#This Row],[Homeless]]/Table3[[#This Row],[Total]]), "")</f>
        <v>0</v>
      </c>
      <c r="AQ14" s="8">
        <f>IFERROR((Table3[[#This Row],[Foster]]/Table3[[#This Row],[Total]]), "")</f>
        <v>0</v>
      </c>
      <c r="AR14" s="8">
        <f>IFERROR((Table3[[#This Row],[AD]]/Table3[[#This Row],[Total]]), "")</f>
        <v>0</v>
      </c>
    </row>
    <row r="15" spans="1:44" x14ac:dyDescent="0.25">
      <c r="A15" s="35"/>
      <c r="B15" s="35" t="s">
        <v>254</v>
      </c>
      <c r="C15" s="182" t="s">
        <v>113</v>
      </c>
      <c r="D15" s="9">
        <v>58</v>
      </c>
      <c r="E15" s="9">
        <v>27</v>
      </c>
      <c r="F15" s="9">
        <v>31</v>
      </c>
      <c r="G15" s="9"/>
      <c r="H15" s="9"/>
      <c r="I15" s="9">
        <v>0</v>
      </c>
      <c r="J15" s="9">
        <v>17</v>
      </c>
      <c r="K15" s="9">
        <v>4</v>
      </c>
      <c r="L15" s="9">
        <v>37</v>
      </c>
      <c r="M15" s="9"/>
      <c r="N15" s="9"/>
      <c r="O15" s="9"/>
      <c r="P15" s="9">
        <v>3</v>
      </c>
      <c r="Q15" s="9">
        <v>32</v>
      </c>
      <c r="R15" s="9"/>
      <c r="S15" s="9"/>
      <c r="T15" s="9"/>
      <c r="U15" s="127">
        <v>0</v>
      </c>
      <c r="V15" s="9"/>
      <c r="W15" s="9"/>
      <c r="X15" s="9"/>
      <c r="Y15" s="8">
        <f>IFERROR((Table3[[#This Row],[F]]/Table3[[#This Row],[Total]]), "")</f>
        <v>0.46551724137931033</v>
      </c>
      <c r="Z15" s="8">
        <f>IFERROR((Table3[[#This Row],[M]]/Table3[[#This Row],[Total]]), "")</f>
        <v>0.53448275862068961</v>
      </c>
      <c r="AA15" s="8">
        <f>IFERROR((Table3[[#This Row],[Other]]/Table3[[#This Row],[Total]]), "")</f>
        <v>0</v>
      </c>
      <c r="AB15" s="8">
        <f>IFERROR((Table3[[#This Row],[AmInd]]/Table3[[#This Row],[Total]]), "")</f>
        <v>0</v>
      </c>
      <c r="AC15" s="8">
        <f>IFERROR((Table3[[#This Row],[Asian]]/Table3[[#This Row],[Total]]), "")</f>
        <v>0</v>
      </c>
      <c r="AD15" s="8">
        <f>IFERROR((Table3[[#This Row],[Hispanic]]/Table3[[#This Row],[Total]]), "")</f>
        <v>0.29310344827586204</v>
      </c>
      <c r="AE15" s="8">
        <f>IFERROR((Table3[[#This Row],[Black]]/Table3[[#This Row],[Total]]), "")</f>
        <v>6.8965517241379309E-2</v>
      </c>
      <c r="AF15" s="8">
        <f>IFERROR((Table3[[#This Row],[White]]/Table3[[#This Row],[Total]]), "")</f>
        <v>0.63793103448275867</v>
      </c>
      <c r="AG15" s="8">
        <f>IFERROR((Table3[[#This Row],[H/PI]]/Table3[[#This Row],[Total]]), "")</f>
        <v>0</v>
      </c>
      <c r="AH15" s="8">
        <f>IFERROR((Table3[[#This Row],[Multi]]/Table3[[#This Row],[Total]]), "")</f>
        <v>0</v>
      </c>
      <c r="AI15" s="8">
        <f>IFERROR((Table3[[#This Row],[Unknown]]/Table3[[#This Row],[Total]]), "")</f>
        <v>0</v>
      </c>
      <c r="AJ15" s="8">
        <f>IFERROR((Table3[[#This Row],[Dis]]/Table3[[#This Row],[Total]]), "")</f>
        <v>5.1724137931034482E-2</v>
      </c>
      <c r="AK15" s="8">
        <f>IFERROR((Table3[[#This Row],[ED]]/Table3[[#This Row],[Total]]), "")</f>
        <v>0.55172413793103448</v>
      </c>
      <c r="AL15" s="8">
        <f>IFERROR((Table3[[#This Row],[Non-trad]]/Table3[[#This Row],[Total]]), "")</f>
        <v>0</v>
      </c>
      <c r="AM15" s="8">
        <f>IFERROR((Table3[[#This Row],[SP]]/Table3[[#This Row],[Total]]), "")</f>
        <v>0</v>
      </c>
      <c r="AN15" s="8">
        <f>IFERROR((Table3[[#This Row],[OOW]]/Table3[[#This Row],[Total]]), "")</f>
        <v>0</v>
      </c>
      <c r="AO15" s="8">
        <f>IFERROR((Table3[[#This Row],[EL]]/Table3[[#This Row],[Total]]), "")</f>
        <v>0</v>
      </c>
      <c r="AP15" s="8">
        <f>IFERROR((Table3[[#This Row],[Homeless]]/Table3[[#This Row],[Total]]), "")</f>
        <v>0</v>
      </c>
      <c r="AQ15" s="8">
        <f>IFERROR((Table3[[#This Row],[Foster]]/Table3[[#This Row],[Total]]), "")</f>
        <v>0</v>
      </c>
      <c r="AR15" s="8">
        <f>IFERROR((Table3[[#This Row],[AD]]/Table3[[#This Row],[Total]]), "")</f>
        <v>0</v>
      </c>
    </row>
    <row r="16" spans="1:44" x14ac:dyDescent="0.25">
      <c r="A16" s="35"/>
      <c r="B16" s="35" t="s">
        <v>255</v>
      </c>
      <c r="C16" s="182" t="s">
        <v>115</v>
      </c>
      <c r="D16" s="9">
        <v>62</v>
      </c>
      <c r="E16" s="9">
        <v>58</v>
      </c>
      <c r="F16" s="9">
        <v>4</v>
      </c>
      <c r="G16" s="9"/>
      <c r="H16" s="9"/>
      <c r="I16" s="9">
        <v>1</v>
      </c>
      <c r="J16" s="9">
        <v>30</v>
      </c>
      <c r="K16" s="9">
        <v>19</v>
      </c>
      <c r="L16" s="9">
        <v>12</v>
      </c>
      <c r="M16" s="9"/>
      <c r="N16" s="9"/>
      <c r="O16" s="9"/>
      <c r="P16" s="9">
        <v>31</v>
      </c>
      <c r="Q16" s="9">
        <v>47</v>
      </c>
      <c r="R16" s="9"/>
      <c r="S16" s="9"/>
      <c r="T16" s="9"/>
      <c r="U16" s="127">
        <v>1</v>
      </c>
      <c r="V16" s="9"/>
      <c r="W16" s="9"/>
      <c r="X16" s="9"/>
      <c r="Y16" s="8">
        <f>IFERROR((Table3[[#This Row],[F]]/Table3[[#This Row],[Total]]), "")</f>
        <v>0.93548387096774188</v>
      </c>
      <c r="Z16" s="8">
        <f>IFERROR((Table3[[#This Row],[M]]/Table3[[#This Row],[Total]]), "")</f>
        <v>6.4516129032258063E-2</v>
      </c>
      <c r="AA16" s="8">
        <f>IFERROR((Table3[[#This Row],[Other]]/Table3[[#This Row],[Total]]), "")</f>
        <v>0</v>
      </c>
      <c r="AB16" s="8">
        <f>IFERROR((Table3[[#This Row],[AmInd]]/Table3[[#This Row],[Total]]), "")</f>
        <v>0</v>
      </c>
      <c r="AC16" s="8">
        <f>IFERROR((Table3[[#This Row],[Asian]]/Table3[[#This Row],[Total]]), "")</f>
        <v>1.6129032258064516E-2</v>
      </c>
      <c r="AD16" s="8">
        <f>IFERROR((Table3[[#This Row],[Hispanic]]/Table3[[#This Row],[Total]]), "")</f>
        <v>0.4838709677419355</v>
      </c>
      <c r="AE16" s="8">
        <f>IFERROR((Table3[[#This Row],[Black]]/Table3[[#This Row],[Total]]), "")</f>
        <v>0.30645161290322581</v>
      </c>
      <c r="AF16" s="8">
        <f>IFERROR((Table3[[#This Row],[White]]/Table3[[#This Row],[Total]]), "")</f>
        <v>0.19354838709677419</v>
      </c>
      <c r="AG16" s="8">
        <f>IFERROR((Table3[[#This Row],[H/PI]]/Table3[[#This Row],[Total]]), "")</f>
        <v>0</v>
      </c>
      <c r="AH16" s="8">
        <f>IFERROR((Table3[[#This Row],[Multi]]/Table3[[#This Row],[Total]]), "")</f>
        <v>0</v>
      </c>
      <c r="AI16" s="8">
        <f>IFERROR((Table3[[#This Row],[Unknown]]/Table3[[#This Row],[Total]]), "")</f>
        <v>0</v>
      </c>
      <c r="AJ16" s="8">
        <f>IFERROR((Table3[[#This Row],[Dis]]/Table3[[#This Row],[Total]]), "")</f>
        <v>0.5</v>
      </c>
      <c r="AK16" s="8">
        <f>IFERROR((Table3[[#This Row],[ED]]/Table3[[#This Row],[Total]]), "")</f>
        <v>0.75806451612903225</v>
      </c>
      <c r="AL16" s="8">
        <f>IFERROR((Table3[[#This Row],[Non-trad]]/Table3[[#This Row],[Total]]), "")</f>
        <v>0</v>
      </c>
      <c r="AM16" s="8">
        <f>IFERROR((Table3[[#This Row],[SP]]/Table3[[#This Row],[Total]]), "")</f>
        <v>0</v>
      </c>
      <c r="AN16" s="8">
        <f>IFERROR((Table3[[#This Row],[OOW]]/Table3[[#This Row],[Total]]), "")</f>
        <v>0</v>
      </c>
      <c r="AO16" s="8">
        <f>IFERROR((Table3[[#This Row],[EL]]/Table3[[#This Row],[Total]]), "")</f>
        <v>1.6129032258064516E-2</v>
      </c>
      <c r="AP16" s="8">
        <f>IFERROR((Table3[[#This Row],[Homeless]]/Table3[[#This Row],[Total]]), "")</f>
        <v>0</v>
      </c>
      <c r="AQ16" s="8">
        <f>IFERROR((Table3[[#This Row],[Foster]]/Table3[[#This Row],[Total]]), "")</f>
        <v>0</v>
      </c>
      <c r="AR16" s="8">
        <f>IFERROR((Table3[[#This Row],[AD]]/Table3[[#This Row],[Total]]), "")</f>
        <v>0</v>
      </c>
    </row>
    <row r="17" spans="1:44" x14ac:dyDescent="0.25">
      <c r="A17" s="35"/>
      <c r="B17" s="35" t="s">
        <v>256</v>
      </c>
      <c r="C17" s="182" t="s">
        <v>115</v>
      </c>
      <c r="D17" s="9">
        <v>75</v>
      </c>
      <c r="E17" s="9">
        <v>57</v>
      </c>
      <c r="F17" s="9">
        <v>18</v>
      </c>
      <c r="G17" s="9"/>
      <c r="H17" s="9"/>
      <c r="I17" s="9">
        <v>8</v>
      </c>
      <c r="J17" s="9">
        <v>10</v>
      </c>
      <c r="K17" s="9">
        <v>12</v>
      </c>
      <c r="L17" s="9">
        <v>45</v>
      </c>
      <c r="M17" s="9"/>
      <c r="N17" s="9"/>
      <c r="O17" s="9"/>
      <c r="P17" s="9">
        <v>2</v>
      </c>
      <c r="Q17" s="9">
        <v>29</v>
      </c>
      <c r="R17" s="9"/>
      <c r="S17" s="9"/>
      <c r="T17" s="9"/>
      <c r="U17" s="127">
        <v>0</v>
      </c>
      <c r="V17" s="9"/>
      <c r="W17" s="9"/>
      <c r="X17" s="9"/>
      <c r="Y17" s="8">
        <f>IFERROR((Table3[[#This Row],[F]]/Table3[[#This Row],[Total]]), "")</f>
        <v>0.76</v>
      </c>
      <c r="Z17" s="8">
        <f>IFERROR((Table3[[#This Row],[M]]/Table3[[#This Row],[Total]]), "")</f>
        <v>0.24</v>
      </c>
      <c r="AA17" s="8">
        <f>IFERROR((Table3[[#This Row],[Other]]/Table3[[#This Row],[Total]]), "")</f>
        <v>0</v>
      </c>
      <c r="AB17" s="8">
        <f>IFERROR((Table3[[#This Row],[AmInd]]/Table3[[#This Row],[Total]]), "")</f>
        <v>0</v>
      </c>
      <c r="AC17" s="8">
        <f>IFERROR((Table3[[#This Row],[Asian]]/Table3[[#This Row],[Total]]), "")</f>
        <v>0.10666666666666667</v>
      </c>
      <c r="AD17" s="8">
        <f>IFERROR((Table3[[#This Row],[Hispanic]]/Table3[[#This Row],[Total]]), "")</f>
        <v>0.13333333333333333</v>
      </c>
      <c r="AE17" s="8">
        <f>IFERROR((Table3[[#This Row],[Black]]/Table3[[#This Row],[Total]]), "")</f>
        <v>0.16</v>
      </c>
      <c r="AF17" s="8">
        <f>IFERROR((Table3[[#This Row],[White]]/Table3[[#This Row],[Total]]), "")</f>
        <v>0.6</v>
      </c>
      <c r="AG17" s="8">
        <f>IFERROR((Table3[[#This Row],[H/PI]]/Table3[[#This Row],[Total]]), "")</f>
        <v>0</v>
      </c>
      <c r="AH17" s="8">
        <f>IFERROR((Table3[[#This Row],[Multi]]/Table3[[#This Row],[Total]]), "")</f>
        <v>0</v>
      </c>
      <c r="AI17" s="8">
        <f>IFERROR((Table3[[#This Row],[Unknown]]/Table3[[#This Row],[Total]]), "")</f>
        <v>0</v>
      </c>
      <c r="AJ17" s="8">
        <f>IFERROR((Table3[[#This Row],[Dis]]/Table3[[#This Row],[Total]]), "")</f>
        <v>2.6666666666666668E-2</v>
      </c>
      <c r="AK17" s="8">
        <f>IFERROR((Table3[[#This Row],[ED]]/Table3[[#This Row],[Total]]), "")</f>
        <v>0.38666666666666666</v>
      </c>
      <c r="AL17" s="8">
        <f>IFERROR((Table3[[#This Row],[Non-trad]]/Table3[[#This Row],[Total]]), "")</f>
        <v>0</v>
      </c>
      <c r="AM17" s="8">
        <f>IFERROR((Table3[[#This Row],[SP]]/Table3[[#This Row],[Total]]), "")</f>
        <v>0</v>
      </c>
      <c r="AN17" s="8">
        <f>IFERROR((Table3[[#This Row],[OOW]]/Table3[[#This Row],[Total]]), "")</f>
        <v>0</v>
      </c>
      <c r="AO17" s="8">
        <f>IFERROR((Table3[[#This Row],[EL]]/Table3[[#This Row],[Total]]), "")</f>
        <v>0</v>
      </c>
      <c r="AP17" s="8">
        <f>IFERROR((Table3[[#This Row],[Homeless]]/Table3[[#This Row],[Total]]), "")</f>
        <v>0</v>
      </c>
      <c r="AQ17" s="8">
        <f>IFERROR((Table3[[#This Row],[Foster]]/Table3[[#This Row],[Total]]), "")</f>
        <v>0</v>
      </c>
      <c r="AR17" s="8">
        <f>IFERROR((Table3[[#This Row],[AD]]/Table3[[#This Row],[Total]]), "")</f>
        <v>0</v>
      </c>
    </row>
    <row r="18" spans="1:44" x14ac:dyDescent="0.25">
      <c r="A18" s="35"/>
      <c r="B18" s="35" t="s">
        <v>257</v>
      </c>
      <c r="C18" s="182" t="s">
        <v>18</v>
      </c>
      <c r="D18" s="9">
        <v>59</v>
      </c>
      <c r="E18" s="9">
        <v>27</v>
      </c>
      <c r="F18" s="9">
        <v>32</v>
      </c>
      <c r="G18" s="9"/>
      <c r="H18" s="9"/>
      <c r="I18" s="9">
        <v>1</v>
      </c>
      <c r="J18" s="9">
        <v>24</v>
      </c>
      <c r="K18" s="9">
        <v>12</v>
      </c>
      <c r="L18" s="9">
        <v>20</v>
      </c>
      <c r="M18" s="9"/>
      <c r="N18" s="9"/>
      <c r="O18" s="9"/>
      <c r="P18" s="9">
        <v>4</v>
      </c>
      <c r="Q18" s="9">
        <v>31</v>
      </c>
      <c r="R18" s="9"/>
      <c r="S18" s="9"/>
      <c r="T18" s="9"/>
      <c r="U18" s="127">
        <v>0</v>
      </c>
      <c r="V18" s="9"/>
      <c r="W18" s="9"/>
      <c r="X18" s="9"/>
      <c r="Y18" s="8">
        <f>IFERROR((Table3[[#This Row],[F]]/Table3[[#This Row],[Total]]), "")</f>
        <v>0.4576271186440678</v>
      </c>
      <c r="Z18" s="8">
        <f>IFERROR((Table3[[#This Row],[M]]/Table3[[#This Row],[Total]]), "")</f>
        <v>0.5423728813559322</v>
      </c>
      <c r="AA18" s="8">
        <f>IFERROR((Table3[[#This Row],[Other]]/Table3[[#This Row],[Total]]), "")</f>
        <v>0</v>
      </c>
      <c r="AB18" s="8">
        <f>IFERROR((Table3[[#This Row],[AmInd]]/Table3[[#This Row],[Total]]), "")</f>
        <v>0</v>
      </c>
      <c r="AC18" s="8">
        <f>IFERROR((Table3[[#This Row],[Asian]]/Table3[[#This Row],[Total]]), "")</f>
        <v>1.6949152542372881E-2</v>
      </c>
      <c r="AD18" s="8">
        <f>IFERROR((Table3[[#This Row],[Hispanic]]/Table3[[#This Row],[Total]]), "")</f>
        <v>0.40677966101694918</v>
      </c>
      <c r="AE18" s="8">
        <f>IFERROR((Table3[[#This Row],[Black]]/Table3[[#This Row],[Total]]), "")</f>
        <v>0.20338983050847459</v>
      </c>
      <c r="AF18" s="8">
        <f>IFERROR((Table3[[#This Row],[White]]/Table3[[#This Row],[Total]]), "")</f>
        <v>0.33898305084745761</v>
      </c>
      <c r="AG18" s="8">
        <f>IFERROR((Table3[[#This Row],[H/PI]]/Table3[[#This Row],[Total]]), "")</f>
        <v>0</v>
      </c>
      <c r="AH18" s="8">
        <f>IFERROR((Table3[[#This Row],[Multi]]/Table3[[#This Row],[Total]]), "")</f>
        <v>0</v>
      </c>
      <c r="AI18" s="8">
        <f>IFERROR((Table3[[#This Row],[Unknown]]/Table3[[#This Row],[Total]]), "")</f>
        <v>0</v>
      </c>
      <c r="AJ18" s="8">
        <f>IFERROR((Table3[[#This Row],[Dis]]/Table3[[#This Row],[Total]]), "")</f>
        <v>6.7796610169491525E-2</v>
      </c>
      <c r="AK18" s="8">
        <f>IFERROR((Table3[[#This Row],[ED]]/Table3[[#This Row],[Total]]), "")</f>
        <v>0.52542372881355937</v>
      </c>
      <c r="AL18" s="8">
        <f>IFERROR((Table3[[#This Row],[Non-trad]]/Table3[[#This Row],[Total]]), "")</f>
        <v>0</v>
      </c>
      <c r="AM18" s="8">
        <f>IFERROR((Table3[[#This Row],[SP]]/Table3[[#This Row],[Total]]), "")</f>
        <v>0</v>
      </c>
      <c r="AN18" s="8">
        <f>IFERROR((Table3[[#This Row],[OOW]]/Table3[[#This Row],[Total]]), "")</f>
        <v>0</v>
      </c>
      <c r="AO18" s="8">
        <f>IFERROR((Table3[[#This Row],[EL]]/Table3[[#This Row],[Total]]), "")</f>
        <v>0</v>
      </c>
      <c r="AP18" s="8">
        <f>IFERROR((Table3[[#This Row],[Homeless]]/Table3[[#This Row],[Total]]), "")</f>
        <v>0</v>
      </c>
      <c r="AQ18" s="8">
        <f>IFERROR((Table3[[#This Row],[Foster]]/Table3[[#This Row],[Total]]), "")</f>
        <v>0</v>
      </c>
      <c r="AR18" s="8">
        <f>IFERROR((Table3[[#This Row],[AD]]/Table3[[#This Row],[Total]]), "")</f>
        <v>0</v>
      </c>
    </row>
    <row r="19" spans="1:44" x14ac:dyDescent="0.25">
      <c r="A19" s="35"/>
      <c r="B19" s="35" t="s">
        <v>258</v>
      </c>
      <c r="C19" s="182" t="s">
        <v>18</v>
      </c>
      <c r="D19" s="9">
        <v>43</v>
      </c>
      <c r="E19" s="9">
        <v>26</v>
      </c>
      <c r="F19" s="9">
        <v>17</v>
      </c>
      <c r="G19" s="9"/>
      <c r="H19" s="9"/>
      <c r="I19" s="9">
        <v>0</v>
      </c>
      <c r="J19" s="9">
        <v>15</v>
      </c>
      <c r="K19" s="9">
        <v>12</v>
      </c>
      <c r="L19" s="9">
        <v>15</v>
      </c>
      <c r="M19" s="9"/>
      <c r="N19" s="9"/>
      <c r="O19" s="9"/>
      <c r="P19" s="9">
        <v>36</v>
      </c>
      <c r="Q19" s="9">
        <v>33</v>
      </c>
      <c r="R19" s="9"/>
      <c r="S19" s="9"/>
      <c r="T19" s="9"/>
      <c r="U19" s="127">
        <v>1</v>
      </c>
      <c r="V19" s="9"/>
      <c r="W19" s="9"/>
      <c r="X19" s="9"/>
      <c r="Y19" s="8">
        <f>IFERROR((Table3[[#This Row],[F]]/Table3[[#This Row],[Total]]), "")</f>
        <v>0.60465116279069764</v>
      </c>
      <c r="Z19" s="8">
        <f>IFERROR((Table3[[#This Row],[M]]/Table3[[#This Row],[Total]]), "")</f>
        <v>0.39534883720930231</v>
      </c>
      <c r="AA19" s="8">
        <f>IFERROR((Table3[[#This Row],[Other]]/Table3[[#This Row],[Total]]), "")</f>
        <v>0</v>
      </c>
      <c r="AB19" s="8">
        <f>IFERROR((Table3[[#This Row],[AmInd]]/Table3[[#This Row],[Total]]), "")</f>
        <v>0</v>
      </c>
      <c r="AC19" s="8">
        <f>IFERROR((Table3[[#This Row],[Asian]]/Table3[[#This Row],[Total]]), "")</f>
        <v>0</v>
      </c>
      <c r="AD19" s="8">
        <f>IFERROR((Table3[[#This Row],[Hispanic]]/Table3[[#This Row],[Total]]), "")</f>
        <v>0.34883720930232559</v>
      </c>
      <c r="AE19" s="8">
        <f>IFERROR((Table3[[#This Row],[Black]]/Table3[[#This Row],[Total]]), "")</f>
        <v>0.27906976744186046</v>
      </c>
      <c r="AF19" s="8">
        <f>IFERROR((Table3[[#This Row],[White]]/Table3[[#This Row],[Total]]), "")</f>
        <v>0.34883720930232559</v>
      </c>
      <c r="AG19" s="8">
        <f>IFERROR((Table3[[#This Row],[H/PI]]/Table3[[#This Row],[Total]]), "")</f>
        <v>0</v>
      </c>
      <c r="AH19" s="8">
        <f>IFERROR((Table3[[#This Row],[Multi]]/Table3[[#This Row],[Total]]), "")</f>
        <v>0</v>
      </c>
      <c r="AI19" s="8">
        <f>IFERROR((Table3[[#This Row],[Unknown]]/Table3[[#This Row],[Total]]), "")</f>
        <v>0</v>
      </c>
      <c r="AJ19" s="8">
        <f>IFERROR((Table3[[#This Row],[Dis]]/Table3[[#This Row],[Total]]), "")</f>
        <v>0.83720930232558144</v>
      </c>
      <c r="AK19" s="8">
        <f>IFERROR((Table3[[#This Row],[ED]]/Table3[[#This Row],[Total]]), "")</f>
        <v>0.76744186046511631</v>
      </c>
      <c r="AL19" s="8">
        <f>IFERROR((Table3[[#This Row],[Non-trad]]/Table3[[#This Row],[Total]]), "")</f>
        <v>0</v>
      </c>
      <c r="AM19" s="8">
        <f>IFERROR((Table3[[#This Row],[SP]]/Table3[[#This Row],[Total]]), "")</f>
        <v>0</v>
      </c>
      <c r="AN19" s="8">
        <f>IFERROR((Table3[[#This Row],[OOW]]/Table3[[#This Row],[Total]]), "")</f>
        <v>0</v>
      </c>
      <c r="AO19" s="8">
        <f>IFERROR((Table3[[#This Row],[EL]]/Table3[[#This Row],[Total]]), "")</f>
        <v>2.3255813953488372E-2</v>
      </c>
      <c r="AP19" s="8">
        <f>IFERROR((Table3[[#This Row],[Homeless]]/Table3[[#This Row],[Total]]), "")</f>
        <v>0</v>
      </c>
      <c r="AQ19" s="8">
        <f>IFERROR((Table3[[#This Row],[Foster]]/Table3[[#This Row],[Total]]), "")</f>
        <v>0</v>
      </c>
      <c r="AR19" s="8">
        <f>IFERROR((Table3[[#This Row],[AD]]/Table3[[#This Row],[Total]]), "")</f>
        <v>0</v>
      </c>
    </row>
    <row r="20" spans="1:44" x14ac:dyDescent="0.25">
      <c r="A20" s="35"/>
      <c r="B20" s="35" t="s">
        <v>259</v>
      </c>
      <c r="C20" s="182" t="s">
        <v>18</v>
      </c>
      <c r="D20" s="9">
        <v>55</v>
      </c>
      <c r="E20" s="9">
        <v>28</v>
      </c>
      <c r="F20" s="9">
        <v>27</v>
      </c>
      <c r="G20" s="9"/>
      <c r="H20" s="9"/>
      <c r="I20" s="9">
        <v>2</v>
      </c>
      <c r="J20" s="9">
        <v>23</v>
      </c>
      <c r="K20" s="9">
        <v>10</v>
      </c>
      <c r="L20" s="9">
        <v>15</v>
      </c>
      <c r="M20" s="9"/>
      <c r="N20" s="9"/>
      <c r="O20" s="9"/>
      <c r="P20" s="9">
        <v>3</v>
      </c>
      <c r="Q20" s="9">
        <v>33</v>
      </c>
      <c r="R20" s="9"/>
      <c r="S20" s="9"/>
      <c r="T20" s="9"/>
      <c r="U20" s="127">
        <v>0</v>
      </c>
      <c r="V20" s="9"/>
      <c r="W20" s="9"/>
      <c r="X20" s="9"/>
      <c r="Y20" s="8">
        <f>IFERROR((Table3[[#This Row],[F]]/Table3[[#This Row],[Total]]), "")</f>
        <v>0.50909090909090904</v>
      </c>
      <c r="Z20" s="8">
        <f>IFERROR((Table3[[#This Row],[M]]/Table3[[#This Row],[Total]]), "")</f>
        <v>0.49090909090909091</v>
      </c>
      <c r="AA20" s="8">
        <f>IFERROR((Table3[[#This Row],[Other]]/Table3[[#This Row],[Total]]), "")</f>
        <v>0</v>
      </c>
      <c r="AB20" s="8">
        <f>IFERROR((Table3[[#This Row],[AmInd]]/Table3[[#This Row],[Total]]), "")</f>
        <v>0</v>
      </c>
      <c r="AC20" s="8">
        <f>IFERROR((Table3[[#This Row],[Asian]]/Table3[[#This Row],[Total]]), "")</f>
        <v>3.6363636363636362E-2</v>
      </c>
      <c r="AD20" s="8">
        <f>IFERROR((Table3[[#This Row],[Hispanic]]/Table3[[#This Row],[Total]]), "")</f>
        <v>0.41818181818181815</v>
      </c>
      <c r="AE20" s="8">
        <f>IFERROR((Table3[[#This Row],[Black]]/Table3[[#This Row],[Total]]), "")</f>
        <v>0.18181818181818182</v>
      </c>
      <c r="AF20" s="8">
        <f>IFERROR((Table3[[#This Row],[White]]/Table3[[#This Row],[Total]]), "")</f>
        <v>0.27272727272727271</v>
      </c>
      <c r="AG20" s="8">
        <f>IFERROR((Table3[[#This Row],[H/PI]]/Table3[[#This Row],[Total]]), "")</f>
        <v>0</v>
      </c>
      <c r="AH20" s="8">
        <f>IFERROR((Table3[[#This Row],[Multi]]/Table3[[#This Row],[Total]]), "")</f>
        <v>0</v>
      </c>
      <c r="AI20" s="8">
        <f>IFERROR((Table3[[#This Row],[Unknown]]/Table3[[#This Row],[Total]]), "")</f>
        <v>0</v>
      </c>
      <c r="AJ20" s="8">
        <f>IFERROR((Table3[[#This Row],[Dis]]/Table3[[#This Row],[Total]]), "")</f>
        <v>5.4545454545454543E-2</v>
      </c>
      <c r="AK20" s="8">
        <f>IFERROR((Table3[[#This Row],[ED]]/Table3[[#This Row],[Total]]), "")</f>
        <v>0.6</v>
      </c>
      <c r="AL20" s="8">
        <f>IFERROR((Table3[[#This Row],[Non-trad]]/Table3[[#This Row],[Total]]), "")</f>
        <v>0</v>
      </c>
      <c r="AM20" s="8">
        <f>IFERROR((Table3[[#This Row],[SP]]/Table3[[#This Row],[Total]]), "")</f>
        <v>0</v>
      </c>
      <c r="AN20" s="8">
        <f>IFERROR((Table3[[#This Row],[OOW]]/Table3[[#This Row],[Total]]), "")</f>
        <v>0</v>
      </c>
      <c r="AO20" s="8">
        <f>IFERROR((Table3[[#This Row],[EL]]/Table3[[#This Row],[Total]]), "")</f>
        <v>0</v>
      </c>
      <c r="AP20" s="8">
        <f>IFERROR((Table3[[#This Row],[Homeless]]/Table3[[#This Row],[Total]]), "")</f>
        <v>0</v>
      </c>
      <c r="AQ20" s="8">
        <f>IFERROR((Table3[[#This Row],[Foster]]/Table3[[#This Row],[Total]]), "")</f>
        <v>0</v>
      </c>
      <c r="AR20" s="8">
        <f>IFERROR((Table3[[#This Row],[AD]]/Table3[[#This Row],[Total]]), "")</f>
        <v>0</v>
      </c>
    </row>
    <row r="21" spans="1:44" x14ac:dyDescent="0.25">
      <c r="A21" s="35"/>
      <c r="B21" s="35" t="s">
        <v>260</v>
      </c>
      <c r="C21" s="182" t="s">
        <v>16</v>
      </c>
      <c r="D21" s="9">
        <v>70</v>
      </c>
      <c r="E21" s="9">
        <v>68</v>
      </c>
      <c r="F21" s="9">
        <v>2</v>
      </c>
      <c r="G21" s="9"/>
      <c r="H21" s="9"/>
      <c r="I21" s="9">
        <v>0</v>
      </c>
      <c r="J21" s="9">
        <v>20</v>
      </c>
      <c r="K21" s="9">
        <v>15</v>
      </c>
      <c r="L21" s="9">
        <v>35</v>
      </c>
      <c r="M21" s="9"/>
      <c r="N21" s="9"/>
      <c r="O21" s="9"/>
      <c r="P21" s="9">
        <v>21</v>
      </c>
      <c r="Q21" s="9">
        <v>36</v>
      </c>
      <c r="R21" s="9"/>
      <c r="S21" s="9"/>
      <c r="T21" s="9"/>
      <c r="U21" s="127">
        <v>1</v>
      </c>
      <c r="V21" s="9"/>
      <c r="W21" s="9"/>
      <c r="X21" s="9"/>
      <c r="Y21" s="8">
        <f>IFERROR((Table3[[#This Row],[F]]/Table3[[#This Row],[Total]]), "")</f>
        <v>0.97142857142857142</v>
      </c>
      <c r="Z21" s="8">
        <f>IFERROR((Table3[[#This Row],[M]]/Table3[[#This Row],[Total]]), "")</f>
        <v>2.8571428571428571E-2</v>
      </c>
      <c r="AA21" s="8">
        <f>IFERROR((Table3[[#This Row],[Other]]/Table3[[#This Row],[Total]]), "")</f>
        <v>0</v>
      </c>
      <c r="AB21" s="8">
        <f>IFERROR((Table3[[#This Row],[AmInd]]/Table3[[#This Row],[Total]]), "")</f>
        <v>0</v>
      </c>
      <c r="AC21" s="8">
        <f>IFERROR((Table3[[#This Row],[Asian]]/Table3[[#This Row],[Total]]), "")</f>
        <v>0</v>
      </c>
      <c r="AD21" s="8">
        <f>IFERROR((Table3[[#This Row],[Hispanic]]/Table3[[#This Row],[Total]]), "")</f>
        <v>0.2857142857142857</v>
      </c>
      <c r="AE21" s="8">
        <f>IFERROR((Table3[[#This Row],[Black]]/Table3[[#This Row],[Total]]), "")</f>
        <v>0.21428571428571427</v>
      </c>
      <c r="AF21" s="8">
        <f>IFERROR((Table3[[#This Row],[White]]/Table3[[#This Row],[Total]]), "")</f>
        <v>0.5</v>
      </c>
      <c r="AG21" s="8">
        <f>IFERROR((Table3[[#This Row],[H/PI]]/Table3[[#This Row],[Total]]), "")</f>
        <v>0</v>
      </c>
      <c r="AH21" s="8">
        <f>IFERROR((Table3[[#This Row],[Multi]]/Table3[[#This Row],[Total]]), "")</f>
        <v>0</v>
      </c>
      <c r="AI21" s="8">
        <f>IFERROR((Table3[[#This Row],[Unknown]]/Table3[[#This Row],[Total]]), "")</f>
        <v>0</v>
      </c>
      <c r="AJ21" s="8">
        <f>IFERROR((Table3[[#This Row],[Dis]]/Table3[[#This Row],[Total]]), "")</f>
        <v>0.3</v>
      </c>
      <c r="AK21" s="8">
        <f>IFERROR((Table3[[#This Row],[ED]]/Table3[[#This Row],[Total]]), "")</f>
        <v>0.51428571428571423</v>
      </c>
      <c r="AL21" s="8">
        <f>IFERROR((Table3[[#This Row],[Non-trad]]/Table3[[#This Row],[Total]]), "")</f>
        <v>0</v>
      </c>
      <c r="AM21" s="8">
        <f>IFERROR((Table3[[#This Row],[SP]]/Table3[[#This Row],[Total]]), "")</f>
        <v>0</v>
      </c>
      <c r="AN21" s="8">
        <f>IFERROR((Table3[[#This Row],[OOW]]/Table3[[#This Row],[Total]]), "")</f>
        <v>0</v>
      </c>
      <c r="AO21" s="8">
        <f>IFERROR((Table3[[#This Row],[EL]]/Table3[[#This Row],[Total]]), "")</f>
        <v>1.4285714285714285E-2</v>
      </c>
      <c r="AP21" s="8">
        <f>IFERROR((Table3[[#This Row],[Homeless]]/Table3[[#This Row],[Total]]), "")</f>
        <v>0</v>
      </c>
      <c r="AQ21" s="8">
        <f>IFERROR((Table3[[#This Row],[Foster]]/Table3[[#This Row],[Total]]), "")</f>
        <v>0</v>
      </c>
      <c r="AR21" s="8">
        <f>IFERROR((Table3[[#This Row],[AD]]/Table3[[#This Row],[Total]]), "")</f>
        <v>0</v>
      </c>
    </row>
    <row r="22" spans="1:44" x14ac:dyDescent="0.25">
      <c r="A22" s="35"/>
      <c r="B22" s="35" t="s">
        <v>261</v>
      </c>
      <c r="C22" s="182" t="s">
        <v>16</v>
      </c>
      <c r="D22" s="9">
        <v>62</v>
      </c>
      <c r="E22" s="9">
        <v>62</v>
      </c>
      <c r="F22" s="9">
        <v>0</v>
      </c>
      <c r="G22" s="9"/>
      <c r="H22" s="9"/>
      <c r="I22" s="9">
        <v>1</v>
      </c>
      <c r="J22" s="9">
        <v>20</v>
      </c>
      <c r="K22" s="9">
        <v>13</v>
      </c>
      <c r="L22" s="9">
        <v>28</v>
      </c>
      <c r="M22" s="9"/>
      <c r="N22" s="9"/>
      <c r="O22" s="9"/>
      <c r="P22" s="9">
        <v>34</v>
      </c>
      <c r="Q22" s="9">
        <v>48</v>
      </c>
      <c r="R22" s="9"/>
      <c r="S22" s="9"/>
      <c r="T22" s="9"/>
      <c r="U22" s="127">
        <v>1</v>
      </c>
      <c r="V22" s="9"/>
      <c r="W22" s="9"/>
      <c r="X22" s="9"/>
      <c r="Y22" s="8">
        <f>IFERROR((Table3[[#This Row],[F]]/Table3[[#This Row],[Total]]), "")</f>
        <v>1</v>
      </c>
      <c r="Z22" s="8">
        <f>IFERROR((Table3[[#This Row],[M]]/Table3[[#This Row],[Total]]), "")</f>
        <v>0</v>
      </c>
      <c r="AA22" s="8">
        <f>IFERROR((Table3[[#This Row],[Other]]/Table3[[#This Row],[Total]]), "")</f>
        <v>0</v>
      </c>
      <c r="AB22" s="8">
        <f>IFERROR((Table3[[#This Row],[AmInd]]/Table3[[#This Row],[Total]]), "")</f>
        <v>0</v>
      </c>
      <c r="AC22" s="8">
        <f>IFERROR((Table3[[#This Row],[Asian]]/Table3[[#This Row],[Total]]), "")</f>
        <v>1.6129032258064516E-2</v>
      </c>
      <c r="AD22" s="8">
        <f>IFERROR((Table3[[#This Row],[Hispanic]]/Table3[[#This Row],[Total]]), "")</f>
        <v>0.32258064516129031</v>
      </c>
      <c r="AE22" s="8">
        <f>IFERROR((Table3[[#This Row],[Black]]/Table3[[#This Row],[Total]]), "")</f>
        <v>0.20967741935483872</v>
      </c>
      <c r="AF22" s="8">
        <f>IFERROR((Table3[[#This Row],[White]]/Table3[[#This Row],[Total]]), "")</f>
        <v>0.45161290322580644</v>
      </c>
      <c r="AG22" s="8">
        <f>IFERROR((Table3[[#This Row],[H/PI]]/Table3[[#This Row],[Total]]), "")</f>
        <v>0</v>
      </c>
      <c r="AH22" s="8">
        <f>IFERROR((Table3[[#This Row],[Multi]]/Table3[[#This Row],[Total]]), "")</f>
        <v>0</v>
      </c>
      <c r="AI22" s="8">
        <f>IFERROR((Table3[[#This Row],[Unknown]]/Table3[[#This Row],[Total]]), "")</f>
        <v>0</v>
      </c>
      <c r="AJ22" s="8">
        <f>IFERROR((Table3[[#This Row],[Dis]]/Table3[[#This Row],[Total]]), "")</f>
        <v>0.54838709677419351</v>
      </c>
      <c r="AK22" s="8">
        <f>IFERROR((Table3[[#This Row],[ED]]/Table3[[#This Row],[Total]]), "")</f>
        <v>0.77419354838709675</v>
      </c>
      <c r="AL22" s="8">
        <f>IFERROR((Table3[[#This Row],[Non-trad]]/Table3[[#This Row],[Total]]), "")</f>
        <v>0</v>
      </c>
      <c r="AM22" s="8">
        <f>IFERROR((Table3[[#This Row],[SP]]/Table3[[#This Row],[Total]]), "")</f>
        <v>0</v>
      </c>
      <c r="AN22" s="8">
        <f>IFERROR((Table3[[#This Row],[OOW]]/Table3[[#This Row],[Total]]), "")</f>
        <v>0</v>
      </c>
      <c r="AO22" s="8">
        <f>IFERROR((Table3[[#This Row],[EL]]/Table3[[#This Row],[Total]]), "")</f>
        <v>1.6129032258064516E-2</v>
      </c>
      <c r="AP22" s="8">
        <f>IFERROR((Table3[[#This Row],[Homeless]]/Table3[[#This Row],[Total]]), "")</f>
        <v>0</v>
      </c>
      <c r="AQ22" s="8">
        <f>IFERROR((Table3[[#This Row],[Foster]]/Table3[[#This Row],[Total]]), "")</f>
        <v>0</v>
      </c>
      <c r="AR22" s="8">
        <f>IFERROR((Table3[[#This Row],[AD]]/Table3[[#This Row],[Total]]), "")</f>
        <v>0</v>
      </c>
    </row>
    <row r="23" spans="1:44" x14ac:dyDescent="0.25">
      <c r="A23" s="35"/>
      <c r="B23" s="35" t="s">
        <v>262</v>
      </c>
      <c r="C23" s="182" t="s">
        <v>116</v>
      </c>
      <c r="D23" s="9">
        <v>78</v>
      </c>
      <c r="E23" s="9">
        <v>12</v>
      </c>
      <c r="F23" s="9">
        <v>66</v>
      </c>
      <c r="G23" s="9"/>
      <c r="H23" s="9"/>
      <c r="I23" s="9">
        <v>14</v>
      </c>
      <c r="J23" s="9">
        <v>10</v>
      </c>
      <c r="K23" s="9">
        <v>6</v>
      </c>
      <c r="L23" s="9">
        <v>48</v>
      </c>
      <c r="M23" s="9"/>
      <c r="N23" s="9"/>
      <c r="O23" s="9"/>
      <c r="P23" s="9"/>
      <c r="Q23" s="9">
        <v>23</v>
      </c>
      <c r="R23" s="9"/>
      <c r="S23" s="9"/>
      <c r="T23" s="9"/>
      <c r="U23" s="127">
        <v>0</v>
      </c>
      <c r="V23" s="9"/>
      <c r="W23" s="9"/>
      <c r="X23" s="9"/>
      <c r="Y23" s="8">
        <f>IFERROR((Table3[[#This Row],[F]]/Table3[[#This Row],[Total]]), "")</f>
        <v>0.15384615384615385</v>
      </c>
      <c r="Z23" s="8">
        <f>IFERROR((Table3[[#This Row],[M]]/Table3[[#This Row],[Total]]), "")</f>
        <v>0.84615384615384615</v>
      </c>
      <c r="AA23" s="8">
        <f>IFERROR((Table3[[#This Row],[Other]]/Table3[[#This Row],[Total]]), "")</f>
        <v>0</v>
      </c>
      <c r="AB23" s="8">
        <f>IFERROR((Table3[[#This Row],[AmInd]]/Table3[[#This Row],[Total]]), "")</f>
        <v>0</v>
      </c>
      <c r="AC23" s="8">
        <f>IFERROR((Table3[[#This Row],[Asian]]/Table3[[#This Row],[Total]]), "")</f>
        <v>0.17948717948717949</v>
      </c>
      <c r="AD23" s="8">
        <f>IFERROR((Table3[[#This Row],[Hispanic]]/Table3[[#This Row],[Total]]), "")</f>
        <v>0.12820512820512819</v>
      </c>
      <c r="AE23" s="8">
        <f>IFERROR((Table3[[#This Row],[Black]]/Table3[[#This Row],[Total]]), "")</f>
        <v>7.6923076923076927E-2</v>
      </c>
      <c r="AF23" s="8">
        <f>IFERROR((Table3[[#This Row],[White]]/Table3[[#This Row],[Total]]), "")</f>
        <v>0.61538461538461542</v>
      </c>
      <c r="AG23" s="8">
        <f>IFERROR((Table3[[#This Row],[H/PI]]/Table3[[#This Row],[Total]]), "")</f>
        <v>0</v>
      </c>
      <c r="AH23" s="8">
        <f>IFERROR((Table3[[#This Row],[Multi]]/Table3[[#This Row],[Total]]), "")</f>
        <v>0</v>
      </c>
      <c r="AI23" s="8">
        <f>IFERROR((Table3[[#This Row],[Unknown]]/Table3[[#This Row],[Total]]), "")</f>
        <v>0</v>
      </c>
      <c r="AJ23" s="8">
        <f>IFERROR((Table3[[#This Row],[Dis]]/Table3[[#This Row],[Total]]), "")</f>
        <v>0</v>
      </c>
      <c r="AK23" s="8">
        <f>IFERROR((Table3[[#This Row],[ED]]/Table3[[#This Row],[Total]]), "")</f>
        <v>0.29487179487179488</v>
      </c>
      <c r="AL23" s="8">
        <f>IFERROR((Table3[[#This Row],[Non-trad]]/Table3[[#This Row],[Total]]), "")</f>
        <v>0</v>
      </c>
      <c r="AM23" s="8">
        <f>IFERROR((Table3[[#This Row],[SP]]/Table3[[#This Row],[Total]]), "")</f>
        <v>0</v>
      </c>
      <c r="AN23" s="8">
        <f>IFERROR((Table3[[#This Row],[OOW]]/Table3[[#This Row],[Total]]), "")</f>
        <v>0</v>
      </c>
      <c r="AO23" s="8">
        <f>IFERROR((Table3[[#This Row],[EL]]/Table3[[#This Row],[Total]]), "")</f>
        <v>0</v>
      </c>
      <c r="AP23" s="8">
        <f>IFERROR((Table3[[#This Row],[Homeless]]/Table3[[#This Row],[Total]]), "")</f>
        <v>0</v>
      </c>
      <c r="AQ23" s="8">
        <f>IFERROR((Table3[[#This Row],[Foster]]/Table3[[#This Row],[Total]]), "")</f>
        <v>0</v>
      </c>
      <c r="AR23" s="8">
        <f>IFERROR((Table3[[#This Row],[AD]]/Table3[[#This Row],[Total]]), "")</f>
        <v>0</v>
      </c>
    </row>
    <row r="24" spans="1:44" x14ac:dyDescent="0.25">
      <c r="A24" s="35"/>
      <c r="B24" s="35" t="s">
        <v>263</v>
      </c>
      <c r="C24" s="182" t="s">
        <v>116</v>
      </c>
      <c r="D24" s="9">
        <v>85</v>
      </c>
      <c r="E24" s="9">
        <v>44</v>
      </c>
      <c r="F24" s="9">
        <v>41</v>
      </c>
      <c r="G24" s="9"/>
      <c r="H24" s="9"/>
      <c r="I24" s="9">
        <v>10</v>
      </c>
      <c r="J24" s="9">
        <v>16</v>
      </c>
      <c r="K24" s="9">
        <v>14</v>
      </c>
      <c r="L24" s="9">
        <v>45</v>
      </c>
      <c r="M24" s="9"/>
      <c r="N24" s="9"/>
      <c r="O24" s="9"/>
      <c r="P24" s="9">
        <v>3</v>
      </c>
      <c r="Q24" s="9">
        <v>36</v>
      </c>
      <c r="R24" s="9"/>
      <c r="S24" s="9"/>
      <c r="T24" s="9"/>
      <c r="U24" s="127">
        <v>0</v>
      </c>
      <c r="V24" s="9"/>
      <c r="W24" s="9"/>
      <c r="X24" s="9"/>
      <c r="Y24" s="8">
        <f>IFERROR((Table3[[#This Row],[F]]/Table3[[#This Row],[Total]]), "")</f>
        <v>0.51764705882352946</v>
      </c>
      <c r="Z24" s="8">
        <f>IFERROR((Table3[[#This Row],[M]]/Table3[[#This Row],[Total]]), "")</f>
        <v>0.4823529411764706</v>
      </c>
      <c r="AA24" s="8">
        <f>IFERROR((Table3[[#This Row],[Other]]/Table3[[#This Row],[Total]]), "")</f>
        <v>0</v>
      </c>
      <c r="AB24" s="8">
        <f>IFERROR((Table3[[#This Row],[AmInd]]/Table3[[#This Row],[Total]]), "")</f>
        <v>0</v>
      </c>
      <c r="AC24" s="8">
        <f>IFERROR((Table3[[#This Row],[Asian]]/Table3[[#This Row],[Total]]), "")</f>
        <v>0.11764705882352941</v>
      </c>
      <c r="AD24" s="8">
        <f>IFERROR((Table3[[#This Row],[Hispanic]]/Table3[[#This Row],[Total]]), "")</f>
        <v>0.18823529411764706</v>
      </c>
      <c r="AE24" s="8">
        <f>IFERROR((Table3[[#This Row],[Black]]/Table3[[#This Row],[Total]]), "")</f>
        <v>0.16470588235294117</v>
      </c>
      <c r="AF24" s="8">
        <f>IFERROR((Table3[[#This Row],[White]]/Table3[[#This Row],[Total]]), "")</f>
        <v>0.52941176470588236</v>
      </c>
      <c r="AG24" s="8">
        <f>IFERROR((Table3[[#This Row],[H/PI]]/Table3[[#This Row],[Total]]), "")</f>
        <v>0</v>
      </c>
      <c r="AH24" s="8">
        <f>IFERROR((Table3[[#This Row],[Multi]]/Table3[[#This Row],[Total]]), "")</f>
        <v>0</v>
      </c>
      <c r="AI24" s="8">
        <f>IFERROR((Table3[[#This Row],[Unknown]]/Table3[[#This Row],[Total]]), "")</f>
        <v>0</v>
      </c>
      <c r="AJ24" s="8">
        <f>IFERROR((Table3[[#This Row],[Dis]]/Table3[[#This Row],[Total]]), "")</f>
        <v>3.5294117647058823E-2</v>
      </c>
      <c r="AK24" s="8">
        <f>IFERROR((Table3[[#This Row],[ED]]/Table3[[#This Row],[Total]]), "")</f>
        <v>0.42352941176470588</v>
      </c>
      <c r="AL24" s="8">
        <f>IFERROR((Table3[[#This Row],[Non-trad]]/Table3[[#This Row],[Total]]), "")</f>
        <v>0</v>
      </c>
      <c r="AM24" s="8">
        <f>IFERROR((Table3[[#This Row],[SP]]/Table3[[#This Row],[Total]]), "")</f>
        <v>0</v>
      </c>
      <c r="AN24" s="8">
        <f>IFERROR((Table3[[#This Row],[OOW]]/Table3[[#This Row],[Total]]), "")</f>
        <v>0</v>
      </c>
      <c r="AO24" s="8">
        <f>IFERROR((Table3[[#This Row],[EL]]/Table3[[#This Row],[Total]]), "")</f>
        <v>0</v>
      </c>
      <c r="AP24" s="8">
        <f>IFERROR((Table3[[#This Row],[Homeless]]/Table3[[#This Row],[Total]]), "")</f>
        <v>0</v>
      </c>
      <c r="AQ24" s="8">
        <f>IFERROR((Table3[[#This Row],[Foster]]/Table3[[#This Row],[Total]]), "")</f>
        <v>0</v>
      </c>
      <c r="AR24" s="8">
        <f>IFERROR((Table3[[#This Row],[AD]]/Table3[[#This Row],[Total]]), "")</f>
        <v>0</v>
      </c>
    </row>
    <row r="25" spans="1:44" x14ac:dyDescent="0.25">
      <c r="A25" s="35"/>
      <c r="B25" s="35" t="s">
        <v>264</v>
      </c>
      <c r="C25" s="182" t="s">
        <v>117</v>
      </c>
      <c r="D25" s="9">
        <v>62</v>
      </c>
      <c r="E25" s="9">
        <v>8</v>
      </c>
      <c r="F25" s="9">
        <v>54</v>
      </c>
      <c r="G25" s="9"/>
      <c r="H25" s="9"/>
      <c r="I25" s="9">
        <v>0</v>
      </c>
      <c r="J25" s="9">
        <v>10</v>
      </c>
      <c r="K25" s="9">
        <v>21</v>
      </c>
      <c r="L25" s="9">
        <v>31</v>
      </c>
      <c r="M25" s="9"/>
      <c r="N25" s="9"/>
      <c r="O25" s="9"/>
      <c r="P25" s="9">
        <v>2</v>
      </c>
      <c r="Q25" s="9">
        <v>32</v>
      </c>
      <c r="R25" s="9"/>
      <c r="S25" s="9"/>
      <c r="T25" s="9"/>
      <c r="U25" s="127">
        <v>1</v>
      </c>
      <c r="V25" s="9"/>
      <c r="W25" s="9"/>
      <c r="X25" s="9"/>
      <c r="Y25" s="8">
        <f>IFERROR((Table3[[#This Row],[F]]/Table3[[#This Row],[Total]]), "")</f>
        <v>0.12903225806451613</v>
      </c>
      <c r="Z25" s="8">
        <f>IFERROR((Table3[[#This Row],[M]]/Table3[[#This Row],[Total]]), "")</f>
        <v>0.87096774193548387</v>
      </c>
      <c r="AA25" s="8">
        <f>IFERROR((Table3[[#This Row],[Other]]/Table3[[#This Row],[Total]]), "")</f>
        <v>0</v>
      </c>
      <c r="AB25" s="8">
        <f>IFERROR((Table3[[#This Row],[AmInd]]/Table3[[#This Row],[Total]]), "")</f>
        <v>0</v>
      </c>
      <c r="AC25" s="8">
        <f>IFERROR((Table3[[#This Row],[Asian]]/Table3[[#This Row],[Total]]), "")</f>
        <v>0</v>
      </c>
      <c r="AD25" s="8">
        <f>IFERROR((Table3[[#This Row],[Hispanic]]/Table3[[#This Row],[Total]]), "")</f>
        <v>0.16129032258064516</v>
      </c>
      <c r="AE25" s="8">
        <f>IFERROR((Table3[[#This Row],[Black]]/Table3[[#This Row],[Total]]), "")</f>
        <v>0.33870967741935482</v>
      </c>
      <c r="AF25" s="8">
        <f>IFERROR((Table3[[#This Row],[White]]/Table3[[#This Row],[Total]]), "")</f>
        <v>0.5</v>
      </c>
      <c r="AG25" s="8">
        <f>IFERROR((Table3[[#This Row],[H/PI]]/Table3[[#This Row],[Total]]), "")</f>
        <v>0</v>
      </c>
      <c r="AH25" s="8">
        <f>IFERROR((Table3[[#This Row],[Multi]]/Table3[[#This Row],[Total]]), "")</f>
        <v>0</v>
      </c>
      <c r="AI25" s="8">
        <f>IFERROR((Table3[[#This Row],[Unknown]]/Table3[[#This Row],[Total]]), "")</f>
        <v>0</v>
      </c>
      <c r="AJ25" s="8">
        <f>IFERROR((Table3[[#This Row],[Dis]]/Table3[[#This Row],[Total]]), "")</f>
        <v>3.2258064516129031E-2</v>
      </c>
      <c r="AK25" s="8">
        <f>IFERROR((Table3[[#This Row],[ED]]/Table3[[#This Row],[Total]]), "")</f>
        <v>0.5161290322580645</v>
      </c>
      <c r="AL25" s="8">
        <f>IFERROR((Table3[[#This Row],[Non-trad]]/Table3[[#This Row],[Total]]), "")</f>
        <v>0</v>
      </c>
      <c r="AM25" s="8">
        <f>IFERROR((Table3[[#This Row],[SP]]/Table3[[#This Row],[Total]]), "")</f>
        <v>0</v>
      </c>
      <c r="AN25" s="8">
        <f>IFERROR((Table3[[#This Row],[OOW]]/Table3[[#This Row],[Total]]), "")</f>
        <v>0</v>
      </c>
      <c r="AO25" s="8">
        <f>IFERROR((Table3[[#This Row],[EL]]/Table3[[#This Row],[Total]]), "")</f>
        <v>1.6129032258064516E-2</v>
      </c>
      <c r="AP25" s="8">
        <f>IFERROR((Table3[[#This Row],[Homeless]]/Table3[[#This Row],[Total]]), "")</f>
        <v>0</v>
      </c>
      <c r="AQ25" s="8">
        <f>IFERROR((Table3[[#This Row],[Foster]]/Table3[[#This Row],[Total]]), "")</f>
        <v>0</v>
      </c>
      <c r="AR25" s="8">
        <f>IFERROR((Table3[[#This Row],[AD]]/Table3[[#This Row],[Total]]), "")</f>
        <v>0</v>
      </c>
    </row>
    <row r="26" spans="1:44" x14ac:dyDescent="0.25">
      <c r="A26" s="35"/>
      <c r="B26" s="35" t="s">
        <v>265</v>
      </c>
      <c r="C26" s="182" t="s">
        <v>118</v>
      </c>
      <c r="D26" s="9">
        <v>36</v>
      </c>
      <c r="E26" s="9">
        <v>1</v>
      </c>
      <c r="F26" s="9">
        <v>35</v>
      </c>
      <c r="G26" s="9"/>
      <c r="H26" s="9"/>
      <c r="I26" s="9">
        <v>0</v>
      </c>
      <c r="J26" s="9">
        <v>8</v>
      </c>
      <c r="K26" s="9">
        <v>14</v>
      </c>
      <c r="L26" s="9">
        <v>14</v>
      </c>
      <c r="M26" s="9"/>
      <c r="N26" s="9"/>
      <c r="O26" s="9"/>
      <c r="P26" s="9">
        <v>4</v>
      </c>
      <c r="Q26" s="9">
        <v>22</v>
      </c>
      <c r="R26" s="9"/>
      <c r="S26" s="9"/>
      <c r="T26" s="9"/>
      <c r="U26" s="127">
        <v>0</v>
      </c>
      <c r="V26" s="9"/>
      <c r="W26" s="9"/>
      <c r="X26" s="9"/>
      <c r="Y26" s="8">
        <f>IFERROR((Table3[[#This Row],[F]]/Table3[[#This Row],[Total]]), "")</f>
        <v>2.7777777777777776E-2</v>
      </c>
      <c r="Z26" s="8">
        <f>IFERROR((Table3[[#This Row],[M]]/Table3[[#This Row],[Total]]), "")</f>
        <v>0.97222222222222221</v>
      </c>
      <c r="AA26" s="8">
        <f>IFERROR((Table3[[#This Row],[Other]]/Table3[[#This Row],[Total]]), "")</f>
        <v>0</v>
      </c>
      <c r="AB26" s="8">
        <f>IFERROR((Table3[[#This Row],[AmInd]]/Table3[[#This Row],[Total]]), "")</f>
        <v>0</v>
      </c>
      <c r="AC26" s="8">
        <f>IFERROR((Table3[[#This Row],[Asian]]/Table3[[#This Row],[Total]]), "")</f>
        <v>0</v>
      </c>
      <c r="AD26" s="8">
        <f>IFERROR((Table3[[#This Row],[Hispanic]]/Table3[[#This Row],[Total]]), "")</f>
        <v>0.22222222222222221</v>
      </c>
      <c r="AE26" s="8">
        <f>IFERROR((Table3[[#This Row],[Black]]/Table3[[#This Row],[Total]]), "")</f>
        <v>0.3888888888888889</v>
      </c>
      <c r="AF26" s="8">
        <f>IFERROR((Table3[[#This Row],[White]]/Table3[[#This Row],[Total]]), "")</f>
        <v>0.3888888888888889</v>
      </c>
      <c r="AG26" s="8">
        <f>IFERROR((Table3[[#This Row],[H/PI]]/Table3[[#This Row],[Total]]), "")</f>
        <v>0</v>
      </c>
      <c r="AH26" s="8">
        <f>IFERROR((Table3[[#This Row],[Multi]]/Table3[[#This Row],[Total]]), "")</f>
        <v>0</v>
      </c>
      <c r="AI26" s="8">
        <f>IFERROR((Table3[[#This Row],[Unknown]]/Table3[[#This Row],[Total]]), "")</f>
        <v>0</v>
      </c>
      <c r="AJ26" s="8">
        <f>IFERROR((Table3[[#This Row],[Dis]]/Table3[[#This Row],[Total]]), "")</f>
        <v>0.1111111111111111</v>
      </c>
      <c r="AK26" s="8">
        <f>IFERROR((Table3[[#This Row],[ED]]/Table3[[#This Row],[Total]]), "")</f>
        <v>0.61111111111111116</v>
      </c>
      <c r="AL26" s="8">
        <f>IFERROR((Table3[[#This Row],[Non-trad]]/Table3[[#This Row],[Total]]), "")</f>
        <v>0</v>
      </c>
      <c r="AM26" s="8">
        <f>IFERROR((Table3[[#This Row],[SP]]/Table3[[#This Row],[Total]]), "")</f>
        <v>0</v>
      </c>
      <c r="AN26" s="8">
        <f>IFERROR((Table3[[#This Row],[OOW]]/Table3[[#This Row],[Total]]), "")</f>
        <v>0</v>
      </c>
      <c r="AO26" s="8">
        <f>IFERROR((Table3[[#This Row],[EL]]/Table3[[#This Row],[Total]]), "")</f>
        <v>0</v>
      </c>
      <c r="AP26" s="8">
        <f>IFERROR((Table3[[#This Row],[Homeless]]/Table3[[#This Row],[Total]]), "")</f>
        <v>0</v>
      </c>
      <c r="AQ26" s="8">
        <f>IFERROR((Table3[[#This Row],[Foster]]/Table3[[#This Row],[Total]]), "")</f>
        <v>0</v>
      </c>
      <c r="AR26" s="8">
        <f>IFERROR((Table3[[#This Row],[AD]]/Table3[[#This Row],[Total]]), "")</f>
        <v>0</v>
      </c>
    </row>
    <row r="27" spans="1:44" x14ac:dyDescent="0.25">
      <c r="A27" s="35"/>
      <c r="B27" s="35" t="s">
        <v>266</v>
      </c>
      <c r="C27" s="182" t="s">
        <v>118</v>
      </c>
      <c r="D27" s="9">
        <v>82</v>
      </c>
      <c r="E27" s="9">
        <v>20</v>
      </c>
      <c r="F27" s="9">
        <v>62</v>
      </c>
      <c r="G27" s="9"/>
      <c r="H27" s="9"/>
      <c r="I27" s="9">
        <v>26</v>
      </c>
      <c r="J27" s="9">
        <v>10</v>
      </c>
      <c r="K27" s="9">
        <v>6</v>
      </c>
      <c r="L27" s="9">
        <v>40</v>
      </c>
      <c r="M27" s="9"/>
      <c r="N27" s="9"/>
      <c r="O27" s="9"/>
      <c r="P27" s="9">
        <v>2</v>
      </c>
      <c r="Q27" s="9">
        <v>24</v>
      </c>
      <c r="R27" s="9"/>
      <c r="S27" s="9"/>
      <c r="T27" s="9"/>
      <c r="U27" s="127">
        <v>0</v>
      </c>
      <c r="V27" s="9"/>
      <c r="W27" s="9"/>
      <c r="X27" s="9"/>
      <c r="Y27" s="8">
        <f>IFERROR((Table3[[#This Row],[F]]/Table3[[#This Row],[Total]]), "")</f>
        <v>0.24390243902439024</v>
      </c>
      <c r="Z27" s="8">
        <f>IFERROR((Table3[[#This Row],[M]]/Table3[[#This Row],[Total]]), "")</f>
        <v>0.75609756097560976</v>
      </c>
      <c r="AA27" s="8">
        <f>IFERROR((Table3[[#This Row],[Other]]/Table3[[#This Row],[Total]]), "")</f>
        <v>0</v>
      </c>
      <c r="AB27" s="8">
        <f>IFERROR((Table3[[#This Row],[AmInd]]/Table3[[#This Row],[Total]]), "")</f>
        <v>0</v>
      </c>
      <c r="AC27" s="8">
        <f>IFERROR((Table3[[#This Row],[Asian]]/Table3[[#This Row],[Total]]), "")</f>
        <v>0.31707317073170732</v>
      </c>
      <c r="AD27" s="8">
        <f>IFERROR((Table3[[#This Row],[Hispanic]]/Table3[[#This Row],[Total]]), "")</f>
        <v>0.12195121951219512</v>
      </c>
      <c r="AE27" s="8">
        <f>IFERROR((Table3[[#This Row],[Black]]/Table3[[#This Row],[Total]]), "")</f>
        <v>7.3170731707317069E-2</v>
      </c>
      <c r="AF27" s="8">
        <f>IFERROR((Table3[[#This Row],[White]]/Table3[[#This Row],[Total]]), "")</f>
        <v>0.48780487804878048</v>
      </c>
      <c r="AG27" s="8">
        <f>IFERROR((Table3[[#This Row],[H/PI]]/Table3[[#This Row],[Total]]), "")</f>
        <v>0</v>
      </c>
      <c r="AH27" s="8">
        <f>IFERROR((Table3[[#This Row],[Multi]]/Table3[[#This Row],[Total]]), "")</f>
        <v>0</v>
      </c>
      <c r="AI27" s="8">
        <f>IFERROR((Table3[[#This Row],[Unknown]]/Table3[[#This Row],[Total]]), "")</f>
        <v>0</v>
      </c>
      <c r="AJ27" s="8">
        <f>IFERROR((Table3[[#This Row],[Dis]]/Table3[[#This Row],[Total]]), "")</f>
        <v>2.4390243902439025E-2</v>
      </c>
      <c r="AK27" s="8">
        <f>IFERROR((Table3[[#This Row],[ED]]/Table3[[#This Row],[Total]]), "")</f>
        <v>0.29268292682926828</v>
      </c>
      <c r="AL27" s="8">
        <f>IFERROR((Table3[[#This Row],[Non-trad]]/Table3[[#This Row],[Total]]), "")</f>
        <v>0</v>
      </c>
      <c r="AM27" s="8">
        <f>IFERROR((Table3[[#This Row],[SP]]/Table3[[#This Row],[Total]]), "")</f>
        <v>0</v>
      </c>
      <c r="AN27" s="8">
        <f>IFERROR((Table3[[#This Row],[OOW]]/Table3[[#This Row],[Total]]), "")</f>
        <v>0</v>
      </c>
      <c r="AO27" s="8">
        <f>IFERROR((Table3[[#This Row],[EL]]/Table3[[#This Row],[Total]]), "")</f>
        <v>0</v>
      </c>
      <c r="AP27" s="8">
        <f>IFERROR((Table3[[#This Row],[Homeless]]/Table3[[#This Row],[Total]]), "")</f>
        <v>0</v>
      </c>
      <c r="AQ27" s="8">
        <f>IFERROR((Table3[[#This Row],[Foster]]/Table3[[#This Row],[Total]]), "")</f>
        <v>0</v>
      </c>
      <c r="AR27" s="8">
        <f>IFERROR((Table3[[#This Row],[AD]]/Table3[[#This Row],[Total]]), "")</f>
        <v>0</v>
      </c>
    </row>
    <row r="28" spans="1:44" x14ac:dyDescent="0.25">
      <c r="A28" s="35"/>
      <c r="B28" s="35" t="s">
        <v>267</v>
      </c>
      <c r="C28" s="182" t="s">
        <v>120</v>
      </c>
      <c r="D28" s="9">
        <v>69</v>
      </c>
      <c r="E28" s="9">
        <v>19</v>
      </c>
      <c r="F28" s="9">
        <v>50</v>
      </c>
      <c r="G28" s="9"/>
      <c r="H28" s="9"/>
      <c r="I28" s="9">
        <v>19</v>
      </c>
      <c r="J28" s="9">
        <v>15</v>
      </c>
      <c r="K28" s="9">
        <v>6</v>
      </c>
      <c r="L28" s="9">
        <v>39</v>
      </c>
      <c r="M28" s="9"/>
      <c r="N28" s="9"/>
      <c r="O28" s="9"/>
      <c r="P28" s="9">
        <v>1</v>
      </c>
      <c r="Q28" s="9">
        <v>24</v>
      </c>
      <c r="R28" s="9"/>
      <c r="S28" s="9"/>
      <c r="T28" s="9"/>
      <c r="U28" s="127">
        <v>0</v>
      </c>
      <c r="V28" s="9"/>
      <c r="W28" s="9"/>
      <c r="X28" s="9"/>
      <c r="Y28" s="8">
        <f>IFERROR((Table3[[#This Row],[F]]/Table3[[#This Row],[Total]]), "")</f>
        <v>0.27536231884057971</v>
      </c>
      <c r="Z28" s="8">
        <f>IFERROR((Table3[[#This Row],[M]]/Table3[[#This Row],[Total]]), "")</f>
        <v>0.72463768115942029</v>
      </c>
      <c r="AA28" s="8">
        <f>IFERROR((Table3[[#This Row],[Other]]/Table3[[#This Row],[Total]]), "")</f>
        <v>0</v>
      </c>
      <c r="AB28" s="8">
        <f>IFERROR((Table3[[#This Row],[AmInd]]/Table3[[#This Row],[Total]]), "")</f>
        <v>0</v>
      </c>
      <c r="AC28" s="8">
        <f>IFERROR((Table3[[#This Row],[Asian]]/Table3[[#This Row],[Total]]), "")</f>
        <v>0.27536231884057971</v>
      </c>
      <c r="AD28" s="8">
        <f>IFERROR((Table3[[#This Row],[Hispanic]]/Table3[[#This Row],[Total]]), "")</f>
        <v>0.21739130434782608</v>
      </c>
      <c r="AE28" s="8">
        <f>IFERROR((Table3[[#This Row],[Black]]/Table3[[#This Row],[Total]]), "")</f>
        <v>8.6956521739130432E-2</v>
      </c>
      <c r="AF28" s="8">
        <f>IFERROR((Table3[[#This Row],[White]]/Table3[[#This Row],[Total]]), "")</f>
        <v>0.56521739130434778</v>
      </c>
      <c r="AG28" s="8">
        <f>IFERROR((Table3[[#This Row],[H/PI]]/Table3[[#This Row],[Total]]), "")</f>
        <v>0</v>
      </c>
      <c r="AH28" s="8">
        <f>IFERROR((Table3[[#This Row],[Multi]]/Table3[[#This Row],[Total]]), "")</f>
        <v>0</v>
      </c>
      <c r="AI28" s="8">
        <f>IFERROR((Table3[[#This Row],[Unknown]]/Table3[[#This Row],[Total]]), "")</f>
        <v>0</v>
      </c>
      <c r="AJ28" s="8">
        <f>IFERROR((Table3[[#This Row],[Dis]]/Table3[[#This Row],[Total]]), "")</f>
        <v>1.4492753623188406E-2</v>
      </c>
      <c r="AK28" s="8">
        <f>IFERROR((Table3[[#This Row],[ED]]/Table3[[#This Row],[Total]]), "")</f>
        <v>0.34782608695652173</v>
      </c>
      <c r="AL28" s="8">
        <f>IFERROR((Table3[[#This Row],[Non-trad]]/Table3[[#This Row],[Total]]), "")</f>
        <v>0</v>
      </c>
      <c r="AM28" s="8">
        <f>IFERROR((Table3[[#This Row],[SP]]/Table3[[#This Row],[Total]]), "")</f>
        <v>0</v>
      </c>
      <c r="AN28" s="8">
        <f>IFERROR((Table3[[#This Row],[OOW]]/Table3[[#This Row],[Total]]), "")</f>
        <v>0</v>
      </c>
      <c r="AO28" s="8">
        <f>IFERROR((Table3[[#This Row],[EL]]/Table3[[#This Row],[Total]]), "")</f>
        <v>0</v>
      </c>
      <c r="AP28" s="8">
        <f>IFERROR((Table3[[#This Row],[Homeless]]/Table3[[#This Row],[Total]]), "")</f>
        <v>0</v>
      </c>
      <c r="AQ28" s="8">
        <f>IFERROR((Table3[[#This Row],[Foster]]/Table3[[#This Row],[Total]]), "")</f>
        <v>0</v>
      </c>
      <c r="AR28" s="8">
        <f>IFERROR((Table3[[#This Row],[AD]]/Table3[[#This Row],[Total]]), "")</f>
        <v>0</v>
      </c>
    </row>
    <row r="29" spans="1:44" x14ac:dyDescent="0.25">
      <c r="A29" s="35"/>
      <c r="B29" s="35" t="s">
        <v>268</v>
      </c>
      <c r="C29" s="182" t="s">
        <v>120</v>
      </c>
      <c r="D29" s="9">
        <v>40</v>
      </c>
      <c r="E29" s="9">
        <v>12</v>
      </c>
      <c r="F29" s="9">
        <v>28</v>
      </c>
      <c r="G29" s="9"/>
      <c r="H29" s="9"/>
      <c r="I29" s="9">
        <v>7</v>
      </c>
      <c r="J29" s="9">
        <v>5</v>
      </c>
      <c r="K29" s="9">
        <v>10</v>
      </c>
      <c r="L29" s="9">
        <v>18</v>
      </c>
      <c r="M29" s="9"/>
      <c r="N29" s="9"/>
      <c r="O29" s="9"/>
      <c r="P29" s="9">
        <v>2</v>
      </c>
      <c r="Q29" s="9">
        <v>28</v>
      </c>
      <c r="R29" s="9"/>
      <c r="S29" s="9"/>
      <c r="T29" s="9"/>
      <c r="U29" s="127">
        <v>0</v>
      </c>
      <c r="V29" s="9"/>
      <c r="W29" s="9"/>
      <c r="X29" s="9"/>
      <c r="Y29" s="8">
        <f>IFERROR((Table3[[#This Row],[F]]/Table3[[#This Row],[Total]]), "")</f>
        <v>0.3</v>
      </c>
      <c r="Z29" s="8">
        <f>IFERROR((Table3[[#This Row],[M]]/Table3[[#This Row],[Total]]), "")</f>
        <v>0.7</v>
      </c>
      <c r="AA29" s="8">
        <f>IFERROR((Table3[[#This Row],[Other]]/Table3[[#This Row],[Total]]), "")</f>
        <v>0</v>
      </c>
      <c r="AB29" s="8">
        <f>IFERROR((Table3[[#This Row],[AmInd]]/Table3[[#This Row],[Total]]), "")</f>
        <v>0</v>
      </c>
      <c r="AC29" s="8">
        <f>IFERROR((Table3[[#This Row],[Asian]]/Table3[[#This Row],[Total]]), "")</f>
        <v>0.17499999999999999</v>
      </c>
      <c r="AD29" s="8">
        <f>IFERROR((Table3[[#This Row],[Hispanic]]/Table3[[#This Row],[Total]]), "")</f>
        <v>0.125</v>
      </c>
      <c r="AE29" s="8">
        <f>IFERROR((Table3[[#This Row],[Black]]/Table3[[#This Row],[Total]]), "")</f>
        <v>0.25</v>
      </c>
      <c r="AF29" s="8">
        <f>IFERROR((Table3[[#This Row],[White]]/Table3[[#This Row],[Total]]), "")</f>
        <v>0.45</v>
      </c>
      <c r="AG29" s="8">
        <f>IFERROR((Table3[[#This Row],[H/PI]]/Table3[[#This Row],[Total]]), "")</f>
        <v>0</v>
      </c>
      <c r="AH29" s="8">
        <f>IFERROR((Table3[[#This Row],[Multi]]/Table3[[#This Row],[Total]]), "")</f>
        <v>0</v>
      </c>
      <c r="AI29" s="8">
        <f>IFERROR((Table3[[#This Row],[Unknown]]/Table3[[#This Row],[Total]]), "")</f>
        <v>0</v>
      </c>
      <c r="AJ29" s="8">
        <f>IFERROR((Table3[[#This Row],[Dis]]/Table3[[#This Row],[Total]]), "")</f>
        <v>0.05</v>
      </c>
      <c r="AK29" s="8">
        <f>IFERROR((Table3[[#This Row],[ED]]/Table3[[#This Row],[Total]]), "")</f>
        <v>0.7</v>
      </c>
      <c r="AL29" s="8">
        <f>IFERROR((Table3[[#This Row],[Non-trad]]/Table3[[#This Row],[Total]]), "")</f>
        <v>0</v>
      </c>
      <c r="AM29" s="8">
        <f>IFERROR((Table3[[#This Row],[SP]]/Table3[[#This Row],[Total]]), "")</f>
        <v>0</v>
      </c>
      <c r="AN29" s="8">
        <f>IFERROR((Table3[[#This Row],[OOW]]/Table3[[#This Row],[Total]]), "")</f>
        <v>0</v>
      </c>
      <c r="AO29" s="8">
        <f>IFERROR((Table3[[#This Row],[EL]]/Table3[[#This Row],[Total]]), "")</f>
        <v>0</v>
      </c>
      <c r="AP29" s="8">
        <f>IFERROR((Table3[[#This Row],[Homeless]]/Table3[[#This Row],[Total]]), "")</f>
        <v>0</v>
      </c>
      <c r="AQ29" s="8">
        <f>IFERROR((Table3[[#This Row],[Foster]]/Table3[[#This Row],[Total]]), "")</f>
        <v>0</v>
      </c>
      <c r="AR29" s="8">
        <f>IFERROR((Table3[[#This Row],[AD]]/Table3[[#This Row],[Total]]), "")</f>
        <v>0</v>
      </c>
    </row>
    <row r="30" spans="1:44" x14ac:dyDescent="0.25">
      <c r="A30" s="35"/>
      <c r="B30" s="35" t="s">
        <v>269</v>
      </c>
      <c r="C30" s="182" t="s">
        <v>121</v>
      </c>
      <c r="D30" s="9">
        <v>60</v>
      </c>
      <c r="E30" s="9">
        <v>8</v>
      </c>
      <c r="F30" s="9">
        <v>52</v>
      </c>
      <c r="G30" s="9"/>
      <c r="H30" s="9"/>
      <c r="I30" s="9">
        <v>4</v>
      </c>
      <c r="J30" s="9">
        <v>8</v>
      </c>
      <c r="K30" s="9">
        <v>28</v>
      </c>
      <c r="L30" s="9">
        <v>20</v>
      </c>
      <c r="M30" s="9"/>
      <c r="N30" s="9"/>
      <c r="O30" s="9"/>
      <c r="P30" s="9">
        <v>7</v>
      </c>
      <c r="Q30" s="9">
        <v>22</v>
      </c>
      <c r="R30" s="9"/>
      <c r="S30" s="9"/>
      <c r="T30" s="9"/>
      <c r="U30" s="127">
        <v>0</v>
      </c>
      <c r="V30" s="9"/>
      <c r="W30" s="9"/>
      <c r="X30" s="9"/>
      <c r="Y30" s="8">
        <f>IFERROR((Table3[[#This Row],[F]]/Table3[[#This Row],[Total]]), "")</f>
        <v>0.13333333333333333</v>
      </c>
      <c r="Z30" s="8">
        <f>IFERROR((Table3[[#This Row],[M]]/Table3[[#This Row],[Total]]), "")</f>
        <v>0.8666666666666667</v>
      </c>
      <c r="AA30" s="8">
        <f>IFERROR((Table3[[#This Row],[Other]]/Table3[[#This Row],[Total]]), "")</f>
        <v>0</v>
      </c>
      <c r="AB30" s="8">
        <f>IFERROR((Table3[[#This Row],[AmInd]]/Table3[[#This Row],[Total]]), "")</f>
        <v>0</v>
      </c>
      <c r="AC30" s="8">
        <f>IFERROR((Table3[[#This Row],[Asian]]/Table3[[#This Row],[Total]]), "")</f>
        <v>6.6666666666666666E-2</v>
      </c>
      <c r="AD30" s="8">
        <f>IFERROR((Table3[[#This Row],[Hispanic]]/Table3[[#This Row],[Total]]), "")</f>
        <v>0.13333333333333333</v>
      </c>
      <c r="AE30" s="8">
        <f>IFERROR((Table3[[#This Row],[Black]]/Table3[[#This Row],[Total]]), "")</f>
        <v>0.46666666666666667</v>
      </c>
      <c r="AF30" s="8">
        <f>IFERROR((Table3[[#This Row],[White]]/Table3[[#This Row],[Total]]), "")</f>
        <v>0.33333333333333331</v>
      </c>
      <c r="AG30" s="8">
        <f>IFERROR((Table3[[#This Row],[H/PI]]/Table3[[#This Row],[Total]]), "")</f>
        <v>0</v>
      </c>
      <c r="AH30" s="8">
        <f>IFERROR((Table3[[#This Row],[Multi]]/Table3[[#This Row],[Total]]), "")</f>
        <v>0</v>
      </c>
      <c r="AI30" s="8">
        <f>IFERROR((Table3[[#This Row],[Unknown]]/Table3[[#This Row],[Total]]), "")</f>
        <v>0</v>
      </c>
      <c r="AJ30" s="8">
        <f>IFERROR((Table3[[#This Row],[Dis]]/Table3[[#This Row],[Total]]), "")</f>
        <v>0.11666666666666667</v>
      </c>
      <c r="AK30" s="8">
        <f>IFERROR((Table3[[#This Row],[ED]]/Table3[[#This Row],[Total]]), "")</f>
        <v>0.36666666666666664</v>
      </c>
      <c r="AL30" s="8">
        <f>IFERROR((Table3[[#This Row],[Non-trad]]/Table3[[#This Row],[Total]]), "")</f>
        <v>0</v>
      </c>
      <c r="AM30" s="8">
        <f>IFERROR((Table3[[#This Row],[SP]]/Table3[[#This Row],[Total]]), "")</f>
        <v>0</v>
      </c>
      <c r="AN30" s="8">
        <f>IFERROR((Table3[[#This Row],[OOW]]/Table3[[#This Row],[Total]]), "")</f>
        <v>0</v>
      </c>
      <c r="AO30" s="8">
        <f>IFERROR((Table3[[#This Row],[EL]]/Table3[[#This Row],[Total]]), "")</f>
        <v>0</v>
      </c>
      <c r="AP30" s="8">
        <f>IFERROR((Table3[[#This Row],[Homeless]]/Table3[[#This Row],[Total]]), "")</f>
        <v>0</v>
      </c>
      <c r="AQ30" s="8">
        <f>IFERROR((Table3[[#This Row],[Foster]]/Table3[[#This Row],[Total]]), "")</f>
        <v>0</v>
      </c>
      <c r="AR30" s="8">
        <f>IFERROR((Table3[[#This Row],[AD]]/Table3[[#This Row],[Total]]), "")</f>
        <v>0</v>
      </c>
    </row>
    <row r="31" spans="1:44" x14ac:dyDescent="0.25">
      <c r="A31" s="35"/>
      <c r="B31" s="35" t="s">
        <v>270</v>
      </c>
      <c r="C31" s="182" t="s">
        <v>121</v>
      </c>
      <c r="D31" s="9">
        <v>12</v>
      </c>
      <c r="E31" s="9">
        <v>1</v>
      </c>
      <c r="F31" s="9">
        <v>11</v>
      </c>
      <c r="G31" s="9"/>
      <c r="H31" s="9"/>
      <c r="I31" s="9">
        <v>1</v>
      </c>
      <c r="J31" s="9">
        <v>3</v>
      </c>
      <c r="K31" s="9">
        <v>3</v>
      </c>
      <c r="L31" s="9">
        <v>5</v>
      </c>
      <c r="M31" s="9"/>
      <c r="N31" s="9"/>
      <c r="O31" s="9"/>
      <c r="P31" s="9">
        <v>10</v>
      </c>
      <c r="Q31" s="9">
        <v>11</v>
      </c>
      <c r="R31" s="9"/>
      <c r="S31" s="9"/>
      <c r="T31" s="9"/>
      <c r="U31" s="127">
        <v>0</v>
      </c>
      <c r="V31" s="9"/>
      <c r="W31" s="9"/>
      <c r="X31" s="9"/>
      <c r="Y31" s="8">
        <f>IFERROR((Table3[[#This Row],[F]]/Table3[[#This Row],[Total]]), "")</f>
        <v>8.3333333333333329E-2</v>
      </c>
      <c r="Z31" s="8">
        <f>IFERROR((Table3[[#This Row],[M]]/Table3[[#This Row],[Total]]), "")</f>
        <v>0.91666666666666663</v>
      </c>
      <c r="AA31" s="8">
        <f>IFERROR((Table3[[#This Row],[Other]]/Table3[[#This Row],[Total]]), "")</f>
        <v>0</v>
      </c>
      <c r="AB31" s="8">
        <f>IFERROR((Table3[[#This Row],[AmInd]]/Table3[[#This Row],[Total]]), "")</f>
        <v>0</v>
      </c>
      <c r="AC31" s="8">
        <f>IFERROR((Table3[[#This Row],[Asian]]/Table3[[#This Row],[Total]]), "")</f>
        <v>8.3333333333333329E-2</v>
      </c>
      <c r="AD31" s="8">
        <f>IFERROR((Table3[[#This Row],[Hispanic]]/Table3[[#This Row],[Total]]), "")</f>
        <v>0.25</v>
      </c>
      <c r="AE31" s="8">
        <f>IFERROR((Table3[[#This Row],[Black]]/Table3[[#This Row],[Total]]), "")</f>
        <v>0.25</v>
      </c>
      <c r="AF31" s="8">
        <f>IFERROR((Table3[[#This Row],[White]]/Table3[[#This Row],[Total]]), "")</f>
        <v>0.41666666666666669</v>
      </c>
      <c r="AG31" s="8">
        <f>IFERROR((Table3[[#This Row],[H/PI]]/Table3[[#This Row],[Total]]), "")</f>
        <v>0</v>
      </c>
      <c r="AH31" s="8">
        <f>IFERROR((Table3[[#This Row],[Multi]]/Table3[[#This Row],[Total]]), "")</f>
        <v>0</v>
      </c>
      <c r="AI31" s="8">
        <f>IFERROR((Table3[[#This Row],[Unknown]]/Table3[[#This Row],[Total]]), "")</f>
        <v>0</v>
      </c>
      <c r="AJ31" s="8">
        <f>IFERROR((Table3[[#This Row],[Dis]]/Table3[[#This Row],[Total]]), "")</f>
        <v>0.83333333333333337</v>
      </c>
      <c r="AK31" s="8">
        <f>IFERROR((Table3[[#This Row],[ED]]/Table3[[#This Row],[Total]]), "")</f>
        <v>0.91666666666666663</v>
      </c>
      <c r="AL31" s="8">
        <f>IFERROR((Table3[[#This Row],[Non-trad]]/Table3[[#This Row],[Total]]), "")</f>
        <v>0</v>
      </c>
      <c r="AM31" s="8">
        <f>IFERROR((Table3[[#This Row],[SP]]/Table3[[#This Row],[Total]]), "")</f>
        <v>0</v>
      </c>
      <c r="AN31" s="8">
        <f>IFERROR((Table3[[#This Row],[OOW]]/Table3[[#This Row],[Total]]), "")</f>
        <v>0</v>
      </c>
      <c r="AO31" s="8">
        <f>IFERROR((Table3[[#This Row],[EL]]/Table3[[#This Row],[Total]]), "")</f>
        <v>0</v>
      </c>
      <c r="AP31" s="8">
        <f>IFERROR((Table3[[#This Row],[Homeless]]/Table3[[#This Row],[Total]]), "")</f>
        <v>0</v>
      </c>
      <c r="AQ31" s="8">
        <f>IFERROR((Table3[[#This Row],[Foster]]/Table3[[#This Row],[Total]]), "")</f>
        <v>0</v>
      </c>
      <c r="AR31" s="8">
        <f>IFERROR((Table3[[#This Row],[AD]]/Table3[[#This Row],[Total]]), "")</f>
        <v>0</v>
      </c>
    </row>
    <row r="32" spans="1:44" x14ac:dyDescent="0.25">
      <c r="A32" s="35"/>
      <c r="B32" s="35" t="s">
        <v>271</v>
      </c>
      <c r="C32" s="182" t="s">
        <v>121</v>
      </c>
      <c r="D32" s="9">
        <v>60</v>
      </c>
      <c r="E32" s="9">
        <v>22</v>
      </c>
      <c r="F32" s="9">
        <v>38</v>
      </c>
      <c r="G32" s="9"/>
      <c r="H32" s="9"/>
      <c r="I32" s="9">
        <v>5</v>
      </c>
      <c r="J32" s="9">
        <v>20</v>
      </c>
      <c r="K32" s="9">
        <v>15</v>
      </c>
      <c r="L32" s="9">
        <v>20</v>
      </c>
      <c r="M32" s="9"/>
      <c r="N32" s="9"/>
      <c r="O32" s="9"/>
      <c r="P32" s="9">
        <v>7</v>
      </c>
      <c r="Q32" s="9">
        <v>34</v>
      </c>
      <c r="R32" s="9"/>
      <c r="S32" s="9"/>
      <c r="T32" s="9"/>
      <c r="U32" s="127">
        <v>0</v>
      </c>
      <c r="V32" s="9"/>
      <c r="W32" s="9"/>
      <c r="X32" s="9"/>
      <c r="Y32" s="8">
        <f>IFERROR((Table3[[#This Row],[F]]/Table3[[#This Row],[Total]]), "")</f>
        <v>0.36666666666666664</v>
      </c>
      <c r="Z32" s="8">
        <f>IFERROR((Table3[[#This Row],[M]]/Table3[[#This Row],[Total]]), "")</f>
        <v>0.6333333333333333</v>
      </c>
      <c r="AA32" s="8">
        <f>IFERROR((Table3[[#This Row],[Other]]/Table3[[#This Row],[Total]]), "")</f>
        <v>0</v>
      </c>
      <c r="AB32" s="8">
        <f>IFERROR((Table3[[#This Row],[AmInd]]/Table3[[#This Row],[Total]]), "")</f>
        <v>0</v>
      </c>
      <c r="AC32" s="8">
        <f>IFERROR((Table3[[#This Row],[Asian]]/Table3[[#This Row],[Total]]), "")</f>
        <v>8.3333333333333329E-2</v>
      </c>
      <c r="AD32" s="8">
        <f>IFERROR((Table3[[#This Row],[Hispanic]]/Table3[[#This Row],[Total]]), "")</f>
        <v>0.33333333333333331</v>
      </c>
      <c r="AE32" s="8">
        <f>IFERROR((Table3[[#This Row],[Black]]/Table3[[#This Row],[Total]]), "")</f>
        <v>0.25</v>
      </c>
      <c r="AF32" s="8">
        <f>IFERROR((Table3[[#This Row],[White]]/Table3[[#This Row],[Total]]), "")</f>
        <v>0.33333333333333331</v>
      </c>
      <c r="AG32" s="8">
        <f>IFERROR((Table3[[#This Row],[H/PI]]/Table3[[#This Row],[Total]]), "")</f>
        <v>0</v>
      </c>
      <c r="AH32" s="8">
        <f>IFERROR((Table3[[#This Row],[Multi]]/Table3[[#This Row],[Total]]), "")</f>
        <v>0</v>
      </c>
      <c r="AI32" s="8">
        <f>IFERROR((Table3[[#This Row],[Unknown]]/Table3[[#This Row],[Total]]), "")</f>
        <v>0</v>
      </c>
      <c r="AJ32" s="8">
        <f>IFERROR((Table3[[#This Row],[Dis]]/Table3[[#This Row],[Total]]), "")</f>
        <v>0.11666666666666667</v>
      </c>
      <c r="AK32" s="8">
        <f>IFERROR((Table3[[#This Row],[ED]]/Table3[[#This Row],[Total]]), "")</f>
        <v>0.56666666666666665</v>
      </c>
      <c r="AL32" s="8">
        <f>IFERROR((Table3[[#This Row],[Non-trad]]/Table3[[#This Row],[Total]]), "")</f>
        <v>0</v>
      </c>
      <c r="AM32" s="8">
        <f>IFERROR((Table3[[#This Row],[SP]]/Table3[[#This Row],[Total]]), "")</f>
        <v>0</v>
      </c>
      <c r="AN32" s="8">
        <f>IFERROR((Table3[[#This Row],[OOW]]/Table3[[#This Row],[Total]]), "")</f>
        <v>0</v>
      </c>
      <c r="AO32" s="8">
        <f>IFERROR((Table3[[#This Row],[EL]]/Table3[[#This Row],[Total]]), "")</f>
        <v>0</v>
      </c>
      <c r="AP32" s="8">
        <f>IFERROR((Table3[[#This Row],[Homeless]]/Table3[[#This Row],[Total]]), "")</f>
        <v>0</v>
      </c>
      <c r="AQ32" s="8">
        <f>IFERROR((Table3[[#This Row],[Foster]]/Table3[[#This Row],[Total]]), "")</f>
        <v>0</v>
      </c>
      <c r="AR32" s="8">
        <f>IFERROR((Table3[[#This Row],[AD]]/Table3[[#This Row],[Total]]), "")</f>
        <v>0</v>
      </c>
    </row>
    <row r="33" spans="1:44" x14ac:dyDescent="0.25">
      <c r="A33" s="36" t="s">
        <v>7</v>
      </c>
      <c r="B33" s="36"/>
      <c r="C33" s="36"/>
      <c r="D33" s="10">
        <f>SUBTOTAL(109,Table3[Total])</f>
        <v>1504</v>
      </c>
      <c r="E33" s="10">
        <f>SUBTOTAL(109,Table3[F])</f>
        <v>731</v>
      </c>
      <c r="F33" s="10">
        <f>SUBTOTAL(109,Table3[M])</f>
        <v>771</v>
      </c>
      <c r="G33" s="10">
        <f>SUBTOTAL(109,Table3[Other])</f>
        <v>0</v>
      </c>
      <c r="H33" s="10">
        <f>SUBTOTAL(109,Table3[AmInd])</f>
        <v>0</v>
      </c>
      <c r="I33" s="10">
        <f>SUBTOTAL(109,Table3[Asian])</f>
        <v>117</v>
      </c>
      <c r="J33" s="10">
        <f>SUBTOTAL(109,Table3[Hispanic])</f>
        <v>366</v>
      </c>
      <c r="K33" s="10">
        <f>SUBTOTAL(109,Table3[Black])</f>
        <v>339</v>
      </c>
      <c r="L33" s="10">
        <f>SUBTOTAL(109,Table3[White])</f>
        <v>681</v>
      </c>
      <c r="M33" s="10">
        <f>SUBTOTAL(109,Table3[H/PI])</f>
        <v>0</v>
      </c>
      <c r="N33" s="10">
        <f>SUBTOTAL(109,Table3[Multi])</f>
        <v>0</v>
      </c>
      <c r="O33" s="10">
        <f>SUBTOTAL(109,Table3[Unknown])</f>
        <v>0</v>
      </c>
      <c r="P33" s="10">
        <f>SUBTOTAL(109,Table3[Dis])</f>
        <v>298</v>
      </c>
      <c r="Q33" s="10">
        <f>SUBTOTAL(109,Table3[ED])</f>
        <v>770</v>
      </c>
      <c r="R33" s="10">
        <f>SUBTOTAL(109,Table3[Non-trad])</f>
        <v>0</v>
      </c>
      <c r="S33" s="10">
        <f>SUBTOTAL(109,Table3[SP])</f>
        <v>0</v>
      </c>
      <c r="T33" s="10">
        <f>SUBTOTAL(109,Table3[OOW])</f>
        <v>0</v>
      </c>
      <c r="U33" s="10">
        <f>SUBTOTAL(109,Table3[EL])</f>
        <v>8</v>
      </c>
      <c r="V33" s="10">
        <f>SUBTOTAL(109,Table3[Homeless])</f>
        <v>0</v>
      </c>
      <c r="W33" s="10">
        <f>SUBTOTAL(109,Table3[Foster])</f>
        <v>0</v>
      </c>
      <c r="X33" s="10">
        <f>SUBTOTAL(109,Table3[AD])</f>
        <v>0</v>
      </c>
      <c r="Y33" s="129">
        <f>IFERROR(E35/$D$35, "")</f>
        <v>0.48603723404255317</v>
      </c>
      <c r="Z33" s="129">
        <f t="shared" ref="Z33:AQ33" si="0">IFERROR(F35/$D$35, "")</f>
        <v>0.5126329787234043</v>
      </c>
      <c r="AA33" s="129">
        <f t="shared" si="0"/>
        <v>0</v>
      </c>
      <c r="AB33" s="129">
        <f t="shared" si="0"/>
        <v>0</v>
      </c>
      <c r="AC33" s="129">
        <f t="shared" si="0"/>
        <v>7.7792553191489366E-2</v>
      </c>
      <c r="AD33" s="129">
        <f t="shared" si="0"/>
        <v>0.24335106382978725</v>
      </c>
      <c r="AE33" s="129">
        <f t="shared" si="0"/>
        <v>0.22539893617021275</v>
      </c>
      <c r="AF33" s="129">
        <f t="shared" si="0"/>
        <v>0.45279255319148937</v>
      </c>
      <c r="AG33" s="129">
        <f t="shared" si="0"/>
        <v>0</v>
      </c>
      <c r="AH33" s="129">
        <f t="shared" si="0"/>
        <v>0</v>
      </c>
      <c r="AI33" s="129">
        <f t="shared" si="0"/>
        <v>0</v>
      </c>
      <c r="AJ33" s="129">
        <f t="shared" si="0"/>
        <v>0.19813829787234041</v>
      </c>
      <c r="AK33" s="129">
        <f t="shared" si="0"/>
        <v>0.51196808510638303</v>
      </c>
      <c r="AL33" s="129">
        <f t="shared" si="0"/>
        <v>0</v>
      </c>
      <c r="AM33" s="129">
        <f t="shared" si="0"/>
        <v>0</v>
      </c>
      <c r="AN33" s="129">
        <f t="shared" si="0"/>
        <v>0</v>
      </c>
      <c r="AO33" s="129">
        <f t="shared" si="0"/>
        <v>5.3191489361702126E-3</v>
      </c>
      <c r="AP33" s="129">
        <f t="shared" si="0"/>
        <v>0</v>
      </c>
      <c r="AQ33" s="129">
        <f t="shared" si="0"/>
        <v>0</v>
      </c>
      <c r="AR33" s="129">
        <f>IFERROR(X35/$D$35, "")</f>
        <v>0</v>
      </c>
    </row>
    <row r="34" spans="1:44" ht="6.75" customHeight="1" thickBot="1" x14ac:dyDescent="0.3"/>
    <row r="35" spans="1:44" ht="19.5" thickBot="1" x14ac:dyDescent="0.35">
      <c r="B35" s="7" t="s">
        <v>31</v>
      </c>
      <c r="C35" s="37"/>
      <c r="D35" s="38">
        <f>Table3[[#Totals],[Total]]</f>
        <v>1504</v>
      </c>
      <c r="E35" s="38">
        <f>Table3[[#Totals],[F]]</f>
        <v>731</v>
      </c>
      <c r="F35" s="38">
        <f>Table3[[#Totals],[M]]</f>
        <v>771</v>
      </c>
      <c r="G35" s="38">
        <f>Table3[[#Totals],[Other]]</f>
        <v>0</v>
      </c>
      <c r="H35" s="38">
        <f>Table3[[#Totals],[AmInd]]</f>
        <v>0</v>
      </c>
      <c r="I35" s="38">
        <f>Table3[[#Totals],[Asian]]</f>
        <v>117</v>
      </c>
      <c r="J35" s="38">
        <f>Table3[[#Totals],[Hispanic]]</f>
        <v>366</v>
      </c>
      <c r="K35" s="38">
        <f>Table3[[#Totals],[Black]]</f>
        <v>339</v>
      </c>
      <c r="L35" s="38">
        <f>Table3[[#Totals],[White]]</f>
        <v>681</v>
      </c>
      <c r="M35" s="38">
        <f>Table3[[#Totals],[H/PI]]</f>
        <v>0</v>
      </c>
      <c r="N35" s="38">
        <f>Table3[[#Totals],[Multi]]</f>
        <v>0</v>
      </c>
      <c r="O35" s="38">
        <f>Table3[[#Totals],[Unknown]]</f>
        <v>0</v>
      </c>
      <c r="P35" s="38">
        <f>Table3[[#Totals],[Dis]]</f>
        <v>298</v>
      </c>
      <c r="Q35" s="38">
        <f>Table3[[#Totals],[ED]]</f>
        <v>770</v>
      </c>
      <c r="R35" s="38">
        <f>Table3[[#Totals],[Non-trad]]</f>
        <v>0</v>
      </c>
      <c r="S35" s="38">
        <f>Table3[[#Totals],[SP]]</f>
        <v>0</v>
      </c>
      <c r="T35" s="38">
        <f>Table3[[#Totals],[OOW]]</f>
        <v>0</v>
      </c>
      <c r="U35" s="38">
        <f>Table3[[#Totals],[EL]]</f>
        <v>8</v>
      </c>
      <c r="V35" s="38">
        <f>Table3[[#Totals],[Homeless]]</f>
        <v>0</v>
      </c>
      <c r="W35" s="38">
        <f>Table3[[#Totals],[Foster]]</f>
        <v>0</v>
      </c>
      <c r="X35" s="38">
        <f>Table3[[#Totals],[AD]]</f>
        <v>0</v>
      </c>
    </row>
  </sheetData>
  <mergeCells count="8">
    <mergeCell ref="Y4:AA4"/>
    <mergeCell ref="AJ4:AR4"/>
    <mergeCell ref="A2:D2"/>
    <mergeCell ref="A1:D1"/>
    <mergeCell ref="E4:G4"/>
    <mergeCell ref="P4:X4"/>
    <mergeCell ref="AB4:AI4"/>
    <mergeCell ref="H4:O4"/>
  </mergeCells>
  <phoneticPr fontId="3" type="noConversion"/>
  <conditionalFormatting sqref="D33:X33">
    <cfRule type="cellIs" dxfId="9" priority="2" operator="equal">
      <formula>0</formula>
    </cfRule>
  </conditionalFormatting>
  <pageMargins left="0.75" right="0.75" top="1" bottom="1" header="0.5" footer="0.5"/>
  <pageSetup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3A7045DD-0799-4551-B0D1-5E7E8B1367C4}">
            <xm:f>'Heatmap (Sec)'!$D$6*$D$35&gt;10</xm:f>
            <x14:dxf/>
          </x14:cfRule>
          <xm:sqref>D6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B5EBCD8-C5CF-409E-B9D0-1DC266007242}">
          <x14:formula1>
            <xm:f>'Dashboard Data'!$M$3:$AB$3</xm:f>
          </x14:formula1>
          <xm:sqref>C6:C32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DC2EC-5F28-4221-89F3-4E179C0E6DA0}">
  <dimension ref="A1:AR108"/>
  <sheetViews>
    <sheetView zoomScale="90" zoomScaleNormal="90" workbookViewId="0">
      <pane ySplit="5" topLeftCell="A6" activePane="bottomLeft" state="frozen"/>
      <selection activeCell="A3" sqref="A3"/>
      <selection pane="bottomLeft" activeCell="O5" sqref="O5"/>
    </sheetView>
  </sheetViews>
  <sheetFormatPr defaultRowHeight="15" x14ac:dyDescent="0.25"/>
  <cols>
    <col min="1" max="1" width="15.5703125" style="4" customWidth="1"/>
    <col min="2" max="2" width="48.28515625" style="4" customWidth="1"/>
    <col min="3" max="3" width="44.85546875" style="4" customWidth="1"/>
    <col min="4" max="4" width="11.140625" style="4" bestFit="1" customWidth="1"/>
    <col min="5" max="5" width="9" style="4" bestFit="1" customWidth="1"/>
    <col min="6" max="6" width="10.42578125" style="4" bestFit="1" customWidth="1"/>
    <col min="7" max="7" width="10.42578125" style="4" customWidth="1"/>
    <col min="8" max="8" width="9.28515625" style="4" bestFit="1" customWidth="1"/>
    <col min="9" max="9" width="11.85546875" style="4" bestFit="1" customWidth="1"/>
    <col min="10" max="10" width="9" style="4" bestFit="1" customWidth="1"/>
    <col min="11" max="11" width="10.140625" style="4" bestFit="1" customWidth="1"/>
    <col min="12" max="12" width="8.5703125" style="4" bestFit="1" customWidth="1"/>
    <col min="13" max="13" width="9.28515625" style="4" bestFit="1" customWidth="1"/>
    <col min="14" max="14" width="9.7109375" style="4" bestFit="1" customWidth="1"/>
    <col min="15" max="15" width="9.7109375" style="4" customWidth="1"/>
    <col min="16" max="16" width="11.28515625" style="4" bestFit="1" customWidth="1"/>
    <col min="17" max="17" width="6.7109375" style="4" bestFit="1" customWidth="1"/>
    <col min="18" max="28" width="9.140625" style="4"/>
    <col min="29" max="29" width="10.28515625" style="4" customWidth="1"/>
    <col min="30" max="16384" width="9.140625" style="4"/>
  </cols>
  <sheetData>
    <row r="1" spans="1:44" ht="18.75" customHeight="1" x14ac:dyDescent="0.3">
      <c r="A1" s="172" t="s">
        <v>29</v>
      </c>
      <c r="B1" s="172"/>
      <c r="C1" s="172"/>
      <c r="D1" s="172"/>
    </row>
    <row r="2" spans="1:44" ht="63" customHeight="1" x14ac:dyDescent="0.25">
      <c r="A2" s="171" t="s">
        <v>94</v>
      </c>
      <c r="B2" s="171"/>
      <c r="C2" s="171"/>
      <c r="D2" s="171"/>
    </row>
    <row r="3" spans="1:44" ht="4.5" customHeight="1" x14ac:dyDescent="0.25">
      <c r="A3" s="5"/>
      <c r="B3" s="5"/>
      <c r="C3" s="5"/>
      <c r="D3" s="5"/>
    </row>
    <row r="4" spans="1:44" ht="17.25" customHeight="1" x14ac:dyDescent="0.25">
      <c r="A4" s="18"/>
      <c r="B4" s="18"/>
      <c r="C4" s="18"/>
      <c r="D4" s="18"/>
      <c r="E4" s="169" t="s">
        <v>51</v>
      </c>
      <c r="F4" s="169"/>
      <c r="G4" s="169"/>
      <c r="H4" s="173" t="s">
        <v>52</v>
      </c>
      <c r="I4" s="173"/>
      <c r="J4" s="173"/>
      <c r="K4" s="173"/>
      <c r="L4" s="173"/>
      <c r="M4" s="173"/>
      <c r="N4" s="173"/>
      <c r="O4" s="173"/>
      <c r="P4" s="170" t="s">
        <v>53</v>
      </c>
      <c r="Q4" s="170"/>
      <c r="R4" s="170"/>
      <c r="S4" s="170"/>
      <c r="T4" s="170"/>
      <c r="U4" s="170"/>
      <c r="V4" s="170"/>
      <c r="W4" s="170"/>
      <c r="X4" s="170"/>
      <c r="Y4" s="169" t="s">
        <v>51</v>
      </c>
      <c r="Z4" s="169"/>
      <c r="AA4" s="169"/>
      <c r="AB4" s="173" t="s">
        <v>52</v>
      </c>
      <c r="AC4" s="173"/>
      <c r="AD4" s="173"/>
      <c r="AE4" s="173"/>
      <c r="AF4" s="173"/>
      <c r="AG4" s="173"/>
      <c r="AH4" s="173"/>
      <c r="AI4" s="173"/>
      <c r="AJ4" s="170" t="s">
        <v>53</v>
      </c>
      <c r="AK4" s="170"/>
      <c r="AL4" s="170"/>
      <c r="AM4" s="170"/>
      <c r="AN4" s="170"/>
      <c r="AO4" s="170"/>
      <c r="AP4" s="170"/>
      <c r="AQ4" s="170"/>
      <c r="AR4" s="170"/>
    </row>
    <row r="5" spans="1:44" ht="45" x14ac:dyDescent="0.25">
      <c r="A5" s="4" t="s">
        <v>30</v>
      </c>
      <c r="B5" s="4" t="s">
        <v>19</v>
      </c>
      <c r="C5" s="4" t="s">
        <v>10</v>
      </c>
      <c r="D5" s="4" t="s">
        <v>7</v>
      </c>
      <c r="E5" s="19" t="s">
        <v>55</v>
      </c>
      <c r="F5" s="20" t="s">
        <v>56</v>
      </c>
      <c r="G5" s="20" t="s">
        <v>50</v>
      </c>
      <c r="H5" s="21" t="s">
        <v>122</v>
      </c>
      <c r="I5" s="22" t="s">
        <v>3</v>
      </c>
      <c r="J5" s="22" t="s">
        <v>123</v>
      </c>
      <c r="K5" s="22" t="s">
        <v>124</v>
      </c>
      <c r="L5" s="22" t="s">
        <v>9</v>
      </c>
      <c r="M5" s="22" t="s">
        <v>125</v>
      </c>
      <c r="N5" s="21" t="s">
        <v>126</v>
      </c>
      <c r="O5" s="21" t="s">
        <v>17</v>
      </c>
      <c r="P5" s="23" t="s">
        <v>54</v>
      </c>
      <c r="Q5" s="23" t="s">
        <v>57</v>
      </c>
      <c r="R5" s="23" t="s">
        <v>58</v>
      </c>
      <c r="S5" s="23" t="s">
        <v>85</v>
      </c>
      <c r="T5" s="23" t="s">
        <v>59</v>
      </c>
      <c r="U5" s="23" t="s">
        <v>74</v>
      </c>
      <c r="V5" s="23" t="s">
        <v>60</v>
      </c>
      <c r="W5" s="23" t="s">
        <v>61</v>
      </c>
      <c r="X5" s="23" t="s">
        <v>62</v>
      </c>
      <c r="Y5" s="19" t="s">
        <v>78</v>
      </c>
      <c r="Z5" s="19" t="s">
        <v>79</v>
      </c>
      <c r="AA5" s="19" t="s">
        <v>80</v>
      </c>
      <c r="AB5" s="21" t="s">
        <v>32</v>
      </c>
      <c r="AC5" s="21" t="s">
        <v>11</v>
      </c>
      <c r="AD5" s="21" t="s">
        <v>33</v>
      </c>
      <c r="AE5" s="21" t="s">
        <v>34</v>
      </c>
      <c r="AF5" s="21" t="s">
        <v>35</v>
      </c>
      <c r="AG5" s="21" t="s">
        <v>36</v>
      </c>
      <c r="AH5" s="21" t="s">
        <v>37</v>
      </c>
      <c r="AI5" s="21" t="s">
        <v>92</v>
      </c>
      <c r="AJ5" s="23" t="s">
        <v>81</v>
      </c>
      <c r="AK5" s="24" t="s">
        <v>82</v>
      </c>
      <c r="AL5" s="23" t="s">
        <v>83</v>
      </c>
      <c r="AM5" s="23" t="s">
        <v>84</v>
      </c>
      <c r="AN5" s="23" t="s">
        <v>86</v>
      </c>
      <c r="AO5" s="23" t="s">
        <v>87</v>
      </c>
      <c r="AP5" s="23" t="s">
        <v>88</v>
      </c>
      <c r="AQ5" s="23" t="s">
        <v>89</v>
      </c>
      <c r="AR5" s="23" t="s">
        <v>90</v>
      </c>
    </row>
    <row r="6" spans="1:44" x14ac:dyDescent="0.25">
      <c r="A6" s="35"/>
      <c r="B6" s="35"/>
      <c r="C6" s="35"/>
      <c r="D6" s="9"/>
      <c r="E6" s="9"/>
      <c r="F6" s="9"/>
      <c r="G6" s="9"/>
      <c r="H6" s="9"/>
      <c r="I6" s="9"/>
      <c r="J6" s="9"/>
      <c r="K6" s="9"/>
      <c r="L6" s="9"/>
      <c r="M6" s="9"/>
      <c r="N6" s="9"/>
      <c r="O6" s="9"/>
      <c r="P6" s="9"/>
      <c r="Q6" s="9"/>
      <c r="R6" s="9"/>
      <c r="S6" s="9"/>
      <c r="T6" s="9"/>
      <c r="U6" s="9"/>
      <c r="V6" s="9"/>
      <c r="W6" s="9"/>
      <c r="X6" s="9"/>
      <c r="Y6" s="8" t="str">
        <f>IFERROR((Table35[[#This Row],[F]]/Table35[[#This Row],[Total]]), "")</f>
        <v/>
      </c>
      <c r="Z6" s="8" t="str">
        <f>IFERROR((Table35[[#This Row],[M]]/Table35[[#This Row],[Total]]), "")</f>
        <v/>
      </c>
      <c r="AA6" s="8" t="str">
        <f>IFERROR((Table35[[#This Row],[Other]]/Table35[[#This Row],[Total]]), "")</f>
        <v/>
      </c>
      <c r="AB6" s="8" t="str">
        <f>IFERROR((Table35[[#This Row],[AmInd]]/Table35[[#This Row],[Total]]), "")</f>
        <v/>
      </c>
      <c r="AC6" s="8" t="str">
        <f>IFERROR((Table35[[#This Row],[Asian]]/Table35[[#This Row],[Total]]), "")</f>
        <v/>
      </c>
      <c r="AD6" s="8" t="str">
        <f>IFERROR((Table35[[#This Row],[Hispanic]]/Table35[[#This Row],[Total]]), "")</f>
        <v/>
      </c>
      <c r="AE6" s="8" t="str">
        <f>IFERROR((Table35[[#This Row],[Black]]/Table35[[#This Row],[Total]]), "")</f>
        <v/>
      </c>
      <c r="AF6" s="8" t="str">
        <f>IFERROR((Table35[[#This Row],[White]]/Table35[[#This Row],[Total]]), "")</f>
        <v/>
      </c>
      <c r="AG6" s="8" t="str">
        <f>IFERROR((Table35[[#This Row],[H/PI]]/Table35[[#This Row],[Total]]), "")</f>
        <v/>
      </c>
      <c r="AH6" s="8" t="str">
        <f>IFERROR((Table35[[#This Row],[Multi]]/Table35[[#This Row],[Total]]), "")</f>
        <v/>
      </c>
      <c r="AI6" s="8" t="str">
        <f>IFERROR((Table35[[#This Row],[Unknown]]/Table35[[#This Row],[Total]]), "")</f>
        <v/>
      </c>
      <c r="AJ6" s="8" t="str">
        <f>IFERROR((Table35[[#This Row],[Dis]]/Table35[[#This Row],[Total]]), "")</f>
        <v/>
      </c>
      <c r="AK6" s="8" t="str">
        <f>IFERROR((Table35[[#This Row],[ED]]/Table35[[#This Row],[Total]]), "")</f>
        <v/>
      </c>
      <c r="AL6" s="8" t="str">
        <f>IFERROR((Table35[[#This Row],[Non-trad]]/Table35[[#This Row],[Total]]), "")</f>
        <v/>
      </c>
      <c r="AM6" s="8" t="str">
        <f>IFERROR((Table35[[#This Row],[SP]]/Table35[[#This Row],[Total]]), "")</f>
        <v/>
      </c>
      <c r="AN6" s="8" t="str">
        <f>IFERROR((Table35[[#This Row],[OOW]]/Table35[[#This Row],[Total]]), "")</f>
        <v/>
      </c>
      <c r="AO6" s="8" t="str">
        <f>IFERROR((Table35[[#This Row],[EL]]/Table35[[#This Row],[Total]]), "")</f>
        <v/>
      </c>
      <c r="AP6" s="8" t="str">
        <f>IFERROR((Table35[[#This Row],[Homeless]]/Table35[[#This Row],[Total]]), "")</f>
        <v/>
      </c>
      <c r="AQ6" s="8" t="str">
        <f>IFERROR((Table35[[#This Row],[Foster]]/Table35[[#This Row],[Total]]), "")</f>
        <v/>
      </c>
      <c r="AR6" s="8" t="str">
        <f>IFERROR((Table35[[#This Row],[AD]]/Table35[[#This Row],[Total]]), "")</f>
        <v/>
      </c>
    </row>
    <row r="7" spans="1:44" x14ac:dyDescent="0.25">
      <c r="A7" s="35"/>
      <c r="B7" s="35"/>
      <c r="C7" s="35"/>
      <c r="D7" s="9"/>
      <c r="E7" s="9"/>
      <c r="F7" s="9"/>
      <c r="G7" s="9"/>
      <c r="H7" s="9"/>
      <c r="I7" s="9"/>
      <c r="J7" s="9"/>
      <c r="K7" s="9"/>
      <c r="L7" s="9"/>
      <c r="M7" s="9"/>
      <c r="N7" s="9"/>
      <c r="O7" s="9"/>
      <c r="P7" s="9"/>
      <c r="Q7" s="9"/>
      <c r="R7" s="9"/>
      <c r="S7" s="9"/>
      <c r="T7" s="9"/>
      <c r="U7" s="9"/>
      <c r="V7" s="9"/>
      <c r="W7" s="9"/>
      <c r="X7" s="9"/>
      <c r="Y7" s="8" t="str">
        <f>IFERROR((Table35[[#This Row],[F]]/Table35[[#This Row],[Total]]), "")</f>
        <v/>
      </c>
      <c r="Z7" s="8" t="str">
        <f>IFERROR((Table35[[#This Row],[M]]/Table35[[#This Row],[Total]]), "")</f>
        <v/>
      </c>
      <c r="AA7" s="8" t="str">
        <f>IFERROR((Table35[[#This Row],[Other]]/Table35[[#This Row],[Total]]), "")</f>
        <v/>
      </c>
      <c r="AB7" s="8" t="str">
        <f>IFERROR((Table35[[#This Row],[AmInd]]/Table35[[#This Row],[Total]]), "")</f>
        <v/>
      </c>
      <c r="AC7" s="8" t="str">
        <f>IFERROR((Table35[[#This Row],[Asian]]/Table35[[#This Row],[Total]]), "")</f>
        <v/>
      </c>
      <c r="AD7" s="8" t="str">
        <f>IFERROR((Table35[[#This Row],[Hispanic]]/Table35[[#This Row],[Total]]), "")</f>
        <v/>
      </c>
      <c r="AE7" s="8" t="str">
        <f>IFERROR((Table35[[#This Row],[Black]]/Table35[[#This Row],[Total]]), "")</f>
        <v/>
      </c>
      <c r="AF7" s="8" t="str">
        <f>IFERROR((Table35[[#This Row],[White]]/Table35[[#This Row],[Total]]), "")</f>
        <v/>
      </c>
      <c r="AG7" s="8" t="str">
        <f>IFERROR((Table35[[#This Row],[H/PI]]/Table35[[#This Row],[Total]]), "")</f>
        <v/>
      </c>
      <c r="AH7" s="8" t="str">
        <f>IFERROR((Table35[[#This Row],[Multi]]/Table35[[#This Row],[Total]]), "")</f>
        <v/>
      </c>
      <c r="AI7" s="8" t="str">
        <f>IFERROR((Table35[[#This Row],[Unknown]]/Table35[[#This Row],[Total]]), "")</f>
        <v/>
      </c>
      <c r="AJ7" s="8" t="str">
        <f>IFERROR((Table35[[#This Row],[Dis]]/Table35[[#This Row],[Total]]), "")</f>
        <v/>
      </c>
      <c r="AK7" s="8" t="str">
        <f>IFERROR((Table35[[#This Row],[ED]]/Table35[[#This Row],[Total]]), "")</f>
        <v/>
      </c>
      <c r="AL7" s="8" t="str">
        <f>IFERROR((Table35[[#This Row],[Non-trad]]/Table35[[#This Row],[Total]]), "")</f>
        <v/>
      </c>
      <c r="AM7" s="8" t="str">
        <f>IFERROR((Table35[[#This Row],[SP]]/Table35[[#This Row],[Total]]), "")</f>
        <v/>
      </c>
      <c r="AN7" s="8" t="str">
        <f>IFERROR((Table35[[#This Row],[OOW]]/Table35[[#This Row],[Total]]), "")</f>
        <v/>
      </c>
      <c r="AO7" s="8" t="str">
        <f>IFERROR((Table35[[#This Row],[EL]]/Table35[[#This Row],[Total]]), "")</f>
        <v/>
      </c>
      <c r="AP7" s="8" t="str">
        <f>IFERROR((Table35[[#This Row],[Homeless]]/Table35[[#This Row],[Total]]), "")</f>
        <v/>
      </c>
      <c r="AQ7" s="8" t="str">
        <f>IFERROR((Table35[[#This Row],[Foster]]/Table35[[#This Row],[Total]]), "")</f>
        <v/>
      </c>
      <c r="AR7" s="8" t="str">
        <f>IFERROR((Table35[[#This Row],[AD]]/Table35[[#This Row],[Total]]), "")</f>
        <v/>
      </c>
    </row>
    <row r="8" spans="1:44" x14ac:dyDescent="0.25">
      <c r="A8" s="35"/>
      <c r="B8" s="35"/>
      <c r="C8" s="35"/>
      <c r="D8" s="9"/>
      <c r="E8" s="9"/>
      <c r="F8" s="9"/>
      <c r="G8" s="9"/>
      <c r="H8" s="9"/>
      <c r="I8" s="9"/>
      <c r="J8" s="9"/>
      <c r="K8" s="9"/>
      <c r="L8" s="9"/>
      <c r="M8" s="9"/>
      <c r="N8" s="9"/>
      <c r="O8" s="9"/>
      <c r="P8" s="9"/>
      <c r="Q8" s="9"/>
      <c r="R8" s="9"/>
      <c r="S8" s="9"/>
      <c r="T8" s="9"/>
      <c r="U8" s="9"/>
      <c r="V8" s="9"/>
      <c r="W8" s="9"/>
      <c r="X8" s="9"/>
      <c r="Y8" s="8" t="str">
        <f>IFERROR((Table35[[#This Row],[F]]/Table35[[#This Row],[Total]]), "")</f>
        <v/>
      </c>
      <c r="Z8" s="8" t="str">
        <f>IFERROR((Table35[[#This Row],[M]]/Table35[[#This Row],[Total]]), "")</f>
        <v/>
      </c>
      <c r="AA8" s="8" t="str">
        <f>IFERROR((Table35[[#This Row],[Other]]/Table35[[#This Row],[Total]]), "")</f>
        <v/>
      </c>
      <c r="AB8" s="8" t="str">
        <f>IFERROR((Table35[[#This Row],[AmInd]]/Table35[[#This Row],[Total]]), "")</f>
        <v/>
      </c>
      <c r="AC8" s="8" t="str">
        <f>IFERROR((Table35[[#This Row],[Asian]]/Table35[[#This Row],[Total]]), "")</f>
        <v/>
      </c>
      <c r="AD8" s="8" t="str">
        <f>IFERROR((Table35[[#This Row],[Hispanic]]/Table35[[#This Row],[Total]]), "")</f>
        <v/>
      </c>
      <c r="AE8" s="8" t="str">
        <f>IFERROR((Table35[[#This Row],[Black]]/Table35[[#This Row],[Total]]), "")</f>
        <v/>
      </c>
      <c r="AF8" s="8" t="str">
        <f>IFERROR((Table35[[#This Row],[White]]/Table35[[#This Row],[Total]]), "")</f>
        <v/>
      </c>
      <c r="AG8" s="8" t="str">
        <f>IFERROR((Table35[[#This Row],[H/PI]]/Table35[[#This Row],[Total]]), "")</f>
        <v/>
      </c>
      <c r="AH8" s="8" t="str">
        <f>IFERROR((Table35[[#This Row],[Multi]]/Table35[[#This Row],[Total]]), "")</f>
        <v/>
      </c>
      <c r="AI8" s="8" t="str">
        <f>IFERROR((Table35[[#This Row],[Unknown]]/Table35[[#This Row],[Total]]), "")</f>
        <v/>
      </c>
      <c r="AJ8" s="8" t="str">
        <f>IFERROR((Table35[[#This Row],[Dis]]/Table35[[#This Row],[Total]]), "")</f>
        <v/>
      </c>
      <c r="AK8" s="8" t="str">
        <f>IFERROR((Table35[[#This Row],[ED]]/Table35[[#This Row],[Total]]), "")</f>
        <v/>
      </c>
      <c r="AL8" s="8" t="str">
        <f>IFERROR((Table35[[#This Row],[Non-trad]]/Table35[[#This Row],[Total]]), "")</f>
        <v/>
      </c>
      <c r="AM8" s="8" t="str">
        <f>IFERROR((Table35[[#This Row],[SP]]/Table35[[#This Row],[Total]]), "")</f>
        <v/>
      </c>
      <c r="AN8" s="8" t="str">
        <f>IFERROR((Table35[[#This Row],[OOW]]/Table35[[#This Row],[Total]]), "")</f>
        <v/>
      </c>
      <c r="AO8" s="8" t="str">
        <f>IFERROR((Table35[[#This Row],[EL]]/Table35[[#This Row],[Total]]), "")</f>
        <v/>
      </c>
      <c r="AP8" s="8" t="str">
        <f>IFERROR((Table35[[#This Row],[Homeless]]/Table35[[#This Row],[Total]]), "")</f>
        <v/>
      </c>
      <c r="AQ8" s="8" t="str">
        <f>IFERROR((Table35[[#This Row],[Foster]]/Table35[[#This Row],[Total]]), "")</f>
        <v/>
      </c>
      <c r="AR8" s="8" t="str">
        <f>IFERROR((Table35[[#This Row],[AD]]/Table35[[#This Row],[Total]]), "")</f>
        <v/>
      </c>
    </row>
    <row r="9" spans="1:44" x14ac:dyDescent="0.25">
      <c r="A9" s="35"/>
      <c r="B9" s="35"/>
      <c r="C9" s="35"/>
      <c r="D9" s="9"/>
      <c r="E9" s="9"/>
      <c r="F9" s="9"/>
      <c r="G9" s="9"/>
      <c r="H9" s="9"/>
      <c r="I9" s="9"/>
      <c r="J9" s="9"/>
      <c r="K9" s="9"/>
      <c r="L9" s="9"/>
      <c r="M9" s="9"/>
      <c r="N9" s="9"/>
      <c r="O9" s="9"/>
      <c r="P9" s="9"/>
      <c r="Q9" s="9"/>
      <c r="R9" s="9"/>
      <c r="S9" s="9"/>
      <c r="T9" s="9"/>
      <c r="U9" s="9"/>
      <c r="V9" s="9"/>
      <c r="W9" s="9"/>
      <c r="X9" s="9"/>
      <c r="Y9" s="8" t="str">
        <f>IFERROR((Table35[[#This Row],[F]]/Table35[[#This Row],[Total]]), "")</f>
        <v/>
      </c>
      <c r="Z9" s="8" t="str">
        <f>IFERROR((Table35[[#This Row],[M]]/Table35[[#This Row],[Total]]), "")</f>
        <v/>
      </c>
      <c r="AA9" s="8" t="str">
        <f>IFERROR((Table35[[#This Row],[Other]]/Table35[[#This Row],[Total]]), "")</f>
        <v/>
      </c>
      <c r="AB9" s="8" t="str">
        <f>IFERROR((Table35[[#This Row],[AmInd]]/Table35[[#This Row],[Total]]), "")</f>
        <v/>
      </c>
      <c r="AC9" s="8" t="str">
        <f>IFERROR((Table35[[#This Row],[Asian]]/Table35[[#This Row],[Total]]), "")</f>
        <v/>
      </c>
      <c r="AD9" s="8" t="str">
        <f>IFERROR((Table35[[#This Row],[Hispanic]]/Table35[[#This Row],[Total]]), "")</f>
        <v/>
      </c>
      <c r="AE9" s="8" t="str">
        <f>IFERROR((Table35[[#This Row],[Black]]/Table35[[#This Row],[Total]]), "")</f>
        <v/>
      </c>
      <c r="AF9" s="8" t="str">
        <f>IFERROR((Table35[[#This Row],[White]]/Table35[[#This Row],[Total]]), "")</f>
        <v/>
      </c>
      <c r="AG9" s="8" t="str">
        <f>IFERROR((Table35[[#This Row],[H/PI]]/Table35[[#This Row],[Total]]), "")</f>
        <v/>
      </c>
      <c r="AH9" s="8" t="str">
        <f>IFERROR((Table35[[#This Row],[Multi]]/Table35[[#This Row],[Total]]), "")</f>
        <v/>
      </c>
      <c r="AI9" s="8" t="str">
        <f>IFERROR((Table35[[#This Row],[Unknown]]/Table35[[#This Row],[Total]]), "")</f>
        <v/>
      </c>
      <c r="AJ9" s="8" t="str">
        <f>IFERROR((Table35[[#This Row],[Dis]]/Table35[[#This Row],[Total]]), "")</f>
        <v/>
      </c>
      <c r="AK9" s="8" t="str">
        <f>IFERROR((Table35[[#This Row],[ED]]/Table35[[#This Row],[Total]]), "")</f>
        <v/>
      </c>
      <c r="AL9" s="8" t="str">
        <f>IFERROR((Table35[[#This Row],[Non-trad]]/Table35[[#This Row],[Total]]), "")</f>
        <v/>
      </c>
      <c r="AM9" s="8" t="str">
        <f>IFERROR((Table35[[#This Row],[SP]]/Table35[[#This Row],[Total]]), "")</f>
        <v/>
      </c>
      <c r="AN9" s="8" t="str">
        <f>IFERROR((Table35[[#This Row],[OOW]]/Table35[[#This Row],[Total]]), "")</f>
        <v/>
      </c>
      <c r="AO9" s="8" t="str">
        <f>IFERROR((Table35[[#This Row],[EL]]/Table35[[#This Row],[Total]]), "")</f>
        <v/>
      </c>
      <c r="AP9" s="8" t="str">
        <f>IFERROR((Table35[[#This Row],[Homeless]]/Table35[[#This Row],[Total]]), "")</f>
        <v/>
      </c>
      <c r="AQ9" s="8" t="str">
        <f>IFERROR((Table35[[#This Row],[Foster]]/Table35[[#This Row],[Total]]), "")</f>
        <v/>
      </c>
      <c r="AR9" s="8" t="str">
        <f>IFERROR((Table35[[#This Row],[AD]]/Table35[[#This Row],[Total]]), "")</f>
        <v/>
      </c>
    </row>
    <row r="10" spans="1:44" x14ac:dyDescent="0.25">
      <c r="A10" s="35"/>
      <c r="B10" s="35"/>
      <c r="C10" s="35"/>
      <c r="D10" s="9"/>
      <c r="E10" s="9"/>
      <c r="F10" s="9"/>
      <c r="G10" s="9"/>
      <c r="H10" s="9"/>
      <c r="I10" s="9"/>
      <c r="J10" s="9"/>
      <c r="K10" s="9"/>
      <c r="L10" s="9"/>
      <c r="M10" s="9"/>
      <c r="N10" s="9"/>
      <c r="O10" s="9"/>
      <c r="P10" s="9"/>
      <c r="Q10" s="9"/>
      <c r="R10" s="9"/>
      <c r="S10" s="9"/>
      <c r="T10" s="9"/>
      <c r="U10" s="9"/>
      <c r="V10" s="9"/>
      <c r="W10" s="9"/>
      <c r="X10" s="9"/>
      <c r="Y10" s="8" t="str">
        <f>IFERROR((Table35[[#This Row],[F]]/Table35[[#This Row],[Total]]), "")</f>
        <v/>
      </c>
      <c r="Z10" s="8" t="str">
        <f>IFERROR((Table35[[#This Row],[M]]/Table35[[#This Row],[Total]]), "")</f>
        <v/>
      </c>
      <c r="AA10" s="8" t="str">
        <f>IFERROR((Table35[[#This Row],[Other]]/Table35[[#This Row],[Total]]), "")</f>
        <v/>
      </c>
      <c r="AB10" s="8" t="str">
        <f>IFERROR((Table35[[#This Row],[AmInd]]/Table35[[#This Row],[Total]]), "")</f>
        <v/>
      </c>
      <c r="AC10" s="8" t="str">
        <f>IFERROR((Table35[[#This Row],[Asian]]/Table35[[#This Row],[Total]]), "")</f>
        <v/>
      </c>
      <c r="AD10" s="8" t="str">
        <f>IFERROR((Table35[[#This Row],[Hispanic]]/Table35[[#This Row],[Total]]), "")</f>
        <v/>
      </c>
      <c r="AE10" s="8" t="str">
        <f>IFERROR((Table35[[#This Row],[Black]]/Table35[[#This Row],[Total]]), "")</f>
        <v/>
      </c>
      <c r="AF10" s="8" t="str">
        <f>IFERROR((Table35[[#This Row],[White]]/Table35[[#This Row],[Total]]), "")</f>
        <v/>
      </c>
      <c r="AG10" s="8" t="str">
        <f>IFERROR((Table35[[#This Row],[H/PI]]/Table35[[#This Row],[Total]]), "")</f>
        <v/>
      </c>
      <c r="AH10" s="8" t="str">
        <f>IFERROR((Table35[[#This Row],[Multi]]/Table35[[#This Row],[Total]]), "")</f>
        <v/>
      </c>
      <c r="AI10" s="8" t="str">
        <f>IFERROR((Table35[[#This Row],[Unknown]]/Table35[[#This Row],[Total]]), "")</f>
        <v/>
      </c>
      <c r="AJ10" s="8" t="str">
        <f>IFERROR((Table35[[#This Row],[Dis]]/Table35[[#This Row],[Total]]), "")</f>
        <v/>
      </c>
      <c r="AK10" s="8" t="str">
        <f>IFERROR((Table35[[#This Row],[ED]]/Table35[[#This Row],[Total]]), "")</f>
        <v/>
      </c>
      <c r="AL10" s="8" t="str">
        <f>IFERROR((Table35[[#This Row],[Non-trad]]/Table35[[#This Row],[Total]]), "")</f>
        <v/>
      </c>
      <c r="AM10" s="8" t="str">
        <f>IFERROR((Table35[[#This Row],[SP]]/Table35[[#This Row],[Total]]), "")</f>
        <v/>
      </c>
      <c r="AN10" s="8" t="str">
        <f>IFERROR((Table35[[#This Row],[OOW]]/Table35[[#This Row],[Total]]), "")</f>
        <v/>
      </c>
      <c r="AO10" s="8" t="str">
        <f>IFERROR((Table35[[#This Row],[EL]]/Table35[[#This Row],[Total]]), "")</f>
        <v/>
      </c>
      <c r="AP10" s="8" t="str">
        <f>IFERROR((Table35[[#This Row],[Homeless]]/Table35[[#This Row],[Total]]), "")</f>
        <v/>
      </c>
      <c r="AQ10" s="8" t="str">
        <f>IFERROR((Table35[[#This Row],[Foster]]/Table35[[#This Row],[Total]]), "")</f>
        <v/>
      </c>
      <c r="AR10" s="8" t="str">
        <f>IFERROR((Table35[[#This Row],[AD]]/Table35[[#This Row],[Total]]), "")</f>
        <v/>
      </c>
    </row>
    <row r="11" spans="1:44" x14ac:dyDescent="0.25">
      <c r="A11" s="35"/>
      <c r="B11" s="35"/>
      <c r="C11" s="35"/>
      <c r="D11" s="9"/>
      <c r="E11" s="9"/>
      <c r="F11" s="9"/>
      <c r="G11" s="9"/>
      <c r="H11" s="9"/>
      <c r="I11" s="9"/>
      <c r="J11" s="9"/>
      <c r="K11" s="9"/>
      <c r="L11" s="9"/>
      <c r="M11" s="9"/>
      <c r="N11" s="9"/>
      <c r="O11" s="9"/>
      <c r="P11" s="9"/>
      <c r="Q11" s="9"/>
      <c r="R11" s="9"/>
      <c r="S11" s="9"/>
      <c r="T11" s="9"/>
      <c r="U11" s="9"/>
      <c r="V11" s="9"/>
      <c r="W11" s="9"/>
      <c r="X11" s="9"/>
      <c r="Y11" s="8" t="str">
        <f>IFERROR((Table35[[#This Row],[F]]/Table35[[#This Row],[Total]]), "")</f>
        <v/>
      </c>
      <c r="Z11" s="8" t="str">
        <f>IFERROR((Table35[[#This Row],[M]]/Table35[[#This Row],[Total]]), "")</f>
        <v/>
      </c>
      <c r="AA11" s="8" t="str">
        <f>IFERROR((Table35[[#This Row],[Other]]/Table35[[#This Row],[Total]]), "")</f>
        <v/>
      </c>
      <c r="AB11" s="8" t="str">
        <f>IFERROR((Table35[[#This Row],[AmInd]]/Table35[[#This Row],[Total]]), "")</f>
        <v/>
      </c>
      <c r="AC11" s="8" t="str">
        <f>IFERROR((Table35[[#This Row],[Asian]]/Table35[[#This Row],[Total]]), "")</f>
        <v/>
      </c>
      <c r="AD11" s="8" t="str">
        <f>IFERROR((Table35[[#This Row],[Hispanic]]/Table35[[#This Row],[Total]]), "")</f>
        <v/>
      </c>
      <c r="AE11" s="8" t="str">
        <f>IFERROR((Table35[[#This Row],[Black]]/Table35[[#This Row],[Total]]), "")</f>
        <v/>
      </c>
      <c r="AF11" s="8" t="str">
        <f>IFERROR((Table35[[#This Row],[White]]/Table35[[#This Row],[Total]]), "")</f>
        <v/>
      </c>
      <c r="AG11" s="8" t="str">
        <f>IFERROR((Table35[[#This Row],[H/PI]]/Table35[[#This Row],[Total]]), "")</f>
        <v/>
      </c>
      <c r="AH11" s="8" t="str">
        <f>IFERROR((Table35[[#This Row],[Multi]]/Table35[[#This Row],[Total]]), "")</f>
        <v/>
      </c>
      <c r="AI11" s="8" t="str">
        <f>IFERROR((Table35[[#This Row],[Unknown]]/Table35[[#This Row],[Total]]), "")</f>
        <v/>
      </c>
      <c r="AJ11" s="8" t="str">
        <f>IFERROR((Table35[[#This Row],[Dis]]/Table35[[#This Row],[Total]]), "")</f>
        <v/>
      </c>
      <c r="AK11" s="8" t="str">
        <f>IFERROR((Table35[[#This Row],[ED]]/Table35[[#This Row],[Total]]), "")</f>
        <v/>
      </c>
      <c r="AL11" s="8" t="str">
        <f>IFERROR((Table35[[#This Row],[Non-trad]]/Table35[[#This Row],[Total]]), "")</f>
        <v/>
      </c>
      <c r="AM11" s="8" t="str">
        <f>IFERROR((Table35[[#This Row],[SP]]/Table35[[#This Row],[Total]]), "")</f>
        <v/>
      </c>
      <c r="AN11" s="8" t="str">
        <f>IFERROR((Table35[[#This Row],[OOW]]/Table35[[#This Row],[Total]]), "")</f>
        <v/>
      </c>
      <c r="AO11" s="8" t="str">
        <f>IFERROR((Table35[[#This Row],[EL]]/Table35[[#This Row],[Total]]), "")</f>
        <v/>
      </c>
      <c r="AP11" s="8" t="str">
        <f>IFERROR((Table35[[#This Row],[Homeless]]/Table35[[#This Row],[Total]]), "")</f>
        <v/>
      </c>
      <c r="AQ11" s="8" t="str">
        <f>IFERROR((Table35[[#This Row],[Foster]]/Table35[[#This Row],[Total]]), "")</f>
        <v/>
      </c>
      <c r="AR11" s="8" t="str">
        <f>IFERROR((Table35[[#This Row],[AD]]/Table35[[#This Row],[Total]]), "")</f>
        <v/>
      </c>
    </row>
    <row r="12" spans="1:44" x14ac:dyDescent="0.25">
      <c r="A12" s="35"/>
      <c r="B12" s="35"/>
      <c r="C12" s="35"/>
      <c r="D12" s="9"/>
      <c r="E12" s="9"/>
      <c r="F12" s="9"/>
      <c r="G12" s="9"/>
      <c r="H12" s="9"/>
      <c r="I12" s="9"/>
      <c r="J12" s="9"/>
      <c r="K12" s="9"/>
      <c r="L12" s="9"/>
      <c r="M12" s="9"/>
      <c r="N12" s="9"/>
      <c r="O12" s="9"/>
      <c r="P12" s="9"/>
      <c r="Q12" s="9"/>
      <c r="R12" s="9"/>
      <c r="S12" s="9"/>
      <c r="T12" s="9"/>
      <c r="U12" s="9"/>
      <c r="V12" s="9"/>
      <c r="W12" s="9"/>
      <c r="X12" s="9"/>
      <c r="Y12" s="8" t="str">
        <f>IFERROR((Table35[[#This Row],[F]]/Table35[[#This Row],[Total]]), "")</f>
        <v/>
      </c>
      <c r="Z12" s="8" t="str">
        <f>IFERROR((Table35[[#This Row],[M]]/Table35[[#This Row],[Total]]), "")</f>
        <v/>
      </c>
      <c r="AA12" s="8" t="str">
        <f>IFERROR((Table35[[#This Row],[Other]]/Table35[[#This Row],[Total]]), "")</f>
        <v/>
      </c>
      <c r="AB12" s="8" t="str">
        <f>IFERROR((Table35[[#This Row],[AmInd]]/Table35[[#This Row],[Total]]), "")</f>
        <v/>
      </c>
      <c r="AC12" s="8" t="str">
        <f>IFERROR((Table35[[#This Row],[Asian]]/Table35[[#This Row],[Total]]), "")</f>
        <v/>
      </c>
      <c r="AD12" s="8" t="str">
        <f>IFERROR((Table35[[#This Row],[Hispanic]]/Table35[[#This Row],[Total]]), "")</f>
        <v/>
      </c>
      <c r="AE12" s="8" t="str">
        <f>IFERROR((Table35[[#This Row],[Black]]/Table35[[#This Row],[Total]]), "")</f>
        <v/>
      </c>
      <c r="AF12" s="8" t="str">
        <f>IFERROR((Table35[[#This Row],[White]]/Table35[[#This Row],[Total]]), "")</f>
        <v/>
      </c>
      <c r="AG12" s="8" t="str">
        <f>IFERROR((Table35[[#This Row],[H/PI]]/Table35[[#This Row],[Total]]), "")</f>
        <v/>
      </c>
      <c r="AH12" s="8" t="str">
        <f>IFERROR((Table35[[#This Row],[Multi]]/Table35[[#This Row],[Total]]), "")</f>
        <v/>
      </c>
      <c r="AI12" s="8" t="str">
        <f>IFERROR((Table35[[#This Row],[Unknown]]/Table35[[#This Row],[Total]]), "")</f>
        <v/>
      </c>
      <c r="AJ12" s="8" t="str">
        <f>IFERROR((Table35[[#This Row],[Dis]]/Table35[[#This Row],[Total]]), "")</f>
        <v/>
      </c>
      <c r="AK12" s="8" t="str">
        <f>IFERROR((Table35[[#This Row],[ED]]/Table35[[#This Row],[Total]]), "")</f>
        <v/>
      </c>
      <c r="AL12" s="8" t="str">
        <f>IFERROR((Table35[[#This Row],[Non-trad]]/Table35[[#This Row],[Total]]), "")</f>
        <v/>
      </c>
      <c r="AM12" s="8" t="str">
        <f>IFERROR((Table35[[#This Row],[SP]]/Table35[[#This Row],[Total]]), "")</f>
        <v/>
      </c>
      <c r="AN12" s="8" t="str">
        <f>IFERROR((Table35[[#This Row],[OOW]]/Table35[[#This Row],[Total]]), "")</f>
        <v/>
      </c>
      <c r="AO12" s="8" t="str">
        <f>IFERROR((Table35[[#This Row],[EL]]/Table35[[#This Row],[Total]]), "")</f>
        <v/>
      </c>
      <c r="AP12" s="8" t="str">
        <f>IFERROR((Table35[[#This Row],[Homeless]]/Table35[[#This Row],[Total]]), "")</f>
        <v/>
      </c>
      <c r="AQ12" s="8" t="str">
        <f>IFERROR((Table35[[#This Row],[Foster]]/Table35[[#This Row],[Total]]), "")</f>
        <v/>
      </c>
      <c r="AR12" s="8" t="str">
        <f>IFERROR((Table35[[#This Row],[AD]]/Table35[[#This Row],[Total]]), "")</f>
        <v/>
      </c>
    </row>
    <row r="13" spans="1:44" x14ac:dyDescent="0.25">
      <c r="A13" s="35"/>
      <c r="B13" s="35"/>
      <c r="C13" s="35"/>
      <c r="D13" s="9"/>
      <c r="E13" s="9"/>
      <c r="F13" s="9"/>
      <c r="G13" s="9"/>
      <c r="H13" s="9"/>
      <c r="I13" s="9"/>
      <c r="J13" s="9"/>
      <c r="K13" s="9"/>
      <c r="L13" s="9"/>
      <c r="M13" s="9"/>
      <c r="N13" s="9"/>
      <c r="O13" s="9"/>
      <c r="P13" s="9"/>
      <c r="Q13" s="9"/>
      <c r="R13" s="9"/>
      <c r="S13" s="9"/>
      <c r="T13" s="9"/>
      <c r="U13" s="9"/>
      <c r="V13" s="9"/>
      <c r="W13" s="9"/>
      <c r="X13" s="9"/>
      <c r="Y13" s="8" t="str">
        <f>IFERROR((Table35[[#This Row],[F]]/Table35[[#This Row],[Total]]), "")</f>
        <v/>
      </c>
      <c r="Z13" s="8" t="str">
        <f>IFERROR((Table35[[#This Row],[M]]/Table35[[#This Row],[Total]]), "")</f>
        <v/>
      </c>
      <c r="AA13" s="8" t="str">
        <f>IFERROR((Table35[[#This Row],[Other]]/Table35[[#This Row],[Total]]), "")</f>
        <v/>
      </c>
      <c r="AB13" s="8" t="str">
        <f>IFERROR((Table35[[#This Row],[AmInd]]/Table35[[#This Row],[Total]]), "")</f>
        <v/>
      </c>
      <c r="AC13" s="8" t="str">
        <f>IFERROR((Table35[[#This Row],[Asian]]/Table35[[#This Row],[Total]]), "")</f>
        <v/>
      </c>
      <c r="AD13" s="8" t="str">
        <f>IFERROR((Table35[[#This Row],[Hispanic]]/Table35[[#This Row],[Total]]), "")</f>
        <v/>
      </c>
      <c r="AE13" s="8" t="str">
        <f>IFERROR((Table35[[#This Row],[Black]]/Table35[[#This Row],[Total]]), "")</f>
        <v/>
      </c>
      <c r="AF13" s="8" t="str">
        <f>IFERROR((Table35[[#This Row],[White]]/Table35[[#This Row],[Total]]), "")</f>
        <v/>
      </c>
      <c r="AG13" s="8" t="str">
        <f>IFERROR((Table35[[#This Row],[H/PI]]/Table35[[#This Row],[Total]]), "")</f>
        <v/>
      </c>
      <c r="AH13" s="8" t="str">
        <f>IFERROR((Table35[[#This Row],[Multi]]/Table35[[#This Row],[Total]]), "")</f>
        <v/>
      </c>
      <c r="AI13" s="8" t="str">
        <f>IFERROR((Table35[[#This Row],[Unknown]]/Table35[[#This Row],[Total]]), "")</f>
        <v/>
      </c>
      <c r="AJ13" s="8" t="str">
        <f>IFERROR((Table35[[#This Row],[Dis]]/Table35[[#This Row],[Total]]), "")</f>
        <v/>
      </c>
      <c r="AK13" s="8" t="str">
        <f>IFERROR((Table35[[#This Row],[ED]]/Table35[[#This Row],[Total]]), "")</f>
        <v/>
      </c>
      <c r="AL13" s="8" t="str">
        <f>IFERROR((Table35[[#This Row],[Non-trad]]/Table35[[#This Row],[Total]]), "")</f>
        <v/>
      </c>
      <c r="AM13" s="8" t="str">
        <f>IFERROR((Table35[[#This Row],[SP]]/Table35[[#This Row],[Total]]), "")</f>
        <v/>
      </c>
      <c r="AN13" s="8" t="str">
        <f>IFERROR((Table35[[#This Row],[OOW]]/Table35[[#This Row],[Total]]), "")</f>
        <v/>
      </c>
      <c r="AO13" s="8" t="str">
        <f>IFERROR((Table35[[#This Row],[EL]]/Table35[[#This Row],[Total]]), "")</f>
        <v/>
      </c>
      <c r="AP13" s="8" t="str">
        <f>IFERROR((Table35[[#This Row],[Homeless]]/Table35[[#This Row],[Total]]), "")</f>
        <v/>
      </c>
      <c r="AQ13" s="8" t="str">
        <f>IFERROR((Table35[[#This Row],[Foster]]/Table35[[#This Row],[Total]]), "")</f>
        <v/>
      </c>
      <c r="AR13" s="8" t="str">
        <f>IFERROR((Table35[[#This Row],[AD]]/Table35[[#This Row],[Total]]), "")</f>
        <v/>
      </c>
    </row>
    <row r="14" spans="1:44" x14ac:dyDescent="0.25">
      <c r="A14" s="35"/>
      <c r="B14" s="35"/>
      <c r="C14" s="35"/>
      <c r="D14" s="9"/>
      <c r="E14" s="9"/>
      <c r="F14" s="9"/>
      <c r="G14" s="9"/>
      <c r="H14" s="9"/>
      <c r="I14" s="9"/>
      <c r="J14" s="9"/>
      <c r="K14" s="9"/>
      <c r="L14" s="9"/>
      <c r="M14" s="9"/>
      <c r="N14" s="9"/>
      <c r="O14" s="9"/>
      <c r="P14" s="9"/>
      <c r="Q14" s="9"/>
      <c r="R14" s="9"/>
      <c r="S14" s="9"/>
      <c r="T14" s="9"/>
      <c r="U14" s="9"/>
      <c r="V14" s="9"/>
      <c r="W14" s="9"/>
      <c r="X14" s="9"/>
      <c r="Y14" s="8" t="str">
        <f>IFERROR((Table35[[#This Row],[F]]/Table35[[#This Row],[Total]]), "")</f>
        <v/>
      </c>
      <c r="Z14" s="8" t="str">
        <f>IFERROR((Table35[[#This Row],[M]]/Table35[[#This Row],[Total]]), "")</f>
        <v/>
      </c>
      <c r="AA14" s="8" t="str">
        <f>IFERROR((Table35[[#This Row],[Other]]/Table35[[#This Row],[Total]]), "")</f>
        <v/>
      </c>
      <c r="AB14" s="8" t="str">
        <f>IFERROR((Table35[[#This Row],[AmInd]]/Table35[[#This Row],[Total]]), "")</f>
        <v/>
      </c>
      <c r="AC14" s="8" t="str">
        <f>IFERROR((Table35[[#This Row],[Asian]]/Table35[[#This Row],[Total]]), "")</f>
        <v/>
      </c>
      <c r="AD14" s="8" t="str">
        <f>IFERROR((Table35[[#This Row],[Hispanic]]/Table35[[#This Row],[Total]]), "")</f>
        <v/>
      </c>
      <c r="AE14" s="8" t="str">
        <f>IFERROR((Table35[[#This Row],[Black]]/Table35[[#This Row],[Total]]), "")</f>
        <v/>
      </c>
      <c r="AF14" s="8" t="str">
        <f>IFERROR((Table35[[#This Row],[White]]/Table35[[#This Row],[Total]]), "")</f>
        <v/>
      </c>
      <c r="AG14" s="8" t="str">
        <f>IFERROR((Table35[[#This Row],[H/PI]]/Table35[[#This Row],[Total]]), "")</f>
        <v/>
      </c>
      <c r="AH14" s="8" t="str">
        <f>IFERROR((Table35[[#This Row],[Multi]]/Table35[[#This Row],[Total]]), "")</f>
        <v/>
      </c>
      <c r="AI14" s="8" t="str">
        <f>IFERROR((Table35[[#This Row],[Unknown]]/Table35[[#This Row],[Total]]), "")</f>
        <v/>
      </c>
      <c r="AJ14" s="8" t="str">
        <f>IFERROR((Table35[[#This Row],[Dis]]/Table35[[#This Row],[Total]]), "")</f>
        <v/>
      </c>
      <c r="AK14" s="8" t="str">
        <f>IFERROR((Table35[[#This Row],[ED]]/Table35[[#This Row],[Total]]), "")</f>
        <v/>
      </c>
      <c r="AL14" s="8" t="str">
        <f>IFERROR((Table35[[#This Row],[Non-trad]]/Table35[[#This Row],[Total]]), "")</f>
        <v/>
      </c>
      <c r="AM14" s="8" t="str">
        <f>IFERROR((Table35[[#This Row],[SP]]/Table35[[#This Row],[Total]]), "")</f>
        <v/>
      </c>
      <c r="AN14" s="8" t="str">
        <f>IFERROR((Table35[[#This Row],[OOW]]/Table35[[#This Row],[Total]]), "")</f>
        <v/>
      </c>
      <c r="AO14" s="8" t="str">
        <f>IFERROR((Table35[[#This Row],[EL]]/Table35[[#This Row],[Total]]), "")</f>
        <v/>
      </c>
      <c r="AP14" s="8" t="str">
        <f>IFERROR((Table35[[#This Row],[Homeless]]/Table35[[#This Row],[Total]]), "")</f>
        <v/>
      </c>
      <c r="AQ14" s="8" t="str">
        <f>IFERROR((Table35[[#This Row],[Foster]]/Table35[[#This Row],[Total]]), "")</f>
        <v/>
      </c>
      <c r="AR14" s="8" t="str">
        <f>IFERROR((Table35[[#This Row],[AD]]/Table35[[#This Row],[Total]]), "")</f>
        <v/>
      </c>
    </row>
    <row r="15" spans="1:44" x14ac:dyDescent="0.25">
      <c r="A15" s="35"/>
      <c r="B15" s="35"/>
      <c r="C15" s="35"/>
      <c r="D15" s="9"/>
      <c r="E15" s="9"/>
      <c r="F15" s="9"/>
      <c r="G15" s="9"/>
      <c r="H15" s="9"/>
      <c r="I15" s="9"/>
      <c r="J15" s="9"/>
      <c r="K15" s="9"/>
      <c r="L15" s="9"/>
      <c r="M15" s="9"/>
      <c r="N15" s="9"/>
      <c r="O15" s="9"/>
      <c r="P15" s="9"/>
      <c r="Q15" s="9"/>
      <c r="R15" s="9"/>
      <c r="S15" s="9"/>
      <c r="T15" s="9"/>
      <c r="U15" s="9"/>
      <c r="V15" s="9"/>
      <c r="W15" s="9"/>
      <c r="X15" s="9"/>
      <c r="Y15" s="8" t="str">
        <f>IFERROR((Table35[[#This Row],[F]]/Table35[[#This Row],[Total]]), "")</f>
        <v/>
      </c>
      <c r="Z15" s="8" t="str">
        <f>IFERROR((Table35[[#This Row],[M]]/Table35[[#This Row],[Total]]), "")</f>
        <v/>
      </c>
      <c r="AA15" s="8" t="str">
        <f>IFERROR((Table35[[#This Row],[Other]]/Table35[[#This Row],[Total]]), "")</f>
        <v/>
      </c>
      <c r="AB15" s="8" t="str">
        <f>IFERROR((Table35[[#This Row],[AmInd]]/Table35[[#This Row],[Total]]), "")</f>
        <v/>
      </c>
      <c r="AC15" s="8" t="str">
        <f>IFERROR((Table35[[#This Row],[Asian]]/Table35[[#This Row],[Total]]), "")</f>
        <v/>
      </c>
      <c r="AD15" s="8" t="str">
        <f>IFERROR((Table35[[#This Row],[Hispanic]]/Table35[[#This Row],[Total]]), "")</f>
        <v/>
      </c>
      <c r="AE15" s="8" t="str">
        <f>IFERROR((Table35[[#This Row],[Black]]/Table35[[#This Row],[Total]]), "")</f>
        <v/>
      </c>
      <c r="AF15" s="8" t="str">
        <f>IFERROR((Table35[[#This Row],[White]]/Table35[[#This Row],[Total]]), "")</f>
        <v/>
      </c>
      <c r="AG15" s="8" t="str">
        <f>IFERROR((Table35[[#This Row],[H/PI]]/Table35[[#This Row],[Total]]), "")</f>
        <v/>
      </c>
      <c r="AH15" s="8" t="str">
        <f>IFERROR((Table35[[#This Row],[Multi]]/Table35[[#This Row],[Total]]), "")</f>
        <v/>
      </c>
      <c r="AI15" s="8" t="str">
        <f>IFERROR((Table35[[#This Row],[Unknown]]/Table35[[#This Row],[Total]]), "")</f>
        <v/>
      </c>
      <c r="AJ15" s="8" t="str">
        <f>IFERROR((Table35[[#This Row],[Dis]]/Table35[[#This Row],[Total]]), "")</f>
        <v/>
      </c>
      <c r="AK15" s="8" t="str">
        <f>IFERROR((Table35[[#This Row],[ED]]/Table35[[#This Row],[Total]]), "")</f>
        <v/>
      </c>
      <c r="AL15" s="8" t="str">
        <f>IFERROR((Table35[[#This Row],[Non-trad]]/Table35[[#This Row],[Total]]), "")</f>
        <v/>
      </c>
      <c r="AM15" s="8" t="str">
        <f>IFERROR((Table35[[#This Row],[SP]]/Table35[[#This Row],[Total]]), "")</f>
        <v/>
      </c>
      <c r="AN15" s="8" t="str">
        <f>IFERROR((Table35[[#This Row],[OOW]]/Table35[[#This Row],[Total]]), "")</f>
        <v/>
      </c>
      <c r="AO15" s="8" t="str">
        <f>IFERROR((Table35[[#This Row],[EL]]/Table35[[#This Row],[Total]]), "")</f>
        <v/>
      </c>
      <c r="AP15" s="8" t="str">
        <f>IFERROR((Table35[[#This Row],[Homeless]]/Table35[[#This Row],[Total]]), "")</f>
        <v/>
      </c>
      <c r="AQ15" s="8" t="str">
        <f>IFERROR((Table35[[#This Row],[Foster]]/Table35[[#This Row],[Total]]), "")</f>
        <v/>
      </c>
      <c r="AR15" s="8" t="str">
        <f>IFERROR((Table35[[#This Row],[AD]]/Table35[[#This Row],[Total]]), "")</f>
        <v/>
      </c>
    </row>
    <row r="16" spans="1:44" x14ac:dyDescent="0.25">
      <c r="A16" s="35"/>
      <c r="B16" s="35"/>
      <c r="C16" s="35"/>
      <c r="D16" s="9"/>
      <c r="E16" s="9"/>
      <c r="F16" s="9"/>
      <c r="G16" s="9"/>
      <c r="H16" s="9"/>
      <c r="I16" s="9"/>
      <c r="J16" s="9"/>
      <c r="K16" s="9"/>
      <c r="L16" s="9"/>
      <c r="M16" s="9"/>
      <c r="N16" s="9"/>
      <c r="O16" s="9"/>
      <c r="P16" s="9"/>
      <c r="Q16" s="9"/>
      <c r="R16" s="9"/>
      <c r="S16" s="9"/>
      <c r="T16" s="9"/>
      <c r="U16" s="9"/>
      <c r="V16" s="9"/>
      <c r="W16" s="9"/>
      <c r="X16" s="9"/>
      <c r="Y16" s="8" t="str">
        <f>IFERROR((Table35[[#This Row],[F]]/Table35[[#This Row],[Total]]), "")</f>
        <v/>
      </c>
      <c r="Z16" s="8" t="str">
        <f>IFERROR((Table35[[#This Row],[M]]/Table35[[#This Row],[Total]]), "")</f>
        <v/>
      </c>
      <c r="AA16" s="8" t="str">
        <f>IFERROR((Table35[[#This Row],[Other]]/Table35[[#This Row],[Total]]), "")</f>
        <v/>
      </c>
      <c r="AB16" s="8" t="str">
        <f>IFERROR((Table35[[#This Row],[AmInd]]/Table35[[#This Row],[Total]]), "")</f>
        <v/>
      </c>
      <c r="AC16" s="8" t="str">
        <f>IFERROR((Table35[[#This Row],[Asian]]/Table35[[#This Row],[Total]]), "")</f>
        <v/>
      </c>
      <c r="AD16" s="8" t="str">
        <f>IFERROR((Table35[[#This Row],[Hispanic]]/Table35[[#This Row],[Total]]), "")</f>
        <v/>
      </c>
      <c r="AE16" s="8" t="str">
        <f>IFERROR((Table35[[#This Row],[Black]]/Table35[[#This Row],[Total]]), "")</f>
        <v/>
      </c>
      <c r="AF16" s="8" t="str">
        <f>IFERROR((Table35[[#This Row],[White]]/Table35[[#This Row],[Total]]), "")</f>
        <v/>
      </c>
      <c r="AG16" s="8" t="str">
        <f>IFERROR((Table35[[#This Row],[H/PI]]/Table35[[#This Row],[Total]]), "")</f>
        <v/>
      </c>
      <c r="AH16" s="8" t="str">
        <f>IFERROR((Table35[[#This Row],[Multi]]/Table35[[#This Row],[Total]]), "")</f>
        <v/>
      </c>
      <c r="AI16" s="8" t="str">
        <f>IFERROR((Table35[[#This Row],[Unknown]]/Table35[[#This Row],[Total]]), "")</f>
        <v/>
      </c>
      <c r="AJ16" s="8" t="str">
        <f>IFERROR((Table35[[#This Row],[Dis]]/Table35[[#This Row],[Total]]), "")</f>
        <v/>
      </c>
      <c r="AK16" s="8" t="str">
        <f>IFERROR((Table35[[#This Row],[ED]]/Table35[[#This Row],[Total]]), "")</f>
        <v/>
      </c>
      <c r="AL16" s="8" t="str">
        <f>IFERROR((Table35[[#This Row],[Non-trad]]/Table35[[#This Row],[Total]]), "")</f>
        <v/>
      </c>
      <c r="AM16" s="8" t="str">
        <f>IFERROR((Table35[[#This Row],[SP]]/Table35[[#This Row],[Total]]), "")</f>
        <v/>
      </c>
      <c r="AN16" s="8" t="str">
        <f>IFERROR((Table35[[#This Row],[OOW]]/Table35[[#This Row],[Total]]), "")</f>
        <v/>
      </c>
      <c r="AO16" s="8" t="str">
        <f>IFERROR((Table35[[#This Row],[EL]]/Table35[[#This Row],[Total]]), "")</f>
        <v/>
      </c>
      <c r="AP16" s="8" t="str">
        <f>IFERROR((Table35[[#This Row],[Homeless]]/Table35[[#This Row],[Total]]), "")</f>
        <v/>
      </c>
      <c r="AQ16" s="8" t="str">
        <f>IFERROR((Table35[[#This Row],[Foster]]/Table35[[#This Row],[Total]]), "")</f>
        <v/>
      </c>
      <c r="AR16" s="8" t="str">
        <f>IFERROR((Table35[[#This Row],[AD]]/Table35[[#This Row],[Total]]), "")</f>
        <v/>
      </c>
    </row>
    <row r="17" spans="1:44" x14ac:dyDescent="0.25">
      <c r="A17" s="35"/>
      <c r="B17" s="35"/>
      <c r="C17" s="35"/>
      <c r="D17" s="9"/>
      <c r="E17" s="9"/>
      <c r="F17" s="9"/>
      <c r="G17" s="9"/>
      <c r="H17" s="9"/>
      <c r="I17" s="9"/>
      <c r="J17" s="9"/>
      <c r="K17" s="9"/>
      <c r="L17" s="9"/>
      <c r="M17" s="9"/>
      <c r="N17" s="9"/>
      <c r="O17" s="9"/>
      <c r="P17" s="9"/>
      <c r="Q17" s="9"/>
      <c r="R17" s="9"/>
      <c r="S17" s="9"/>
      <c r="T17" s="9"/>
      <c r="U17" s="9"/>
      <c r="V17" s="9"/>
      <c r="W17" s="9"/>
      <c r="X17" s="9"/>
      <c r="Y17" s="8" t="str">
        <f>IFERROR((Table35[[#This Row],[F]]/Table35[[#This Row],[Total]]), "")</f>
        <v/>
      </c>
      <c r="Z17" s="8" t="str">
        <f>IFERROR((Table35[[#This Row],[M]]/Table35[[#This Row],[Total]]), "")</f>
        <v/>
      </c>
      <c r="AA17" s="8" t="str">
        <f>IFERROR((Table35[[#This Row],[Other]]/Table35[[#This Row],[Total]]), "")</f>
        <v/>
      </c>
      <c r="AB17" s="8" t="str">
        <f>IFERROR((Table35[[#This Row],[AmInd]]/Table35[[#This Row],[Total]]), "")</f>
        <v/>
      </c>
      <c r="AC17" s="8" t="str">
        <f>IFERROR((Table35[[#This Row],[Asian]]/Table35[[#This Row],[Total]]), "")</f>
        <v/>
      </c>
      <c r="AD17" s="8" t="str">
        <f>IFERROR((Table35[[#This Row],[Hispanic]]/Table35[[#This Row],[Total]]), "")</f>
        <v/>
      </c>
      <c r="AE17" s="8" t="str">
        <f>IFERROR((Table35[[#This Row],[Black]]/Table35[[#This Row],[Total]]), "")</f>
        <v/>
      </c>
      <c r="AF17" s="8" t="str">
        <f>IFERROR((Table35[[#This Row],[White]]/Table35[[#This Row],[Total]]), "")</f>
        <v/>
      </c>
      <c r="AG17" s="8" t="str">
        <f>IFERROR((Table35[[#This Row],[H/PI]]/Table35[[#This Row],[Total]]), "")</f>
        <v/>
      </c>
      <c r="AH17" s="8" t="str">
        <f>IFERROR((Table35[[#This Row],[Multi]]/Table35[[#This Row],[Total]]), "")</f>
        <v/>
      </c>
      <c r="AI17" s="8" t="str">
        <f>IFERROR((Table35[[#This Row],[Unknown]]/Table35[[#This Row],[Total]]), "")</f>
        <v/>
      </c>
      <c r="AJ17" s="8" t="str">
        <f>IFERROR((Table35[[#This Row],[Dis]]/Table35[[#This Row],[Total]]), "")</f>
        <v/>
      </c>
      <c r="AK17" s="8" t="str">
        <f>IFERROR((Table35[[#This Row],[ED]]/Table35[[#This Row],[Total]]), "")</f>
        <v/>
      </c>
      <c r="AL17" s="8" t="str">
        <f>IFERROR((Table35[[#This Row],[Non-trad]]/Table35[[#This Row],[Total]]), "")</f>
        <v/>
      </c>
      <c r="AM17" s="8" t="str">
        <f>IFERROR((Table35[[#This Row],[SP]]/Table35[[#This Row],[Total]]), "")</f>
        <v/>
      </c>
      <c r="AN17" s="8" t="str">
        <f>IFERROR((Table35[[#This Row],[OOW]]/Table35[[#This Row],[Total]]), "")</f>
        <v/>
      </c>
      <c r="AO17" s="8" t="str">
        <f>IFERROR((Table35[[#This Row],[EL]]/Table35[[#This Row],[Total]]), "")</f>
        <v/>
      </c>
      <c r="AP17" s="8" t="str">
        <f>IFERROR((Table35[[#This Row],[Homeless]]/Table35[[#This Row],[Total]]), "")</f>
        <v/>
      </c>
      <c r="AQ17" s="8" t="str">
        <f>IFERROR((Table35[[#This Row],[Foster]]/Table35[[#This Row],[Total]]), "")</f>
        <v/>
      </c>
      <c r="AR17" s="8" t="str">
        <f>IFERROR((Table35[[#This Row],[AD]]/Table35[[#This Row],[Total]]), "")</f>
        <v/>
      </c>
    </row>
    <row r="18" spans="1:44" x14ac:dyDescent="0.25">
      <c r="A18" s="35"/>
      <c r="B18" s="35"/>
      <c r="C18" s="35"/>
      <c r="D18" s="9"/>
      <c r="E18" s="9"/>
      <c r="F18" s="9"/>
      <c r="G18" s="9"/>
      <c r="H18" s="9"/>
      <c r="I18" s="9"/>
      <c r="J18" s="9"/>
      <c r="K18" s="9"/>
      <c r="L18" s="9"/>
      <c r="M18" s="9"/>
      <c r="N18" s="9"/>
      <c r="O18" s="9"/>
      <c r="P18" s="9"/>
      <c r="Q18" s="9"/>
      <c r="R18" s="9"/>
      <c r="S18" s="9"/>
      <c r="T18" s="9"/>
      <c r="U18" s="9"/>
      <c r="V18" s="9"/>
      <c r="W18" s="9"/>
      <c r="X18" s="9"/>
      <c r="Y18" s="8" t="str">
        <f>IFERROR((Table35[[#This Row],[F]]/Table35[[#This Row],[Total]]), "")</f>
        <v/>
      </c>
      <c r="Z18" s="8" t="str">
        <f>IFERROR((Table35[[#This Row],[M]]/Table35[[#This Row],[Total]]), "")</f>
        <v/>
      </c>
      <c r="AA18" s="8" t="str">
        <f>IFERROR((Table35[[#This Row],[Other]]/Table35[[#This Row],[Total]]), "")</f>
        <v/>
      </c>
      <c r="AB18" s="8" t="str">
        <f>IFERROR((Table35[[#This Row],[AmInd]]/Table35[[#This Row],[Total]]), "")</f>
        <v/>
      </c>
      <c r="AC18" s="8" t="str">
        <f>IFERROR((Table35[[#This Row],[Asian]]/Table35[[#This Row],[Total]]), "")</f>
        <v/>
      </c>
      <c r="AD18" s="8" t="str">
        <f>IFERROR((Table35[[#This Row],[Hispanic]]/Table35[[#This Row],[Total]]), "")</f>
        <v/>
      </c>
      <c r="AE18" s="8" t="str">
        <f>IFERROR((Table35[[#This Row],[Black]]/Table35[[#This Row],[Total]]), "")</f>
        <v/>
      </c>
      <c r="AF18" s="8" t="str">
        <f>IFERROR((Table35[[#This Row],[White]]/Table35[[#This Row],[Total]]), "")</f>
        <v/>
      </c>
      <c r="AG18" s="8" t="str">
        <f>IFERROR((Table35[[#This Row],[H/PI]]/Table35[[#This Row],[Total]]), "")</f>
        <v/>
      </c>
      <c r="AH18" s="8" t="str">
        <f>IFERROR((Table35[[#This Row],[Multi]]/Table35[[#This Row],[Total]]), "")</f>
        <v/>
      </c>
      <c r="AI18" s="8" t="str">
        <f>IFERROR((Table35[[#This Row],[Unknown]]/Table35[[#This Row],[Total]]), "")</f>
        <v/>
      </c>
      <c r="AJ18" s="8" t="str">
        <f>IFERROR((Table35[[#This Row],[Dis]]/Table35[[#This Row],[Total]]), "")</f>
        <v/>
      </c>
      <c r="AK18" s="8" t="str">
        <f>IFERROR((Table35[[#This Row],[ED]]/Table35[[#This Row],[Total]]), "")</f>
        <v/>
      </c>
      <c r="AL18" s="8" t="str">
        <f>IFERROR((Table35[[#This Row],[Non-trad]]/Table35[[#This Row],[Total]]), "")</f>
        <v/>
      </c>
      <c r="AM18" s="8" t="str">
        <f>IFERROR((Table35[[#This Row],[SP]]/Table35[[#This Row],[Total]]), "")</f>
        <v/>
      </c>
      <c r="AN18" s="8" t="str">
        <f>IFERROR((Table35[[#This Row],[OOW]]/Table35[[#This Row],[Total]]), "")</f>
        <v/>
      </c>
      <c r="AO18" s="8" t="str">
        <f>IFERROR((Table35[[#This Row],[EL]]/Table35[[#This Row],[Total]]), "")</f>
        <v/>
      </c>
      <c r="AP18" s="8" t="str">
        <f>IFERROR((Table35[[#This Row],[Homeless]]/Table35[[#This Row],[Total]]), "")</f>
        <v/>
      </c>
      <c r="AQ18" s="8" t="str">
        <f>IFERROR((Table35[[#This Row],[Foster]]/Table35[[#This Row],[Total]]), "")</f>
        <v/>
      </c>
      <c r="AR18" s="8" t="str">
        <f>IFERROR((Table35[[#This Row],[AD]]/Table35[[#This Row],[Total]]), "")</f>
        <v/>
      </c>
    </row>
    <row r="19" spans="1:44" x14ac:dyDescent="0.25">
      <c r="A19" s="35"/>
      <c r="B19" s="35"/>
      <c r="C19" s="35"/>
      <c r="D19" s="9"/>
      <c r="E19" s="9"/>
      <c r="F19" s="9"/>
      <c r="G19" s="9"/>
      <c r="H19" s="9"/>
      <c r="I19" s="9"/>
      <c r="J19" s="9"/>
      <c r="K19" s="9"/>
      <c r="L19" s="9"/>
      <c r="M19" s="9"/>
      <c r="N19" s="9"/>
      <c r="O19" s="9"/>
      <c r="P19" s="9"/>
      <c r="Q19" s="9"/>
      <c r="R19" s="9"/>
      <c r="S19" s="9"/>
      <c r="T19" s="9"/>
      <c r="U19" s="9"/>
      <c r="V19" s="9"/>
      <c r="W19" s="9"/>
      <c r="X19" s="9"/>
      <c r="Y19" s="8" t="str">
        <f>IFERROR((Table35[[#This Row],[F]]/Table35[[#This Row],[Total]]), "")</f>
        <v/>
      </c>
      <c r="Z19" s="8" t="str">
        <f>IFERROR((Table35[[#This Row],[M]]/Table35[[#This Row],[Total]]), "")</f>
        <v/>
      </c>
      <c r="AA19" s="8" t="str">
        <f>IFERROR((Table35[[#This Row],[Other]]/Table35[[#This Row],[Total]]), "")</f>
        <v/>
      </c>
      <c r="AB19" s="8" t="str">
        <f>IFERROR((Table35[[#This Row],[AmInd]]/Table35[[#This Row],[Total]]), "")</f>
        <v/>
      </c>
      <c r="AC19" s="8" t="str">
        <f>IFERROR((Table35[[#This Row],[Asian]]/Table35[[#This Row],[Total]]), "")</f>
        <v/>
      </c>
      <c r="AD19" s="8" t="str">
        <f>IFERROR((Table35[[#This Row],[Hispanic]]/Table35[[#This Row],[Total]]), "")</f>
        <v/>
      </c>
      <c r="AE19" s="8" t="str">
        <f>IFERROR((Table35[[#This Row],[Black]]/Table35[[#This Row],[Total]]), "")</f>
        <v/>
      </c>
      <c r="AF19" s="8" t="str">
        <f>IFERROR((Table35[[#This Row],[White]]/Table35[[#This Row],[Total]]), "")</f>
        <v/>
      </c>
      <c r="AG19" s="8" t="str">
        <f>IFERROR((Table35[[#This Row],[H/PI]]/Table35[[#This Row],[Total]]), "")</f>
        <v/>
      </c>
      <c r="AH19" s="8" t="str">
        <f>IFERROR((Table35[[#This Row],[Multi]]/Table35[[#This Row],[Total]]), "")</f>
        <v/>
      </c>
      <c r="AI19" s="8" t="str">
        <f>IFERROR((Table35[[#This Row],[Unknown]]/Table35[[#This Row],[Total]]), "")</f>
        <v/>
      </c>
      <c r="AJ19" s="8" t="str">
        <f>IFERROR((Table35[[#This Row],[Dis]]/Table35[[#This Row],[Total]]), "")</f>
        <v/>
      </c>
      <c r="AK19" s="8" t="str">
        <f>IFERROR((Table35[[#This Row],[ED]]/Table35[[#This Row],[Total]]), "")</f>
        <v/>
      </c>
      <c r="AL19" s="8" t="str">
        <f>IFERROR((Table35[[#This Row],[Non-trad]]/Table35[[#This Row],[Total]]), "")</f>
        <v/>
      </c>
      <c r="AM19" s="8" t="str">
        <f>IFERROR((Table35[[#This Row],[SP]]/Table35[[#This Row],[Total]]), "")</f>
        <v/>
      </c>
      <c r="AN19" s="8" t="str">
        <f>IFERROR((Table35[[#This Row],[OOW]]/Table35[[#This Row],[Total]]), "")</f>
        <v/>
      </c>
      <c r="AO19" s="8" t="str">
        <f>IFERROR((Table35[[#This Row],[EL]]/Table35[[#This Row],[Total]]), "")</f>
        <v/>
      </c>
      <c r="AP19" s="8" t="str">
        <f>IFERROR((Table35[[#This Row],[Homeless]]/Table35[[#This Row],[Total]]), "")</f>
        <v/>
      </c>
      <c r="AQ19" s="8" t="str">
        <f>IFERROR((Table35[[#This Row],[Foster]]/Table35[[#This Row],[Total]]), "")</f>
        <v/>
      </c>
      <c r="AR19" s="8" t="str">
        <f>IFERROR((Table35[[#This Row],[AD]]/Table35[[#This Row],[Total]]), "")</f>
        <v/>
      </c>
    </row>
    <row r="20" spans="1:44" x14ac:dyDescent="0.25">
      <c r="A20" s="35"/>
      <c r="B20" s="35"/>
      <c r="C20" s="35"/>
      <c r="D20" s="9"/>
      <c r="E20" s="9"/>
      <c r="F20" s="9"/>
      <c r="G20" s="9"/>
      <c r="H20" s="9"/>
      <c r="I20" s="9"/>
      <c r="J20" s="9"/>
      <c r="K20" s="9"/>
      <c r="L20" s="9"/>
      <c r="M20" s="9"/>
      <c r="N20" s="9"/>
      <c r="O20" s="9"/>
      <c r="P20" s="9"/>
      <c r="Q20" s="9"/>
      <c r="R20" s="9"/>
      <c r="S20" s="9"/>
      <c r="T20" s="9"/>
      <c r="U20" s="9"/>
      <c r="V20" s="9"/>
      <c r="W20" s="9"/>
      <c r="X20" s="9"/>
      <c r="Y20" s="8" t="str">
        <f>IFERROR((Table35[[#This Row],[F]]/Table35[[#This Row],[Total]]), "")</f>
        <v/>
      </c>
      <c r="Z20" s="8" t="str">
        <f>IFERROR((Table35[[#This Row],[M]]/Table35[[#This Row],[Total]]), "")</f>
        <v/>
      </c>
      <c r="AA20" s="8" t="str">
        <f>IFERROR((Table35[[#This Row],[Other]]/Table35[[#This Row],[Total]]), "")</f>
        <v/>
      </c>
      <c r="AB20" s="8" t="str">
        <f>IFERROR((Table35[[#This Row],[AmInd]]/Table35[[#This Row],[Total]]), "")</f>
        <v/>
      </c>
      <c r="AC20" s="8" t="str">
        <f>IFERROR((Table35[[#This Row],[Asian]]/Table35[[#This Row],[Total]]), "")</f>
        <v/>
      </c>
      <c r="AD20" s="8" t="str">
        <f>IFERROR((Table35[[#This Row],[Hispanic]]/Table35[[#This Row],[Total]]), "")</f>
        <v/>
      </c>
      <c r="AE20" s="8" t="str">
        <f>IFERROR((Table35[[#This Row],[Black]]/Table35[[#This Row],[Total]]), "")</f>
        <v/>
      </c>
      <c r="AF20" s="8" t="str">
        <f>IFERROR((Table35[[#This Row],[White]]/Table35[[#This Row],[Total]]), "")</f>
        <v/>
      </c>
      <c r="AG20" s="8" t="str">
        <f>IFERROR((Table35[[#This Row],[H/PI]]/Table35[[#This Row],[Total]]), "")</f>
        <v/>
      </c>
      <c r="AH20" s="8" t="str">
        <f>IFERROR((Table35[[#This Row],[Multi]]/Table35[[#This Row],[Total]]), "")</f>
        <v/>
      </c>
      <c r="AI20" s="8" t="str">
        <f>IFERROR((Table35[[#This Row],[Unknown]]/Table35[[#This Row],[Total]]), "")</f>
        <v/>
      </c>
      <c r="AJ20" s="8" t="str">
        <f>IFERROR((Table35[[#This Row],[Dis]]/Table35[[#This Row],[Total]]), "")</f>
        <v/>
      </c>
      <c r="AK20" s="8" t="str">
        <f>IFERROR((Table35[[#This Row],[ED]]/Table35[[#This Row],[Total]]), "")</f>
        <v/>
      </c>
      <c r="AL20" s="8" t="str">
        <f>IFERROR((Table35[[#This Row],[Non-trad]]/Table35[[#This Row],[Total]]), "")</f>
        <v/>
      </c>
      <c r="AM20" s="8" t="str">
        <f>IFERROR((Table35[[#This Row],[SP]]/Table35[[#This Row],[Total]]), "")</f>
        <v/>
      </c>
      <c r="AN20" s="8" t="str">
        <f>IFERROR((Table35[[#This Row],[OOW]]/Table35[[#This Row],[Total]]), "")</f>
        <v/>
      </c>
      <c r="AO20" s="8" t="str">
        <f>IFERROR((Table35[[#This Row],[EL]]/Table35[[#This Row],[Total]]), "")</f>
        <v/>
      </c>
      <c r="AP20" s="8" t="str">
        <f>IFERROR((Table35[[#This Row],[Homeless]]/Table35[[#This Row],[Total]]), "")</f>
        <v/>
      </c>
      <c r="AQ20" s="8" t="str">
        <f>IFERROR((Table35[[#This Row],[Foster]]/Table35[[#This Row],[Total]]), "")</f>
        <v/>
      </c>
      <c r="AR20" s="8" t="str">
        <f>IFERROR((Table35[[#This Row],[AD]]/Table35[[#This Row],[Total]]), "")</f>
        <v/>
      </c>
    </row>
    <row r="21" spans="1:44" x14ac:dyDescent="0.25">
      <c r="A21" s="35"/>
      <c r="B21" s="35"/>
      <c r="C21" s="35"/>
      <c r="D21" s="9"/>
      <c r="E21" s="9"/>
      <c r="F21" s="9"/>
      <c r="G21" s="9"/>
      <c r="H21" s="9"/>
      <c r="I21" s="9"/>
      <c r="J21" s="9"/>
      <c r="K21" s="9"/>
      <c r="L21" s="9"/>
      <c r="M21" s="9"/>
      <c r="N21" s="9"/>
      <c r="O21" s="9"/>
      <c r="P21" s="9"/>
      <c r="Q21" s="9"/>
      <c r="R21" s="9"/>
      <c r="S21" s="9"/>
      <c r="T21" s="9"/>
      <c r="U21" s="9"/>
      <c r="V21" s="9"/>
      <c r="W21" s="9"/>
      <c r="X21" s="9"/>
      <c r="Y21" s="8" t="str">
        <f>IFERROR((Table35[[#This Row],[F]]/Table35[[#This Row],[Total]]), "")</f>
        <v/>
      </c>
      <c r="Z21" s="8" t="str">
        <f>IFERROR((Table35[[#This Row],[M]]/Table35[[#This Row],[Total]]), "")</f>
        <v/>
      </c>
      <c r="AA21" s="8" t="str">
        <f>IFERROR((Table35[[#This Row],[Other]]/Table35[[#This Row],[Total]]), "")</f>
        <v/>
      </c>
      <c r="AB21" s="8" t="str">
        <f>IFERROR((Table35[[#This Row],[AmInd]]/Table35[[#This Row],[Total]]), "")</f>
        <v/>
      </c>
      <c r="AC21" s="8" t="str">
        <f>IFERROR((Table35[[#This Row],[Asian]]/Table35[[#This Row],[Total]]), "")</f>
        <v/>
      </c>
      <c r="AD21" s="8" t="str">
        <f>IFERROR((Table35[[#This Row],[Hispanic]]/Table35[[#This Row],[Total]]), "")</f>
        <v/>
      </c>
      <c r="AE21" s="8" t="str">
        <f>IFERROR((Table35[[#This Row],[Black]]/Table35[[#This Row],[Total]]), "")</f>
        <v/>
      </c>
      <c r="AF21" s="8" t="str">
        <f>IFERROR((Table35[[#This Row],[White]]/Table35[[#This Row],[Total]]), "")</f>
        <v/>
      </c>
      <c r="AG21" s="8" t="str">
        <f>IFERROR((Table35[[#This Row],[H/PI]]/Table35[[#This Row],[Total]]), "")</f>
        <v/>
      </c>
      <c r="AH21" s="8" t="str">
        <f>IFERROR((Table35[[#This Row],[Multi]]/Table35[[#This Row],[Total]]), "")</f>
        <v/>
      </c>
      <c r="AI21" s="8" t="str">
        <f>IFERROR((Table35[[#This Row],[Unknown]]/Table35[[#This Row],[Total]]), "")</f>
        <v/>
      </c>
      <c r="AJ21" s="8" t="str">
        <f>IFERROR((Table35[[#This Row],[Dis]]/Table35[[#This Row],[Total]]), "")</f>
        <v/>
      </c>
      <c r="AK21" s="8" t="str">
        <f>IFERROR((Table35[[#This Row],[ED]]/Table35[[#This Row],[Total]]), "")</f>
        <v/>
      </c>
      <c r="AL21" s="8" t="str">
        <f>IFERROR((Table35[[#This Row],[Non-trad]]/Table35[[#This Row],[Total]]), "")</f>
        <v/>
      </c>
      <c r="AM21" s="8" t="str">
        <f>IFERROR((Table35[[#This Row],[SP]]/Table35[[#This Row],[Total]]), "")</f>
        <v/>
      </c>
      <c r="AN21" s="8" t="str">
        <f>IFERROR((Table35[[#This Row],[OOW]]/Table35[[#This Row],[Total]]), "")</f>
        <v/>
      </c>
      <c r="AO21" s="8" t="str">
        <f>IFERROR((Table35[[#This Row],[EL]]/Table35[[#This Row],[Total]]), "")</f>
        <v/>
      </c>
      <c r="AP21" s="8" t="str">
        <f>IFERROR((Table35[[#This Row],[Homeless]]/Table35[[#This Row],[Total]]), "")</f>
        <v/>
      </c>
      <c r="AQ21" s="8" t="str">
        <f>IFERROR((Table35[[#This Row],[Foster]]/Table35[[#This Row],[Total]]), "")</f>
        <v/>
      </c>
      <c r="AR21" s="8" t="str">
        <f>IFERROR((Table35[[#This Row],[AD]]/Table35[[#This Row],[Total]]), "")</f>
        <v/>
      </c>
    </row>
    <row r="22" spans="1:44" x14ac:dyDescent="0.25">
      <c r="A22" s="35"/>
      <c r="B22" s="35"/>
      <c r="C22" s="35"/>
      <c r="D22" s="9"/>
      <c r="E22" s="9"/>
      <c r="F22" s="9"/>
      <c r="G22" s="9"/>
      <c r="H22" s="9"/>
      <c r="I22" s="9"/>
      <c r="J22" s="9"/>
      <c r="K22" s="9"/>
      <c r="L22" s="9"/>
      <c r="M22" s="9"/>
      <c r="N22" s="9"/>
      <c r="O22" s="9"/>
      <c r="P22" s="9"/>
      <c r="Q22" s="9"/>
      <c r="R22" s="9"/>
      <c r="S22" s="9"/>
      <c r="T22" s="9"/>
      <c r="U22" s="9"/>
      <c r="V22" s="9"/>
      <c r="W22" s="9"/>
      <c r="X22" s="9"/>
      <c r="Y22" s="8" t="str">
        <f>IFERROR((Table35[[#This Row],[F]]/Table35[[#This Row],[Total]]), "")</f>
        <v/>
      </c>
      <c r="Z22" s="8" t="str">
        <f>IFERROR((Table35[[#This Row],[M]]/Table35[[#This Row],[Total]]), "")</f>
        <v/>
      </c>
      <c r="AA22" s="8" t="str">
        <f>IFERROR((Table35[[#This Row],[Other]]/Table35[[#This Row],[Total]]), "")</f>
        <v/>
      </c>
      <c r="AB22" s="8" t="str">
        <f>IFERROR((Table35[[#This Row],[AmInd]]/Table35[[#This Row],[Total]]), "")</f>
        <v/>
      </c>
      <c r="AC22" s="8" t="str">
        <f>IFERROR((Table35[[#This Row],[Asian]]/Table35[[#This Row],[Total]]), "")</f>
        <v/>
      </c>
      <c r="AD22" s="8" t="str">
        <f>IFERROR((Table35[[#This Row],[Hispanic]]/Table35[[#This Row],[Total]]), "")</f>
        <v/>
      </c>
      <c r="AE22" s="8" t="str">
        <f>IFERROR((Table35[[#This Row],[Black]]/Table35[[#This Row],[Total]]), "")</f>
        <v/>
      </c>
      <c r="AF22" s="8" t="str">
        <f>IFERROR((Table35[[#This Row],[White]]/Table35[[#This Row],[Total]]), "")</f>
        <v/>
      </c>
      <c r="AG22" s="8" t="str">
        <f>IFERROR((Table35[[#This Row],[H/PI]]/Table35[[#This Row],[Total]]), "")</f>
        <v/>
      </c>
      <c r="AH22" s="8" t="str">
        <f>IFERROR((Table35[[#This Row],[Multi]]/Table35[[#This Row],[Total]]), "")</f>
        <v/>
      </c>
      <c r="AI22" s="8" t="str">
        <f>IFERROR((Table35[[#This Row],[Unknown]]/Table35[[#This Row],[Total]]), "")</f>
        <v/>
      </c>
      <c r="AJ22" s="8" t="str">
        <f>IFERROR((Table35[[#This Row],[Dis]]/Table35[[#This Row],[Total]]), "")</f>
        <v/>
      </c>
      <c r="AK22" s="8" t="str">
        <f>IFERROR((Table35[[#This Row],[ED]]/Table35[[#This Row],[Total]]), "")</f>
        <v/>
      </c>
      <c r="AL22" s="8" t="str">
        <f>IFERROR((Table35[[#This Row],[Non-trad]]/Table35[[#This Row],[Total]]), "")</f>
        <v/>
      </c>
      <c r="AM22" s="8" t="str">
        <f>IFERROR((Table35[[#This Row],[SP]]/Table35[[#This Row],[Total]]), "")</f>
        <v/>
      </c>
      <c r="AN22" s="8" t="str">
        <f>IFERROR((Table35[[#This Row],[OOW]]/Table35[[#This Row],[Total]]), "")</f>
        <v/>
      </c>
      <c r="AO22" s="8" t="str">
        <f>IFERROR((Table35[[#This Row],[EL]]/Table35[[#This Row],[Total]]), "")</f>
        <v/>
      </c>
      <c r="AP22" s="8" t="str">
        <f>IFERROR((Table35[[#This Row],[Homeless]]/Table35[[#This Row],[Total]]), "")</f>
        <v/>
      </c>
      <c r="AQ22" s="8" t="str">
        <f>IFERROR((Table35[[#This Row],[Foster]]/Table35[[#This Row],[Total]]), "")</f>
        <v/>
      </c>
      <c r="AR22" s="8" t="str">
        <f>IFERROR((Table35[[#This Row],[AD]]/Table35[[#This Row],[Total]]), "")</f>
        <v/>
      </c>
    </row>
    <row r="23" spans="1:44" x14ac:dyDescent="0.25">
      <c r="A23" s="35"/>
      <c r="B23" s="35"/>
      <c r="C23" s="35"/>
      <c r="D23" s="9"/>
      <c r="E23" s="9"/>
      <c r="F23" s="9"/>
      <c r="G23" s="9"/>
      <c r="H23" s="9"/>
      <c r="I23" s="9"/>
      <c r="J23" s="9"/>
      <c r="K23" s="9"/>
      <c r="L23" s="9"/>
      <c r="M23" s="9"/>
      <c r="N23" s="9"/>
      <c r="O23" s="9"/>
      <c r="P23" s="9"/>
      <c r="Q23" s="9"/>
      <c r="R23" s="9"/>
      <c r="S23" s="9"/>
      <c r="T23" s="9"/>
      <c r="U23" s="9"/>
      <c r="V23" s="9"/>
      <c r="W23" s="9"/>
      <c r="X23" s="9"/>
      <c r="Y23" s="8" t="str">
        <f>IFERROR((Table35[[#This Row],[F]]/Table35[[#This Row],[Total]]), "")</f>
        <v/>
      </c>
      <c r="Z23" s="8" t="str">
        <f>IFERROR((Table35[[#This Row],[M]]/Table35[[#This Row],[Total]]), "")</f>
        <v/>
      </c>
      <c r="AA23" s="8" t="str">
        <f>IFERROR((Table35[[#This Row],[Other]]/Table35[[#This Row],[Total]]), "")</f>
        <v/>
      </c>
      <c r="AB23" s="8" t="str">
        <f>IFERROR((Table35[[#This Row],[AmInd]]/Table35[[#This Row],[Total]]), "")</f>
        <v/>
      </c>
      <c r="AC23" s="8" t="str">
        <f>IFERROR((Table35[[#This Row],[Asian]]/Table35[[#This Row],[Total]]), "")</f>
        <v/>
      </c>
      <c r="AD23" s="8" t="str">
        <f>IFERROR((Table35[[#This Row],[Hispanic]]/Table35[[#This Row],[Total]]), "")</f>
        <v/>
      </c>
      <c r="AE23" s="8" t="str">
        <f>IFERROR((Table35[[#This Row],[Black]]/Table35[[#This Row],[Total]]), "")</f>
        <v/>
      </c>
      <c r="AF23" s="8" t="str">
        <f>IFERROR((Table35[[#This Row],[White]]/Table35[[#This Row],[Total]]), "")</f>
        <v/>
      </c>
      <c r="AG23" s="8" t="str">
        <f>IFERROR((Table35[[#This Row],[H/PI]]/Table35[[#This Row],[Total]]), "")</f>
        <v/>
      </c>
      <c r="AH23" s="8" t="str">
        <f>IFERROR((Table35[[#This Row],[Multi]]/Table35[[#This Row],[Total]]), "")</f>
        <v/>
      </c>
      <c r="AI23" s="8" t="str">
        <f>IFERROR((Table35[[#This Row],[Unknown]]/Table35[[#This Row],[Total]]), "")</f>
        <v/>
      </c>
      <c r="AJ23" s="8" t="str">
        <f>IFERROR((Table35[[#This Row],[Dis]]/Table35[[#This Row],[Total]]), "")</f>
        <v/>
      </c>
      <c r="AK23" s="8" t="str">
        <f>IFERROR((Table35[[#This Row],[ED]]/Table35[[#This Row],[Total]]), "")</f>
        <v/>
      </c>
      <c r="AL23" s="8" t="str">
        <f>IFERROR((Table35[[#This Row],[Non-trad]]/Table35[[#This Row],[Total]]), "")</f>
        <v/>
      </c>
      <c r="AM23" s="8" t="str">
        <f>IFERROR((Table35[[#This Row],[SP]]/Table35[[#This Row],[Total]]), "")</f>
        <v/>
      </c>
      <c r="AN23" s="8" t="str">
        <f>IFERROR((Table35[[#This Row],[OOW]]/Table35[[#This Row],[Total]]), "")</f>
        <v/>
      </c>
      <c r="AO23" s="8" t="str">
        <f>IFERROR((Table35[[#This Row],[EL]]/Table35[[#This Row],[Total]]), "")</f>
        <v/>
      </c>
      <c r="AP23" s="8" t="str">
        <f>IFERROR((Table35[[#This Row],[Homeless]]/Table35[[#This Row],[Total]]), "")</f>
        <v/>
      </c>
      <c r="AQ23" s="8" t="str">
        <f>IFERROR((Table35[[#This Row],[Foster]]/Table35[[#This Row],[Total]]), "")</f>
        <v/>
      </c>
      <c r="AR23" s="8" t="str">
        <f>IFERROR((Table35[[#This Row],[AD]]/Table35[[#This Row],[Total]]), "")</f>
        <v/>
      </c>
    </row>
    <row r="24" spans="1:44" x14ac:dyDescent="0.25">
      <c r="A24" s="35"/>
      <c r="B24" s="35"/>
      <c r="C24" s="35"/>
      <c r="D24" s="9"/>
      <c r="E24" s="9"/>
      <c r="F24" s="9"/>
      <c r="G24" s="9"/>
      <c r="H24" s="9"/>
      <c r="I24" s="9"/>
      <c r="J24" s="9"/>
      <c r="K24" s="9"/>
      <c r="L24" s="9"/>
      <c r="M24" s="9"/>
      <c r="N24" s="9"/>
      <c r="O24" s="9"/>
      <c r="P24" s="9"/>
      <c r="Q24" s="9"/>
      <c r="R24" s="9"/>
      <c r="S24" s="9"/>
      <c r="T24" s="9"/>
      <c r="U24" s="9"/>
      <c r="V24" s="9"/>
      <c r="W24" s="9"/>
      <c r="X24" s="9"/>
      <c r="Y24" s="8" t="str">
        <f>IFERROR((Table35[[#This Row],[F]]/Table35[[#This Row],[Total]]), "")</f>
        <v/>
      </c>
      <c r="Z24" s="8" t="str">
        <f>IFERROR((Table35[[#This Row],[M]]/Table35[[#This Row],[Total]]), "")</f>
        <v/>
      </c>
      <c r="AA24" s="8" t="str">
        <f>IFERROR((Table35[[#This Row],[Other]]/Table35[[#This Row],[Total]]), "")</f>
        <v/>
      </c>
      <c r="AB24" s="8" t="str">
        <f>IFERROR((Table35[[#This Row],[AmInd]]/Table35[[#This Row],[Total]]), "")</f>
        <v/>
      </c>
      <c r="AC24" s="8" t="str">
        <f>IFERROR((Table35[[#This Row],[Asian]]/Table35[[#This Row],[Total]]), "")</f>
        <v/>
      </c>
      <c r="AD24" s="8" t="str">
        <f>IFERROR((Table35[[#This Row],[Hispanic]]/Table35[[#This Row],[Total]]), "")</f>
        <v/>
      </c>
      <c r="AE24" s="8" t="str">
        <f>IFERROR((Table35[[#This Row],[Black]]/Table35[[#This Row],[Total]]), "")</f>
        <v/>
      </c>
      <c r="AF24" s="8" t="str">
        <f>IFERROR((Table35[[#This Row],[White]]/Table35[[#This Row],[Total]]), "")</f>
        <v/>
      </c>
      <c r="AG24" s="8" t="str">
        <f>IFERROR((Table35[[#This Row],[H/PI]]/Table35[[#This Row],[Total]]), "")</f>
        <v/>
      </c>
      <c r="AH24" s="8" t="str">
        <f>IFERROR((Table35[[#This Row],[Multi]]/Table35[[#This Row],[Total]]), "")</f>
        <v/>
      </c>
      <c r="AI24" s="8" t="str">
        <f>IFERROR((Table35[[#This Row],[Unknown]]/Table35[[#This Row],[Total]]), "")</f>
        <v/>
      </c>
      <c r="AJ24" s="8" t="str">
        <f>IFERROR((Table35[[#This Row],[Dis]]/Table35[[#This Row],[Total]]), "")</f>
        <v/>
      </c>
      <c r="AK24" s="8" t="str">
        <f>IFERROR((Table35[[#This Row],[ED]]/Table35[[#This Row],[Total]]), "")</f>
        <v/>
      </c>
      <c r="AL24" s="8" t="str">
        <f>IFERROR((Table35[[#This Row],[Non-trad]]/Table35[[#This Row],[Total]]), "")</f>
        <v/>
      </c>
      <c r="AM24" s="8" t="str">
        <f>IFERROR((Table35[[#This Row],[SP]]/Table35[[#This Row],[Total]]), "")</f>
        <v/>
      </c>
      <c r="AN24" s="8" t="str">
        <f>IFERROR((Table35[[#This Row],[OOW]]/Table35[[#This Row],[Total]]), "")</f>
        <v/>
      </c>
      <c r="AO24" s="8" t="str">
        <f>IFERROR((Table35[[#This Row],[EL]]/Table35[[#This Row],[Total]]), "")</f>
        <v/>
      </c>
      <c r="AP24" s="8" t="str">
        <f>IFERROR((Table35[[#This Row],[Homeless]]/Table35[[#This Row],[Total]]), "")</f>
        <v/>
      </c>
      <c r="AQ24" s="8" t="str">
        <f>IFERROR((Table35[[#This Row],[Foster]]/Table35[[#This Row],[Total]]), "")</f>
        <v/>
      </c>
      <c r="AR24" s="8" t="str">
        <f>IFERROR((Table35[[#This Row],[AD]]/Table35[[#This Row],[Total]]), "")</f>
        <v/>
      </c>
    </row>
    <row r="25" spans="1:44" x14ac:dyDescent="0.25">
      <c r="A25" s="35"/>
      <c r="B25" s="35"/>
      <c r="C25" s="35"/>
      <c r="D25" s="9"/>
      <c r="E25" s="9"/>
      <c r="F25" s="9"/>
      <c r="G25" s="9"/>
      <c r="H25" s="9"/>
      <c r="I25" s="9"/>
      <c r="J25" s="9"/>
      <c r="K25" s="9"/>
      <c r="L25" s="9"/>
      <c r="M25" s="9"/>
      <c r="N25" s="9"/>
      <c r="O25" s="9"/>
      <c r="P25" s="9"/>
      <c r="Q25" s="9"/>
      <c r="R25" s="9"/>
      <c r="S25" s="9"/>
      <c r="T25" s="9"/>
      <c r="U25" s="9"/>
      <c r="V25" s="9"/>
      <c r="W25" s="9"/>
      <c r="X25" s="9"/>
      <c r="Y25" s="8" t="str">
        <f>IFERROR((Table35[[#This Row],[F]]/Table35[[#This Row],[Total]]), "")</f>
        <v/>
      </c>
      <c r="Z25" s="8" t="str">
        <f>IFERROR((Table35[[#This Row],[M]]/Table35[[#This Row],[Total]]), "")</f>
        <v/>
      </c>
      <c r="AA25" s="8" t="str">
        <f>IFERROR((Table35[[#This Row],[Other]]/Table35[[#This Row],[Total]]), "")</f>
        <v/>
      </c>
      <c r="AB25" s="8" t="str">
        <f>IFERROR((Table35[[#This Row],[AmInd]]/Table35[[#This Row],[Total]]), "")</f>
        <v/>
      </c>
      <c r="AC25" s="8" t="str">
        <f>IFERROR((Table35[[#This Row],[Asian]]/Table35[[#This Row],[Total]]), "")</f>
        <v/>
      </c>
      <c r="AD25" s="8" t="str">
        <f>IFERROR((Table35[[#This Row],[Hispanic]]/Table35[[#This Row],[Total]]), "")</f>
        <v/>
      </c>
      <c r="AE25" s="8" t="str">
        <f>IFERROR((Table35[[#This Row],[Black]]/Table35[[#This Row],[Total]]), "")</f>
        <v/>
      </c>
      <c r="AF25" s="8" t="str">
        <f>IFERROR((Table35[[#This Row],[White]]/Table35[[#This Row],[Total]]), "")</f>
        <v/>
      </c>
      <c r="AG25" s="8" t="str">
        <f>IFERROR((Table35[[#This Row],[H/PI]]/Table35[[#This Row],[Total]]), "")</f>
        <v/>
      </c>
      <c r="AH25" s="8" t="str">
        <f>IFERROR((Table35[[#This Row],[Multi]]/Table35[[#This Row],[Total]]), "")</f>
        <v/>
      </c>
      <c r="AI25" s="8" t="str">
        <f>IFERROR((Table35[[#This Row],[Unknown]]/Table35[[#This Row],[Total]]), "")</f>
        <v/>
      </c>
      <c r="AJ25" s="8" t="str">
        <f>IFERROR((Table35[[#This Row],[Dis]]/Table35[[#This Row],[Total]]), "")</f>
        <v/>
      </c>
      <c r="AK25" s="8" t="str">
        <f>IFERROR((Table35[[#This Row],[ED]]/Table35[[#This Row],[Total]]), "")</f>
        <v/>
      </c>
      <c r="AL25" s="8" t="str">
        <f>IFERROR((Table35[[#This Row],[Non-trad]]/Table35[[#This Row],[Total]]), "")</f>
        <v/>
      </c>
      <c r="AM25" s="8" t="str">
        <f>IFERROR((Table35[[#This Row],[SP]]/Table35[[#This Row],[Total]]), "")</f>
        <v/>
      </c>
      <c r="AN25" s="8" t="str">
        <f>IFERROR((Table35[[#This Row],[OOW]]/Table35[[#This Row],[Total]]), "")</f>
        <v/>
      </c>
      <c r="AO25" s="8" t="str">
        <f>IFERROR((Table35[[#This Row],[EL]]/Table35[[#This Row],[Total]]), "")</f>
        <v/>
      </c>
      <c r="AP25" s="8" t="str">
        <f>IFERROR((Table35[[#This Row],[Homeless]]/Table35[[#This Row],[Total]]), "")</f>
        <v/>
      </c>
      <c r="AQ25" s="8" t="str">
        <f>IFERROR((Table35[[#This Row],[Foster]]/Table35[[#This Row],[Total]]), "")</f>
        <v/>
      </c>
      <c r="AR25" s="8" t="str">
        <f>IFERROR((Table35[[#This Row],[AD]]/Table35[[#This Row],[Total]]), "")</f>
        <v/>
      </c>
    </row>
    <row r="26" spans="1:44" x14ac:dyDescent="0.25">
      <c r="A26" s="35"/>
      <c r="B26" s="35"/>
      <c r="C26" s="35"/>
      <c r="D26" s="9"/>
      <c r="E26" s="9"/>
      <c r="F26" s="9"/>
      <c r="G26" s="9"/>
      <c r="H26" s="9"/>
      <c r="I26" s="9"/>
      <c r="J26" s="9"/>
      <c r="K26" s="9"/>
      <c r="L26" s="9"/>
      <c r="M26" s="9"/>
      <c r="N26" s="9"/>
      <c r="O26" s="9"/>
      <c r="P26" s="9"/>
      <c r="Q26" s="9"/>
      <c r="R26" s="9"/>
      <c r="S26" s="9"/>
      <c r="T26" s="9"/>
      <c r="U26" s="9"/>
      <c r="V26" s="9"/>
      <c r="W26" s="9"/>
      <c r="X26" s="9"/>
      <c r="Y26" s="8" t="str">
        <f>IFERROR((Table35[[#This Row],[F]]/Table35[[#This Row],[Total]]), "")</f>
        <v/>
      </c>
      <c r="Z26" s="8" t="str">
        <f>IFERROR((Table35[[#This Row],[M]]/Table35[[#This Row],[Total]]), "")</f>
        <v/>
      </c>
      <c r="AA26" s="8" t="str">
        <f>IFERROR((Table35[[#This Row],[Other]]/Table35[[#This Row],[Total]]), "")</f>
        <v/>
      </c>
      <c r="AB26" s="8" t="str">
        <f>IFERROR((Table35[[#This Row],[AmInd]]/Table35[[#This Row],[Total]]), "")</f>
        <v/>
      </c>
      <c r="AC26" s="8" t="str">
        <f>IFERROR((Table35[[#This Row],[Asian]]/Table35[[#This Row],[Total]]), "")</f>
        <v/>
      </c>
      <c r="AD26" s="8" t="str">
        <f>IFERROR((Table35[[#This Row],[Hispanic]]/Table35[[#This Row],[Total]]), "")</f>
        <v/>
      </c>
      <c r="AE26" s="8" t="str">
        <f>IFERROR((Table35[[#This Row],[Black]]/Table35[[#This Row],[Total]]), "")</f>
        <v/>
      </c>
      <c r="AF26" s="8" t="str">
        <f>IFERROR((Table35[[#This Row],[White]]/Table35[[#This Row],[Total]]), "")</f>
        <v/>
      </c>
      <c r="AG26" s="8" t="str">
        <f>IFERROR((Table35[[#This Row],[H/PI]]/Table35[[#This Row],[Total]]), "")</f>
        <v/>
      </c>
      <c r="AH26" s="8" t="str">
        <f>IFERROR((Table35[[#This Row],[Multi]]/Table35[[#This Row],[Total]]), "")</f>
        <v/>
      </c>
      <c r="AI26" s="8" t="str">
        <f>IFERROR((Table35[[#This Row],[Unknown]]/Table35[[#This Row],[Total]]), "")</f>
        <v/>
      </c>
      <c r="AJ26" s="8" t="str">
        <f>IFERROR((Table35[[#This Row],[Dis]]/Table35[[#This Row],[Total]]), "")</f>
        <v/>
      </c>
      <c r="AK26" s="8" t="str">
        <f>IFERROR((Table35[[#This Row],[ED]]/Table35[[#This Row],[Total]]), "")</f>
        <v/>
      </c>
      <c r="AL26" s="8" t="str">
        <f>IFERROR((Table35[[#This Row],[Non-trad]]/Table35[[#This Row],[Total]]), "")</f>
        <v/>
      </c>
      <c r="AM26" s="8" t="str">
        <f>IFERROR((Table35[[#This Row],[SP]]/Table35[[#This Row],[Total]]), "")</f>
        <v/>
      </c>
      <c r="AN26" s="8" t="str">
        <f>IFERROR((Table35[[#This Row],[OOW]]/Table35[[#This Row],[Total]]), "")</f>
        <v/>
      </c>
      <c r="AO26" s="8" t="str">
        <f>IFERROR((Table35[[#This Row],[EL]]/Table35[[#This Row],[Total]]), "")</f>
        <v/>
      </c>
      <c r="AP26" s="8" t="str">
        <f>IFERROR((Table35[[#This Row],[Homeless]]/Table35[[#This Row],[Total]]), "")</f>
        <v/>
      </c>
      <c r="AQ26" s="8" t="str">
        <f>IFERROR((Table35[[#This Row],[Foster]]/Table35[[#This Row],[Total]]), "")</f>
        <v/>
      </c>
      <c r="AR26" s="8" t="str">
        <f>IFERROR((Table35[[#This Row],[AD]]/Table35[[#This Row],[Total]]), "")</f>
        <v/>
      </c>
    </row>
    <row r="27" spans="1:44" x14ac:dyDescent="0.25">
      <c r="A27" s="35"/>
      <c r="B27" s="35"/>
      <c r="C27" s="35"/>
      <c r="D27" s="9"/>
      <c r="E27" s="9"/>
      <c r="F27" s="9"/>
      <c r="G27" s="9"/>
      <c r="H27" s="9"/>
      <c r="I27" s="9"/>
      <c r="J27" s="9"/>
      <c r="K27" s="9"/>
      <c r="L27" s="9"/>
      <c r="M27" s="9"/>
      <c r="N27" s="9"/>
      <c r="O27" s="9"/>
      <c r="P27" s="9"/>
      <c r="Q27" s="9"/>
      <c r="R27" s="9"/>
      <c r="S27" s="9"/>
      <c r="T27" s="9"/>
      <c r="U27" s="9"/>
      <c r="V27" s="9"/>
      <c r="W27" s="9"/>
      <c r="X27" s="9"/>
      <c r="Y27" s="8" t="str">
        <f>IFERROR((Table35[[#This Row],[F]]/Table35[[#This Row],[Total]]), "")</f>
        <v/>
      </c>
      <c r="Z27" s="8" t="str">
        <f>IFERROR((Table35[[#This Row],[M]]/Table35[[#This Row],[Total]]), "")</f>
        <v/>
      </c>
      <c r="AA27" s="8" t="str">
        <f>IFERROR((Table35[[#This Row],[Other]]/Table35[[#This Row],[Total]]), "")</f>
        <v/>
      </c>
      <c r="AB27" s="8" t="str">
        <f>IFERROR((Table35[[#This Row],[AmInd]]/Table35[[#This Row],[Total]]), "")</f>
        <v/>
      </c>
      <c r="AC27" s="8" t="str">
        <f>IFERROR((Table35[[#This Row],[Asian]]/Table35[[#This Row],[Total]]), "")</f>
        <v/>
      </c>
      <c r="AD27" s="8" t="str">
        <f>IFERROR((Table35[[#This Row],[Hispanic]]/Table35[[#This Row],[Total]]), "")</f>
        <v/>
      </c>
      <c r="AE27" s="8" t="str">
        <f>IFERROR((Table35[[#This Row],[Black]]/Table35[[#This Row],[Total]]), "")</f>
        <v/>
      </c>
      <c r="AF27" s="8" t="str">
        <f>IFERROR((Table35[[#This Row],[White]]/Table35[[#This Row],[Total]]), "")</f>
        <v/>
      </c>
      <c r="AG27" s="8" t="str">
        <f>IFERROR((Table35[[#This Row],[H/PI]]/Table35[[#This Row],[Total]]), "")</f>
        <v/>
      </c>
      <c r="AH27" s="8" t="str">
        <f>IFERROR((Table35[[#This Row],[Multi]]/Table35[[#This Row],[Total]]), "")</f>
        <v/>
      </c>
      <c r="AI27" s="8" t="str">
        <f>IFERROR((Table35[[#This Row],[Unknown]]/Table35[[#This Row],[Total]]), "")</f>
        <v/>
      </c>
      <c r="AJ27" s="8" t="str">
        <f>IFERROR((Table35[[#This Row],[Dis]]/Table35[[#This Row],[Total]]), "")</f>
        <v/>
      </c>
      <c r="AK27" s="8" t="str">
        <f>IFERROR((Table35[[#This Row],[ED]]/Table35[[#This Row],[Total]]), "")</f>
        <v/>
      </c>
      <c r="AL27" s="8" t="str">
        <f>IFERROR((Table35[[#This Row],[Non-trad]]/Table35[[#This Row],[Total]]), "")</f>
        <v/>
      </c>
      <c r="AM27" s="8" t="str">
        <f>IFERROR((Table35[[#This Row],[SP]]/Table35[[#This Row],[Total]]), "")</f>
        <v/>
      </c>
      <c r="AN27" s="8" t="str">
        <f>IFERROR((Table35[[#This Row],[OOW]]/Table35[[#This Row],[Total]]), "")</f>
        <v/>
      </c>
      <c r="AO27" s="8" t="str">
        <f>IFERROR((Table35[[#This Row],[EL]]/Table35[[#This Row],[Total]]), "")</f>
        <v/>
      </c>
      <c r="AP27" s="8" t="str">
        <f>IFERROR((Table35[[#This Row],[Homeless]]/Table35[[#This Row],[Total]]), "")</f>
        <v/>
      </c>
      <c r="AQ27" s="8" t="str">
        <f>IFERROR((Table35[[#This Row],[Foster]]/Table35[[#This Row],[Total]]), "")</f>
        <v/>
      </c>
      <c r="AR27" s="8" t="str">
        <f>IFERROR((Table35[[#This Row],[AD]]/Table35[[#This Row],[Total]]), "")</f>
        <v/>
      </c>
    </row>
    <row r="28" spans="1:44" x14ac:dyDescent="0.25">
      <c r="A28" s="35"/>
      <c r="B28" s="35"/>
      <c r="C28" s="35"/>
      <c r="D28" s="9"/>
      <c r="E28" s="9"/>
      <c r="F28" s="9"/>
      <c r="G28" s="9"/>
      <c r="H28" s="9"/>
      <c r="I28" s="9"/>
      <c r="J28" s="9"/>
      <c r="K28" s="9"/>
      <c r="L28" s="9"/>
      <c r="M28" s="9"/>
      <c r="N28" s="9"/>
      <c r="O28" s="9"/>
      <c r="P28" s="9"/>
      <c r="Q28" s="9"/>
      <c r="R28" s="9"/>
      <c r="S28" s="9"/>
      <c r="T28" s="9"/>
      <c r="U28" s="9"/>
      <c r="V28" s="9"/>
      <c r="W28" s="9"/>
      <c r="X28" s="9"/>
      <c r="Y28" s="8" t="str">
        <f>IFERROR((Table35[[#This Row],[F]]/Table35[[#This Row],[Total]]), "")</f>
        <v/>
      </c>
      <c r="Z28" s="8" t="str">
        <f>IFERROR((Table35[[#This Row],[M]]/Table35[[#This Row],[Total]]), "")</f>
        <v/>
      </c>
      <c r="AA28" s="8" t="str">
        <f>IFERROR((Table35[[#This Row],[Other]]/Table35[[#This Row],[Total]]), "")</f>
        <v/>
      </c>
      <c r="AB28" s="8" t="str">
        <f>IFERROR((Table35[[#This Row],[AmInd]]/Table35[[#This Row],[Total]]), "")</f>
        <v/>
      </c>
      <c r="AC28" s="8" t="str">
        <f>IFERROR((Table35[[#This Row],[Asian]]/Table35[[#This Row],[Total]]), "")</f>
        <v/>
      </c>
      <c r="AD28" s="8" t="str">
        <f>IFERROR((Table35[[#This Row],[Hispanic]]/Table35[[#This Row],[Total]]), "")</f>
        <v/>
      </c>
      <c r="AE28" s="8" t="str">
        <f>IFERROR((Table35[[#This Row],[Black]]/Table35[[#This Row],[Total]]), "")</f>
        <v/>
      </c>
      <c r="AF28" s="8" t="str">
        <f>IFERROR((Table35[[#This Row],[White]]/Table35[[#This Row],[Total]]), "")</f>
        <v/>
      </c>
      <c r="AG28" s="8" t="str">
        <f>IFERROR((Table35[[#This Row],[H/PI]]/Table35[[#This Row],[Total]]), "")</f>
        <v/>
      </c>
      <c r="AH28" s="8" t="str">
        <f>IFERROR((Table35[[#This Row],[Multi]]/Table35[[#This Row],[Total]]), "")</f>
        <v/>
      </c>
      <c r="AI28" s="8" t="str">
        <f>IFERROR((Table35[[#This Row],[Unknown]]/Table35[[#This Row],[Total]]), "")</f>
        <v/>
      </c>
      <c r="AJ28" s="8" t="str">
        <f>IFERROR((Table35[[#This Row],[Dis]]/Table35[[#This Row],[Total]]), "")</f>
        <v/>
      </c>
      <c r="AK28" s="8" t="str">
        <f>IFERROR((Table35[[#This Row],[ED]]/Table35[[#This Row],[Total]]), "")</f>
        <v/>
      </c>
      <c r="AL28" s="8" t="str">
        <f>IFERROR((Table35[[#This Row],[Non-trad]]/Table35[[#This Row],[Total]]), "")</f>
        <v/>
      </c>
      <c r="AM28" s="8" t="str">
        <f>IFERROR((Table35[[#This Row],[SP]]/Table35[[#This Row],[Total]]), "")</f>
        <v/>
      </c>
      <c r="AN28" s="8" t="str">
        <f>IFERROR((Table35[[#This Row],[OOW]]/Table35[[#This Row],[Total]]), "")</f>
        <v/>
      </c>
      <c r="AO28" s="8" t="str">
        <f>IFERROR((Table35[[#This Row],[EL]]/Table35[[#This Row],[Total]]), "")</f>
        <v/>
      </c>
      <c r="AP28" s="8" t="str">
        <f>IFERROR((Table35[[#This Row],[Homeless]]/Table35[[#This Row],[Total]]), "")</f>
        <v/>
      </c>
      <c r="AQ28" s="8" t="str">
        <f>IFERROR((Table35[[#This Row],[Foster]]/Table35[[#This Row],[Total]]), "")</f>
        <v/>
      </c>
      <c r="AR28" s="8" t="str">
        <f>IFERROR((Table35[[#This Row],[AD]]/Table35[[#This Row],[Total]]), "")</f>
        <v/>
      </c>
    </row>
    <row r="29" spans="1:44" x14ac:dyDescent="0.25">
      <c r="A29" s="35"/>
      <c r="B29" s="35"/>
      <c r="C29" s="35"/>
      <c r="D29" s="9"/>
      <c r="E29" s="9"/>
      <c r="F29" s="9"/>
      <c r="G29" s="9"/>
      <c r="H29" s="9"/>
      <c r="I29" s="9"/>
      <c r="J29" s="9"/>
      <c r="K29" s="9"/>
      <c r="L29" s="9"/>
      <c r="M29" s="9"/>
      <c r="N29" s="9"/>
      <c r="O29" s="9"/>
      <c r="P29" s="9"/>
      <c r="Q29" s="9"/>
      <c r="R29" s="9"/>
      <c r="S29" s="9"/>
      <c r="T29" s="9"/>
      <c r="U29" s="9"/>
      <c r="V29" s="9"/>
      <c r="W29" s="9"/>
      <c r="X29" s="9"/>
      <c r="Y29" s="8" t="str">
        <f>IFERROR((Table35[[#This Row],[F]]/Table35[[#This Row],[Total]]), "")</f>
        <v/>
      </c>
      <c r="Z29" s="8" t="str">
        <f>IFERROR((Table35[[#This Row],[M]]/Table35[[#This Row],[Total]]), "")</f>
        <v/>
      </c>
      <c r="AA29" s="8" t="str">
        <f>IFERROR((Table35[[#This Row],[Other]]/Table35[[#This Row],[Total]]), "")</f>
        <v/>
      </c>
      <c r="AB29" s="8" t="str">
        <f>IFERROR((Table35[[#This Row],[AmInd]]/Table35[[#This Row],[Total]]), "")</f>
        <v/>
      </c>
      <c r="AC29" s="8" t="str">
        <f>IFERROR((Table35[[#This Row],[Asian]]/Table35[[#This Row],[Total]]), "")</f>
        <v/>
      </c>
      <c r="AD29" s="8" t="str">
        <f>IFERROR((Table35[[#This Row],[Hispanic]]/Table35[[#This Row],[Total]]), "")</f>
        <v/>
      </c>
      <c r="AE29" s="8" t="str">
        <f>IFERROR((Table35[[#This Row],[Black]]/Table35[[#This Row],[Total]]), "")</f>
        <v/>
      </c>
      <c r="AF29" s="8" t="str">
        <f>IFERROR((Table35[[#This Row],[White]]/Table35[[#This Row],[Total]]), "")</f>
        <v/>
      </c>
      <c r="AG29" s="8" t="str">
        <f>IFERROR((Table35[[#This Row],[H/PI]]/Table35[[#This Row],[Total]]), "")</f>
        <v/>
      </c>
      <c r="AH29" s="8" t="str">
        <f>IFERROR((Table35[[#This Row],[Multi]]/Table35[[#This Row],[Total]]), "")</f>
        <v/>
      </c>
      <c r="AI29" s="8" t="str">
        <f>IFERROR((Table35[[#This Row],[Unknown]]/Table35[[#This Row],[Total]]), "")</f>
        <v/>
      </c>
      <c r="AJ29" s="8" t="str">
        <f>IFERROR((Table35[[#This Row],[Dis]]/Table35[[#This Row],[Total]]), "")</f>
        <v/>
      </c>
      <c r="AK29" s="8" t="str">
        <f>IFERROR((Table35[[#This Row],[ED]]/Table35[[#This Row],[Total]]), "")</f>
        <v/>
      </c>
      <c r="AL29" s="8" t="str">
        <f>IFERROR((Table35[[#This Row],[Non-trad]]/Table35[[#This Row],[Total]]), "")</f>
        <v/>
      </c>
      <c r="AM29" s="8" t="str">
        <f>IFERROR((Table35[[#This Row],[SP]]/Table35[[#This Row],[Total]]), "")</f>
        <v/>
      </c>
      <c r="AN29" s="8" t="str">
        <f>IFERROR((Table35[[#This Row],[OOW]]/Table35[[#This Row],[Total]]), "")</f>
        <v/>
      </c>
      <c r="AO29" s="8" t="str">
        <f>IFERROR((Table35[[#This Row],[EL]]/Table35[[#This Row],[Total]]), "")</f>
        <v/>
      </c>
      <c r="AP29" s="8" t="str">
        <f>IFERROR((Table35[[#This Row],[Homeless]]/Table35[[#This Row],[Total]]), "")</f>
        <v/>
      </c>
      <c r="AQ29" s="8" t="str">
        <f>IFERROR((Table35[[#This Row],[Foster]]/Table35[[#This Row],[Total]]), "")</f>
        <v/>
      </c>
      <c r="AR29" s="8" t="str">
        <f>IFERROR((Table35[[#This Row],[AD]]/Table35[[#This Row],[Total]]), "")</f>
        <v/>
      </c>
    </row>
    <row r="30" spans="1:44" x14ac:dyDescent="0.25">
      <c r="A30" s="35"/>
      <c r="B30" s="35"/>
      <c r="C30" s="35"/>
      <c r="D30" s="9"/>
      <c r="E30" s="9"/>
      <c r="F30" s="9"/>
      <c r="G30" s="9"/>
      <c r="H30" s="9"/>
      <c r="I30" s="9"/>
      <c r="J30" s="9"/>
      <c r="K30" s="9"/>
      <c r="L30" s="9"/>
      <c r="M30" s="9"/>
      <c r="N30" s="9"/>
      <c r="O30" s="9"/>
      <c r="P30" s="9"/>
      <c r="Q30" s="9"/>
      <c r="R30" s="9"/>
      <c r="S30" s="9"/>
      <c r="T30" s="9"/>
      <c r="U30" s="9"/>
      <c r="V30" s="9"/>
      <c r="W30" s="9"/>
      <c r="X30" s="9"/>
      <c r="Y30" s="8" t="str">
        <f>IFERROR((Table35[[#This Row],[F]]/Table35[[#This Row],[Total]]), "")</f>
        <v/>
      </c>
      <c r="Z30" s="8" t="str">
        <f>IFERROR((Table35[[#This Row],[M]]/Table35[[#This Row],[Total]]), "")</f>
        <v/>
      </c>
      <c r="AA30" s="8" t="str">
        <f>IFERROR((Table35[[#This Row],[Other]]/Table35[[#This Row],[Total]]), "")</f>
        <v/>
      </c>
      <c r="AB30" s="8" t="str">
        <f>IFERROR((Table35[[#This Row],[AmInd]]/Table35[[#This Row],[Total]]), "")</f>
        <v/>
      </c>
      <c r="AC30" s="8" t="str">
        <f>IFERROR((Table35[[#This Row],[Asian]]/Table35[[#This Row],[Total]]), "")</f>
        <v/>
      </c>
      <c r="AD30" s="8" t="str">
        <f>IFERROR((Table35[[#This Row],[Hispanic]]/Table35[[#This Row],[Total]]), "")</f>
        <v/>
      </c>
      <c r="AE30" s="8" t="str">
        <f>IFERROR((Table35[[#This Row],[Black]]/Table35[[#This Row],[Total]]), "")</f>
        <v/>
      </c>
      <c r="AF30" s="8" t="str">
        <f>IFERROR((Table35[[#This Row],[White]]/Table35[[#This Row],[Total]]), "")</f>
        <v/>
      </c>
      <c r="AG30" s="8" t="str">
        <f>IFERROR((Table35[[#This Row],[H/PI]]/Table35[[#This Row],[Total]]), "")</f>
        <v/>
      </c>
      <c r="AH30" s="8" t="str">
        <f>IFERROR((Table35[[#This Row],[Multi]]/Table35[[#This Row],[Total]]), "")</f>
        <v/>
      </c>
      <c r="AI30" s="8" t="str">
        <f>IFERROR((Table35[[#This Row],[Unknown]]/Table35[[#This Row],[Total]]), "")</f>
        <v/>
      </c>
      <c r="AJ30" s="8" t="str">
        <f>IFERROR((Table35[[#This Row],[Dis]]/Table35[[#This Row],[Total]]), "")</f>
        <v/>
      </c>
      <c r="AK30" s="8" t="str">
        <f>IFERROR((Table35[[#This Row],[ED]]/Table35[[#This Row],[Total]]), "")</f>
        <v/>
      </c>
      <c r="AL30" s="8" t="str">
        <f>IFERROR((Table35[[#This Row],[Non-trad]]/Table35[[#This Row],[Total]]), "")</f>
        <v/>
      </c>
      <c r="AM30" s="8" t="str">
        <f>IFERROR((Table35[[#This Row],[SP]]/Table35[[#This Row],[Total]]), "")</f>
        <v/>
      </c>
      <c r="AN30" s="8" t="str">
        <f>IFERROR((Table35[[#This Row],[OOW]]/Table35[[#This Row],[Total]]), "")</f>
        <v/>
      </c>
      <c r="AO30" s="8" t="str">
        <f>IFERROR((Table35[[#This Row],[EL]]/Table35[[#This Row],[Total]]), "")</f>
        <v/>
      </c>
      <c r="AP30" s="8" t="str">
        <f>IFERROR((Table35[[#This Row],[Homeless]]/Table35[[#This Row],[Total]]), "")</f>
        <v/>
      </c>
      <c r="AQ30" s="8" t="str">
        <f>IFERROR((Table35[[#This Row],[Foster]]/Table35[[#This Row],[Total]]), "")</f>
        <v/>
      </c>
      <c r="AR30" s="8" t="str">
        <f>IFERROR((Table35[[#This Row],[AD]]/Table35[[#This Row],[Total]]), "")</f>
        <v/>
      </c>
    </row>
    <row r="31" spans="1:44" x14ac:dyDescent="0.25">
      <c r="A31" s="35"/>
      <c r="B31" s="35"/>
      <c r="C31" s="35"/>
      <c r="D31" s="9"/>
      <c r="E31" s="9"/>
      <c r="F31" s="9"/>
      <c r="G31" s="9"/>
      <c r="H31" s="9"/>
      <c r="I31" s="9"/>
      <c r="J31" s="9"/>
      <c r="K31" s="9"/>
      <c r="L31" s="9"/>
      <c r="M31" s="9"/>
      <c r="N31" s="9"/>
      <c r="O31" s="9"/>
      <c r="P31" s="9"/>
      <c r="Q31" s="9"/>
      <c r="R31" s="9"/>
      <c r="S31" s="9"/>
      <c r="T31" s="9"/>
      <c r="U31" s="9"/>
      <c r="V31" s="9"/>
      <c r="W31" s="9"/>
      <c r="X31" s="9"/>
      <c r="Y31" s="8" t="str">
        <f>IFERROR((Table35[[#This Row],[F]]/Table35[[#This Row],[Total]]), "")</f>
        <v/>
      </c>
      <c r="Z31" s="8" t="str">
        <f>IFERROR((Table35[[#This Row],[M]]/Table35[[#This Row],[Total]]), "")</f>
        <v/>
      </c>
      <c r="AA31" s="8" t="str">
        <f>IFERROR((Table35[[#This Row],[Other]]/Table35[[#This Row],[Total]]), "")</f>
        <v/>
      </c>
      <c r="AB31" s="8" t="str">
        <f>IFERROR((Table35[[#This Row],[AmInd]]/Table35[[#This Row],[Total]]), "")</f>
        <v/>
      </c>
      <c r="AC31" s="8" t="str">
        <f>IFERROR((Table35[[#This Row],[Asian]]/Table35[[#This Row],[Total]]), "")</f>
        <v/>
      </c>
      <c r="AD31" s="8" t="str">
        <f>IFERROR((Table35[[#This Row],[Hispanic]]/Table35[[#This Row],[Total]]), "")</f>
        <v/>
      </c>
      <c r="AE31" s="8" t="str">
        <f>IFERROR((Table35[[#This Row],[Black]]/Table35[[#This Row],[Total]]), "")</f>
        <v/>
      </c>
      <c r="AF31" s="8" t="str">
        <f>IFERROR((Table35[[#This Row],[White]]/Table35[[#This Row],[Total]]), "")</f>
        <v/>
      </c>
      <c r="AG31" s="8" t="str">
        <f>IFERROR((Table35[[#This Row],[H/PI]]/Table35[[#This Row],[Total]]), "")</f>
        <v/>
      </c>
      <c r="AH31" s="8" t="str">
        <f>IFERROR((Table35[[#This Row],[Multi]]/Table35[[#This Row],[Total]]), "")</f>
        <v/>
      </c>
      <c r="AI31" s="8" t="str">
        <f>IFERROR((Table35[[#This Row],[Unknown]]/Table35[[#This Row],[Total]]), "")</f>
        <v/>
      </c>
      <c r="AJ31" s="8" t="str">
        <f>IFERROR((Table35[[#This Row],[Dis]]/Table35[[#This Row],[Total]]), "")</f>
        <v/>
      </c>
      <c r="AK31" s="8" t="str">
        <f>IFERROR((Table35[[#This Row],[ED]]/Table35[[#This Row],[Total]]), "")</f>
        <v/>
      </c>
      <c r="AL31" s="8" t="str">
        <f>IFERROR((Table35[[#This Row],[Non-trad]]/Table35[[#This Row],[Total]]), "")</f>
        <v/>
      </c>
      <c r="AM31" s="8" t="str">
        <f>IFERROR((Table35[[#This Row],[SP]]/Table35[[#This Row],[Total]]), "")</f>
        <v/>
      </c>
      <c r="AN31" s="8" t="str">
        <f>IFERROR((Table35[[#This Row],[OOW]]/Table35[[#This Row],[Total]]), "")</f>
        <v/>
      </c>
      <c r="AO31" s="8" t="str">
        <f>IFERROR((Table35[[#This Row],[EL]]/Table35[[#This Row],[Total]]), "")</f>
        <v/>
      </c>
      <c r="AP31" s="8" t="str">
        <f>IFERROR((Table35[[#This Row],[Homeless]]/Table35[[#This Row],[Total]]), "")</f>
        <v/>
      </c>
      <c r="AQ31" s="8" t="str">
        <f>IFERROR((Table35[[#This Row],[Foster]]/Table35[[#This Row],[Total]]), "")</f>
        <v/>
      </c>
      <c r="AR31" s="8" t="str">
        <f>IFERROR((Table35[[#This Row],[AD]]/Table35[[#This Row],[Total]]), "")</f>
        <v/>
      </c>
    </row>
    <row r="32" spans="1:44" x14ac:dyDescent="0.25">
      <c r="A32" s="35"/>
      <c r="B32" s="35"/>
      <c r="C32" s="35"/>
      <c r="D32" s="9"/>
      <c r="E32" s="9"/>
      <c r="F32" s="9"/>
      <c r="G32" s="9"/>
      <c r="H32" s="9"/>
      <c r="I32" s="9"/>
      <c r="J32" s="9"/>
      <c r="K32" s="9"/>
      <c r="L32" s="9"/>
      <c r="M32" s="9"/>
      <c r="N32" s="9"/>
      <c r="O32" s="9"/>
      <c r="P32" s="9"/>
      <c r="Q32" s="9"/>
      <c r="R32" s="9"/>
      <c r="S32" s="9"/>
      <c r="T32" s="9"/>
      <c r="U32" s="9"/>
      <c r="V32" s="9"/>
      <c r="W32" s="9"/>
      <c r="X32" s="9"/>
      <c r="Y32" s="8" t="str">
        <f>IFERROR((Table35[[#This Row],[F]]/Table35[[#This Row],[Total]]), "")</f>
        <v/>
      </c>
      <c r="Z32" s="8" t="str">
        <f>IFERROR((Table35[[#This Row],[M]]/Table35[[#This Row],[Total]]), "")</f>
        <v/>
      </c>
      <c r="AA32" s="8" t="str">
        <f>IFERROR((Table35[[#This Row],[Other]]/Table35[[#This Row],[Total]]), "")</f>
        <v/>
      </c>
      <c r="AB32" s="8" t="str">
        <f>IFERROR((Table35[[#This Row],[AmInd]]/Table35[[#This Row],[Total]]), "")</f>
        <v/>
      </c>
      <c r="AC32" s="8" t="str">
        <f>IFERROR((Table35[[#This Row],[Asian]]/Table35[[#This Row],[Total]]), "")</f>
        <v/>
      </c>
      <c r="AD32" s="8" t="str">
        <f>IFERROR((Table35[[#This Row],[Hispanic]]/Table35[[#This Row],[Total]]), "")</f>
        <v/>
      </c>
      <c r="AE32" s="8" t="str">
        <f>IFERROR((Table35[[#This Row],[Black]]/Table35[[#This Row],[Total]]), "")</f>
        <v/>
      </c>
      <c r="AF32" s="8" t="str">
        <f>IFERROR((Table35[[#This Row],[White]]/Table35[[#This Row],[Total]]), "")</f>
        <v/>
      </c>
      <c r="AG32" s="8" t="str">
        <f>IFERROR((Table35[[#This Row],[H/PI]]/Table35[[#This Row],[Total]]), "")</f>
        <v/>
      </c>
      <c r="AH32" s="8" t="str">
        <f>IFERROR((Table35[[#This Row],[Multi]]/Table35[[#This Row],[Total]]), "")</f>
        <v/>
      </c>
      <c r="AI32" s="8" t="str">
        <f>IFERROR((Table35[[#This Row],[Unknown]]/Table35[[#This Row],[Total]]), "")</f>
        <v/>
      </c>
      <c r="AJ32" s="8" t="str">
        <f>IFERROR((Table35[[#This Row],[Dis]]/Table35[[#This Row],[Total]]), "")</f>
        <v/>
      </c>
      <c r="AK32" s="8" t="str">
        <f>IFERROR((Table35[[#This Row],[ED]]/Table35[[#This Row],[Total]]), "")</f>
        <v/>
      </c>
      <c r="AL32" s="8" t="str">
        <f>IFERROR((Table35[[#This Row],[Non-trad]]/Table35[[#This Row],[Total]]), "")</f>
        <v/>
      </c>
      <c r="AM32" s="8" t="str">
        <f>IFERROR((Table35[[#This Row],[SP]]/Table35[[#This Row],[Total]]), "")</f>
        <v/>
      </c>
      <c r="AN32" s="8" t="str">
        <f>IFERROR((Table35[[#This Row],[OOW]]/Table35[[#This Row],[Total]]), "")</f>
        <v/>
      </c>
      <c r="AO32" s="8" t="str">
        <f>IFERROR((Table35[[#This Row],[EL]]/Table35[[#This Row],[Total]]), "")</f>
        <v/>
      </c>
      <c r="AP32" s="8" t="str">
        <f>IFERROR((Table35[[#This Row],[Homeless]]/Table35[[#This Row],[Total]]), "")</f>
        <v/>
      </c>
      <c r="AQ32" s="8" t="str">
        <f>IFERROR((Table35[[#This Row],[Foster]]/Table35[[#This Row],[Total]]), "")</f>
        <v/>
      </c>
      <c r="AR32" s="8" t="str">
        <f>IFERROR((Table35[[#This Row],[AD]]/Table35[[#This Row],[Total]]), "")</f>
        <v/>
      </c>
    </row>
    <row r="33" spans="1:44" x14ac:dyDescent="0.25">
      <c r="A33" s="35"/>
      <c r="B33" s="35"/>
      <c r="C33" s="35"/>
      <c r="D33" s="9"/>
      <c r="E33" s="9"/>
      <c r="F33" s="9"/>
      <c r="G33" s="9"/>
      <c r="H33" s="9"/>
      <c r="I33" s="9"/>
      <c r="J33" s="9"/>
      <c r="K33" s="9"/>
      <c r="L33" s="9"/>
      <c r="M33" s="9"/>
      <c r="N33" s="9"/>
      <c r="O33" s="9"/>
      <c r="P33" s="9"/>
      <c r="Q33" s="9"/>
      <c r="R33" s="9"/>
      <c r="S33" s="9"/>
      <c r="T33" s="9"/>
      <c r="U33" s="9"/>
      <c r="V33" s="9"/>
      <c r="W33" s="9"/>
      <c r="X33" s="9"/>
      <c r="Y33" s="8" t="str">
        <f>IFERROR((Table35[[#This Row],[F]]/Table35[[#This Row],[Total]]), "")</f>
        <v/>
      </c>
      <c r="Z33" s="8" t="str">
        <f>IFERROR((Table35[[#This Row],[M]]/Table35[[#This Row],[Total]]), "")</f>
        <v/>
      </c>
      <c r="AA33" s="8" t="str">
        <f>IFERROR((Table35[[#This Row],[Other]]/Table35[[#This Row],[Total]]), "")</f>
        <v/>
      </c>
      <c r="AB33" s="8" t="str">
        <f>IFERROR((Table35[[#This Row],[AmInd]]/Table35[[#This Row],[Total]]), "")</f>
        <v/>
      </c>
      <c r="AC33" s="8" t="str">
        <f>IFERROR((Table35[[#This Row],[Asian]]/Table35[[#This Row],[Total]]), "")</f>
        <v/>
      </c>
      <c r="AD33" s="8" t="str">
        <f>IFERROR((Table35[[#This Row],[Hispanic]]/Table35[[#This Row],[Total]]), "")</f>
        <v/>
      </c>
      <c r="AE33" s="8" t="str">
        <f>IFERROR((Table35[[#This Row],[Black]]/Table35[[#This Row],[Total]]), "")</f>
        <v/>
      </c>
      <c r="AF33" s="8" t="str">
        <f>IFERROR((Table35[[#This Row],[White]]/Table35[[#This Row],[Total]]), "")</f>
        <v/>
      </c>
      <c r="AG33" s="8" t="str">
        <f>IFERROR((Table35[[#This Row],[H/PI]]/Table35[[#This Row],[Total]]), "")</f>
        <v/>
      </c>
      <c r="AH33" s="8" t="str">
        <f>IFERROR((Table35[[#This Row],[Multi]]/Table35[[#This Row],[Total]]), "")</f>
        <v/>
      </c>
      <c r="AI33" s="8" t="str">
        <f>IFERROR((Table35[[#This Row],[Unknown]]/Table35[[#This Row],[Total]]), "")</f>
        <v/>
      </c>
      <c r="AJ33" s="8" t="str">
        <f>IFERROR((Table35[[#This Row],[Dis]]/Table35[[#This Row],[Total]]), "")</f>
        <v/>
      </c>
      <c r="AK33" s="8" t="str">
        <f>IFERROR((Table35[[#This Row],[ED]]/Table35[[#This Row],[Total]]), "")</f>
        <v/>
      </c>
      <c r="AL33" s="8" t="str">
        <f>IFERROR((Table35[[#This Row],[Non-trad]]/Table35[[#This Row],[Total]]), "")</f>
        <v/>
      </c>
      <c r="AM33" s="8" t="str">
        <f>IFERROR((Table35[[#This Row],[SP]]/Table35[[#This Row],[Total]]), "")</f>
        <v/>
      </c>
      <c r="AN33" s="8" t="str">
        <f>IFERROR((Table35[[#This Row],[OOW]]/Table35[[#This Row],[Total]]), "")</f>
        <v/>
      </c>
      <c r="AO33" s="8" t="str">
        <f>IFERROR((Table35[[#This Row],[EL]]/Table35[[#This Row],[Total]]), "")</f>
        <v/>
      </c>
      <c r="AP33" s="8" t="str">
        <f>IFERROR((Table35[[#This Row],[Homeless]]/Table35[[#This Row],[Total]]), "")</f>
        <v/>
      </c>
      <c r="AQ33" s="8" t="str">
        <f>IFERROR((Table35[[#This Row],[Foster]]/Table35[[#This Row],[Total]]), "")</f>
        <v/>
      </c>
      <c r="AR33" s="8" t="str">
        <f>IFERROR((Table35[[#This Row],[AD]]/Table35[[#This Row],[Total]]), "")</f>
        <v/>
      </c>
    </row>
    <row r="34" spans="1:44" x14ac:dyDescent="0.25">
      <c r="A34" s="35"/>
      <c r="B34" s="35"/>
      <c r="C34" s="35"/>
      <c r="D34" s="9"/>
      <c r="E34" s="9"/>
      <c r="F34" s="9"/>
      <c r="G34" s="9"/>
      <c r="H34" s="9"/>
      <c r="I34" s="9"/>
      <c r="J34" s="9"/>
      <c r="K34" s="9"/>
      <c r="L34" s="9"/>
      <c r="M34" s="9"/>
      <c r="N34" s="9"/>
      <c r="O34" s="9"/>
      <c r="P34" s="9"/>
      <c r="Q34" s="9"/>
      <c r="R34" s="9"/>
      <c r="S34" s="9"/>
      <c r="T34" s="9"/>
      <c r="U34" s="9"/>
      <c r="V34" s="9"/>
      <c r="W34" s="9"/>
      <c r="X34" s="9"/>
      <c r="Y34" s="8" t="str">
        <f>IFERROR((Table35[[#This Row],[F]]/Table35[[#This Row],[Total]]), "")</f>
        <v/>
      </c>
      <c r="Z34" s="8" t="str">
        <f>IFERROR((Table35[[#This Row],[M]]/Table35[[#This Row],[Total]]), "")</f>
        <v/>
      </c>
      <c r="AA34" s="8" t="str">
        <f>IFERROR((Table35[[#This Row],[Other]]/Table35[[#This Row],[Total]]), "")</f>
        <v/>
      </c>
      <c r="AB34" s="8" t="str">
        <f>IFERROR((Table35[[#This Row],[AmInd]]/Table35[[#This Row],[Total]]), "")</f>
        <v/>
      </c>
      <c r="AC34" s="8" t="str">
        <f>IFERROR((Table35[[#This Row],[Asian]]/Table35[[#This Row],[Total]]), "")</f>
        <v/>
      </c>
      <c r="AD34" s="8" t="str">
        <f>IFERROR((Table35[[#This Row],[Hispanic]]/Table35[[#This Row],[Total]]), "")</f>
        <v/>
      </c>
      <c r="AE34" s="8" t="str">
        <f>IFERROR((Table35[[#This Row],[Black]]/Table35[[#This Row],[Total]]), "")</f>
        <v/>
      </c>
      <c r="AF34" s="8" t="str">
        <f>IFERROR((Table35[[#This Row],[White]]/Table35[[#This Row],[Total]]), "")</f>
        <v/>
      </c>
      <c r="AG34" s="8" t="str">
        <f>IFERROR((Table35[[#This Row],[H/PI]]/Table35[[#This Row],[Total]]), "")</f>
        <v/>
      </c>
      <c r="AH34" s="8" t="str">
        <f>IFERROR((Table35[[#This Row],[Multi]]/Table35[[#This Row],[Total]]), "")</f>
        <v/>
      </c>
      <c r="AI34" s="8" t="str">
        <f>IFERROR((Table35[[#This Row],[Unknown]]/Table35[[#This Row],[Total]]), "")</f>
        <v/>
      </c>
      <c r="AJ34" s="8" t="str">
        <f>IFERROR((Table35[[#This Row],[Dis]]/Table35[[#This Row],[Total]]), "")</f>
        <v/>
      </c>
      <c r="AK34" s="8" t="str">
        <f>IFERROR((Table35[[#This Row],[ED]]/Table35[[#This Row],[Total]]), "")</f>
        <v/>
      </c>
      <c r="AL34" s="8" t="str">
        <f>IFERROR((Table35[[#This Row],[Non-trad]]/Table35[[#This Row],[Total]]), "")</f>
        <v/>
      </c>
      <c r="AM34" s="8" t="str">
        <f>IFERROR((Table35[[#This Row],[SP]]/Table35[[#This Row],[Total]]), "")</f>
        <v/>
      </c>
      <c r="AN34" s="8" t="str">
        <f>IFERROR((Table35[[#This Row],[OOW]]/Table35[[#This Row],[Total]]), "")</f>
        <v/>
      </c>
      <c r="AO34" s="8" t="str">
        <f>IFERROR((Table35[[#This Row],[EL]]/Table35[[#This Row],[Total]]), "")</f>
        <v/>
      </c>
      <c r="AP34" s="8" t="str">
        <f>IFERROR((Table35[[#This Row],[Homeless]]/Table35[[#This Row],[Total]]), "")</f>
        <v/>
      </c>
      <c r="AQ34" s="8" t="str">
        <f>IFERROR((Table35[[#This Row],[Foster]]/Table35[[#This Row],[Total]]), "")</f>
        <v/>
      </c>
      <c r="AR34" s="8" t="str">
        <f>IFERROR((Table35[[#This Row],[AD]]/Table35[[#This Row],[Total]]), "")</f>
        <v/>
      </c>
    </row>
    <row r="35" spans="1:44" x14ac:dyDescent="0.25">
      <c r="A35" s="35"/>
      <c r="B35" s="35"/>
      <c r="C35" s="35"/>
      <c r="D35" s="9"/>
      <c r="E35" s="9"/>
      <c r="F35" s="9"/>
      <c r="G35" s="9"/>
      <c r="H35" s="9"/>
      <c r="I35" s="9"/>
      <c r="J35" s="9"/>
      <c r="K35" s="9"/>
      <c r="L35" s="9"/>
      <c r="M35" s="9"/>
      <c r="N35" s="9"/>
      <c r="O35" s="9"/>
      <c r="P35" s="9"/>
      <c r="Q35" s="9"/>
      <c r="R35" s="9"/>
      <c r="S35" s="9"/>
      <c r="T35" s="9"/>
      <c r="U35" s="9"/>
      <c r="V35" s="9"/>
      <c r="W35" s="9"/>
      <c r="X35" s="9"/>
      <c r="Y35" s="8" t="str">
        <f>IFERROR((Table35[[#This Row],[F]]/Table35[[#This Row],[Total]]), "")</f>
        <v/>
      </c>
      <c r="Z35" s="8" t="str">
        <f>IFERROR((Table35[[#This Row],[M]]/Table35[[#This Row],[Total]]), "")</f>
        <v/>
      </c>
      <c r="AA35" s="8" t="str">
        <f>IFERROR((Table35[[#This Row],[Other]]/Table35[[#This Row],[Total]]), "")</f>
        <v/>
      </c>
      <c r="AB35" s="8" t="str">
        <f>IFERROR((Table35[[#This Row],[AmInd]]/Table35[[#This Row],[Total]]), "")</f>
        <v/>
      </c>
      <c r="AC35" s="8" t="str">
        <f>IFERROR((Table35[[#This Row],[Asian]]/Table35[[#This Row],[Total]]), "")</f>
        <v/>
      </c>
      <c r="AD35" s="8" t="str">
        <f>IFERROR((Table35[[#This Row],[Hispanic]]/Table35[[#This Row],[Total]]), "")</f>
        <v/>
      </c>
      <c r="AE35" s="8" t="str">
        <f>IFERROR((Table35[[#This Row],[Black]]/Table35[[#This Row],[Total]]), "")</f>
        <v/>
      </c>
      <c r="AF35" s="8" t="str">
        <f>IFERROR((Table35[[#This Row],[White]]/Table35[[#This Row],[Total]]), "")</f>
        <v/>
      </c>
      <c r="AG35" s="8" t="str">
        <f>IFERROR((Table35[[#This Row],[H/PI]]/Table35[[#This Row],[Total]]), "")</f>
        <v/>
      </c>
      <c r="AH35" s="8" t="str">
        <f>IFERROR((Table35[[#This Row],[Multi]]/Table35[[#This Row],[Total]]), "")</f>
        <v/>
      </c>
      <c r="AI35" s="8" t="str">
        <f>IFERROR((Table35[[#This Row],[Unknown]]/Table35[[#This Row],[Total]]), "")</f>
        <v/>
      </c>
      <c r="AJ35" s="8" t="str">
        <f>IFERROR((Table35[[#This Row],[Dis]]/Table35[[#This Row],[Total]]), "")</f>
        <v/>
      </c>
      <c r="AK35" s="8" t="str">
        <f>IFERROR((Table35[[#This Row],[ED]]/Table35[[#This Row],[Total]]), "")</f>
        <v/>
      </c>
      <c r="AL35" s="8" t="str">
        <f>IFERROR((Table35[[#This Row],[Non-trad]]/Table35[[#This Row],[Total]]), "")</f>
        <v/>
      </c>
      <c r="AM35" s="8" t="str">
        <f>IFERROR((Table35[[#This Row],[SP]]/Table35[[#This Row],[Total]]), "")</f>
        <v/>
      </c>
      <c r="AN35" s="8" t="str">
        <f>IFERROR((Table35[[#This Row],[OOW]]/Table35[[#This Row],[Total]]), "")</f>
        <v/>
      </c>
      <c r="AO35" s="8" t="str">
        <f>IFERROR((Table35[[#This Row],[EL]]/Table35[[#This Row],[Total]]), "")</f>
        <v/>
      </c>
      <c r="AP35" s="8" t="str">
        <f>IFERROR((Table35[[#This Row],[Homeless]]/Table35[[#This Row],[Total]]), "")</f>
        <v/>
      </c>
      <c r="AQ35" s="8" t="str">
        <f>IFERROR((Table35[[#This Row],[Foster]]/Table35[[#This Row],[Total]]), "")</f>
        <v/>
      </c>
      <c r="AR35" s="8" t="str">
        <f>IFERROR((Table35[[#This Row],[AD]]/Table35[[#This Row],[Total]]), "")</f>
        <v/>
      </c>
    </row>
    <row r="36" spans="1:44" x14ac:dyDescent="0.25">
      <c r="A36" s="35"/>
      <c r="B36" s="35"/>
      <c r="C36" s="35"/>
      <c r="D36" s="9"/>
      <c r="E36" s="9"/>
      <c r="F36" s="9"/>
      <c r="G36" s="9"/>
      <c r="H36" s="9"/>
      <c r="I36" s="9"/>
      <c r="J36" s="9"/>
      <c r="K36" s="9"/>
      <c r="L36" s="9"/>
      <c r="M36" s="9"/>
      <c r="N36" s="9"/>
      <c r="O36" s="9"/>
      <c r="P36" s="9"/>
      <c r="Q36" s="9"/>
      <c r="R36" s="9"/>
      <c r="S36" s="9"/>
      <c r="T36" s="9"/>
      <c r="U36" s="9"/>
      <c r="V36" s="9"/>
      <c r="W36" s="9"/>
      <c r="X36" s="9"/>
      <c r="Y36" s="8" t="str">
        <f>IFERROR((Table35[[#This Row],[F]]/Table35[[#This Row],[Total]]), "")</f>
        <v/>
      </c>
      <c r="Z36" s="8" t="str">
        <f>IFERROR((Table35[[#This Row],[M]]/Table35[[#This Row],[Total]]), "")</f>
        <v/>
      </c>
      <c r="AA36" s="8" t="str">
        <f>IFERROR((Table35[[#This Row],[Other]]/Table35[[#This Row],[Total]]), "")</f>
        <v/>
      </c>
      <c r="AB36" s="8" t="str">
        <f>IFERROR((Table35[[#This Row],[AmInd]]/Table35[[#This Row],[Total]]), "")</f>
        <v/>
      </c>
      <c r="AC36" s="8" t="str">
        <f>IFERROR((Table35[[#This Row],[Asian]]/Table35[[#This Row],[Total]]), "")</f>
        <v/>
      </c>
      <c r="AD36" s="8" t="str">
        <f>IFERROR((Table35[[#This Row],[Hispanic]]/Table35[[#This Row],[Total]]), "")</f>
        <v/>
      </c>
      <c r="AE36" s="8" t="str">
        <f>IFERROR((Table35[[#This Row],[Black]]/Table35[[#This Row],[Total]]), "")</f>
        <v/>
      </c>
      <c r="AF36" s="8" t="str">
        <f>IFERROR((Table35[[#This Row],[White]]/Table35[[#This Row],[Total]]), "")</f>
        <v/>
      </c>
      <c r="AG36" s="8" t="str">
        <f>IFERROR((Table35[[#This Row],[H/PI]]/Table35[[#This Row],[Total]]), "")</f>
        <v/>
      </c>
      <c r="AH36" s="8" t="str">
        <f>IFERROR((Table35[[#This Row],[Multi]]/Table35[[#This Row],[Total]]), "")</f>
        <v/>
      </c>
      <c r="AI36" s="8" t="str">
        <f>IFERROR((Table35[[#This Row],[Unknown]]/Table35[[#This Row],[Total]]), "")</f>
        <v/>
      </c>
      <c r="AJ36" s="8" t="str">
        <f>IFERROR((Table35[[#This Row],[Dis]]/Table35[[#This Row],[Total]]), "")</f>
        <v/>
      </c>
      <c r="AK36" s="8" t="str">
        <f>IFERROR((Table35[[#This Row],[ED]]/Table35[[#This Row],[Total]]), "")</f>
        <v/>
      </c>
      <c r="AL36" s="8" t="str">
        <f>IFERROR((Table35[[#This Row],[Non-trad]]/Table35[[#This Row],[Total]]), "")</f>
        <v/>
      </c>
      <c r="AM36" s="8" t="str">
        <f>IFERROR((Table35[[#This Row],[SP]]/Table35[[#This Row],[Total]]), "")</f>
        <v/>
      </c>
      <c r="AN36" s="8" t="str">
        <f>IFERROR((Table35[[#This Row],[OOW]]/Table35[[#This Row],[Total]]), "")</f>
        <v/>
      </c>
      <c r="AO36" s="8" t="str">
        <f>IFERROR((Table35[[#This Row],[EL]]/Table35[[#This Row],[Total]]), "")</f>
        <v/>
      </c>
      <c r="AP36" s="8" t="str">
        <f>IFERROR((Table35[[#This Row],[Homeless]]/Table35[[#This Row],[Total]]), "")</f>
        <v/>
      </c>
      <c r="AQ36" s="8" t="str">
        <f>IFERROR((Table35[[#This Row],[Foster]]/Table35[[#This Row],[Total]]), "")</f>
        <v/>
      </c>
      <c r="AR36" s="8" t="str">
        <f>IFERROR((Table35[[#This Row],[AD]]/Table35[[#This Row],[Total]]), "")</f>
        <v/>
      </c>
    </row>
    <row r="37" spans="1:44" x14ac:dyDescent="0.25">
      <c r="A37" s="35"/>
      <c r="B37" s="35"/>
      <c r="C37" s="35"/>
      <c r="D37" s="9"/>
      <c r="E37" s="9"/>
      <c r="F37" s="9"/>
      <c r="G37" s="9"/>
      <c r="H37" s="9"/>
      <c r="I37" s="9"/>
      <c r="J37" s="9"/>
      <c r="K37" s="9"/>
      <c r="L37" s="9"/>
      <c r="M37" s="9"/>
      <c r="N37" s="9"/>
      <c r="O37" s="9"/>
      <c r="P37" s="9"/>
      <c r="Q37" s="9"/>
      <c r="R37" s="9"/>
      <c r="S37" s="9"/>
      <c r="T37" s="9"/>
      <c r="U37" s="9"/>
      <c r="V37" s="9"/>
      <c r="W37" s="9"/>
      <c r="X37" s="9"/>
      <c r="Y37" s="8" t="str">
        <f>IFERROR((Table35[[#This Row],[F]]/Table35[[#This Row],[Total]]), "")</f>
        <v/>
      </c>
      <c r="Z37" s="8" t="str">
        <f>IFERROR((Table35[[#This Row],[M]]/Table35[[#This Row],[Total]]), "")</f>
        <v/>
      </c>
      <c r="AA37" s="8" t="str">
        <f>IFERROR((Table35[[#This Row],[Other]]/Table35[[#This Row],[Total]]), "")</f>
        <v/>
      </c>
      <c r="AB37" s="8" t="str">
        <f>IFERROR((Table35[[#This Row],[AmInd]]/Table35[[#This Row],[Total]]), "")</f>
        <v/>
      </c>
      <c r="AC37" s="8" t="str">
        <f>IFERROR((Table35[[#This Row],[Asian]]/Table35[[#This Row],[Total]]), "")</f>
        <v/>
      </c>
      <c r="AD37" s="8" t="str">
        <f>IFERROR((Table35[[#This Row],[Hispanic]]/Table35[[#This Row],[Total]]), "")</f>
        <v/>
      </c>
      <c r="AE37" s="8" t="str">
        <f>IFERROR((Table35[[#This Row],[Black]]/Table35[[#This Row],[Total]]), "")</f>
        <v/>
      </c>
      <c r="AF37" s="8" t="str">
        <f>IFERROR((Table35[[#This Row],[White]]/Table35[[#This Row],[Total]]), "")</f>
        <v/>
      </c>
      <c r="AG37" s="8" t="str">
        <f>IFERROR((Table35[[#This Row],[H/PI]]/Table35[[#This Row],[Total]]), "")</f>
        <v/>
      </c>
      <c r="AH37" s="8" t="str">
        <f>IFERROR((Table35[[#This Row],[Multi]]/Table35[[#This Row],[Total]]), "")</f>
        <v/>
      </c>
      <c r="AI37" s="8" t="str">
        <f>IFERROR((Table35[[#This Row],[Unknown]]/Table35[[#This Row],[Total]]), "")</f>
        <v/>
      </c>
      <c r="AJ37" s="8" t="str">
        <f>IFERROR((Table35[[#This Row],[Dis]]/Table35[[#This Row],[Total]]), "")</f>
        <v/>
      </c>
      <c r="AK37" s="8" t="str">
        <f>IFERROR((Table35[[#This Row],[ED]]/Table35[[#This Row],[Total]]), "")</f>
        <v/>
      </c>
      <c r="AL37" s="8" t="str">
        <f>IFERROR((Table35[[#This Row],[Non-trad]]/Table35[[#This Row],[Total]]), "")</f>
        <v/>
      </c>
      <c r="AM37" s="8" t="str">
        <f>IFERROR((Table35[[#This Row],[SP]]/Table35[[#This Row],[Total]]), "")</f>
        <v/>
      </c>
      <c r="AN37" s="8" t="str">
        <f>IFERROR((Table35[[#This Row],[OOW]]/Table35[[#This Row],[Total]]), "")</f>
        <v/>
      </c>
      <c r="AO37" s="8" t="str">
        <f>IFERROR((Table35[[#This Row],[EL]]/Table35[[#This Row],[Total]]), "")</f>
        <v/>
      </c>
      <c r="AP37" s="8" t="str">
        <f>IFERROR((Table35[[#This Row],[Homeless]]/Table35[[#This Row],[Total]]), "")</f>
        <v/>
      </c>
      <c r="AQ37" s="8" t="str">
        <f>IFERROR((Table35[[#This Row],[Foster]]/Table35[[#This Row],[Total]]), "")</f>
        <v/>
      </c>
      <c r="AR37" s="8" t="str">
        <f>IFERROR((Table35[[#This Row],[AD]]/Table35[[#This Row],[Total]]), "")</f>
        <v/>
      </c>
    </row>
    <row r="38" spans="1:44" x14ac:dyDescent="0.25">
      <c r="A38" s="35"/>
      <c r="B38" s="35"/>
      <c r="C38" s="35"/>
      <c r="D38" s="9"/>
      <c r="E38" s="9"/>
      <c r="F38" s="9"/>
      <c r="G38" s="9"/>
      <c r="H38" s="9"/>
      <c r="I38" s="9"/>
      <c r="J38" s="9"/>
      <c r="K38" s="9"/>
      <c r="L38" s="9"/>
      <c r="M38" s="9"/>
      <c r="N38" s="9"/>
      <c r="O38" s="9"/>
      <c r="P38" s="9"/>
      <c r="Q38" s="9"/>
      <c r="R38" s="9"/>
      <c r="S38" s="9"/>
      <c r="T38" s="9"/>
      <c r="U38" s="9"/>
      <c r="V38" s="9"/>
      <c r="W38" s="9"/>
      <c r="X38" s="9"/>
      <c r="Y38" s="8" t="str">
        <f>IFERROR((Table35[[#This Row],[F]]/Table35[[#This Row],[Total]]), "")</f>
        <v/>
      </c>
      <c r="Z38" s="8" t="str">
        <f>IFERROR((Table35[[#This Row],[M]]/Table35[[#This Row],[Total]]), "")</f>
        <v/>
      </c>
      <c r="AA38" s="8" t="str">
        <f>IFERROR((Table35[[#This Row],[Other]]/Table35[[#This Row],[Total]]), "")</f>
        <v/>
      </c>
      <c r="AB38" s="8" t="str">
        <f>IFERROR((Table35[[#This Row],[AmInd]]/Table35[[#This Row],[Total]]), "")</f>
        <v/>
      </c>
      <c r="AC38" s="8" t="str">
        <f>IFERROR((Table35[[#This Row],[Asian]]/Table35[[#This Row],[Total]]), "")</f>
        <v/>
      </c>
      <c r="AD38" s="8" t="str">
        <f>IFERROR((Table35[[#This Row],[Hispanic]]/Table35[[#This Row],[Total]]), "")</f>
        <v/>
      </c>
      <c r="AE38" s="8" t="str">
        <f>IFERROR((Table35[[#This Row],[Black]]/Table35[[#This Row],[Total]]), "")</f>
        <v/>
      </c>
      <c r="AF38" s="8" t="str">
        <f>IFERROR((Table35[[#This Row],[White]]/Table35[[#This Row],[Total]]), "")</f>
        <v/>
      </c>
      <c r="AG38" s="8" t="str">
        <f>IFERROR((Table35[[#This Row],[H/PI]]/Table35[[#This Row],[Total]]), "")</f>
        <v/>
      </c>
      <c r="AH38" s="8" t="str">
        <f>IFERROR((Table35[[#This Row],[Multi]]/Table35[[#This Row],[Total]]), "")</f>
        <v/>
      </c>
      <c r="AI38" s="8" t="str">
        <f>IFERROR((Table35[[#This Row],[Unknown]]/Table35[[#This Row],[Total]]), "")</f>
        <v/>
      </c>
      <c r="AJ38" s="8" t="str">
        <f>IFERROR((Table35[[#This Row],[Dis]]/Table35[[#This Row],[Total]]), "")</f>
        <v/>
      </c>
      <c r="AK38" s="8" t="str">
        <f>IFERROR((Table35[[#This Row],[ED]]/Table35[[#This Row],[Total]]), "")</f>
        <v/>
      </c>
      <c r="AL38" s="8" t="str">
        <f>IFERROR((Table35[[#This Row],[Non-trad]]/Table35[[#This Row],[Total]]), "")</f>
        <v/>
      </c>
      <c r="AM38" s="8" t="str">
        <f>IFERROR((Table35[[#This Row],[SP]]/Table35[[#This Row],[Total]]), "")</f>
        <v/>
      </c>
      <c r="AN38" s="8" t="str">
        <f>IFERROR((Table35[[#This Row],[OOW]]/Table35[[#This Row],[Total]]), "")</f>
        <v/>
      </c>
      <c r="AO38" s="8" t="str">
        <f>IFERROR((Table35[[#This Row],[EL]]/Table35[[#This Row],[Total]]), "")</f>
        <v/>
      </c>
      <c r="AP38" s="8" t="str">
        <f>IFERROR((Table35[[#This Row],[Homeless]]/Table35[[#This Row],[Total]]), "")</f>
        <v/>
      </c>
      <c r="AQ38" s="8" t="str">
        <f>IFERROR((Table35[[#This Row],[Foster]]/Table35[[#This Row],[Total]]), "")</f>
        <v/>
      </c>
      <c r="AR38" s="8" t="str">
        <f>IFERROR((Table35[[#This Row],[AD]]/Table35[[#This Row],[Total]]), "")</f>
        <v/>
      </c>
    </row>
    <row r="39" spans="1:44" x14ac:dyDescent="0.25">
      <c r="A39" s="35"/>
      <c r="B39" s="35"/>
      <c r="C39" s="35"/>
      <c r="D39" s="9"/>
      <c r="E39" s="9"/>
      <c r="F39" s="9"/>
      <c r="G39" s="9"/>
      <c r="H39" s="9"/>
      <c r="I39" s="9"/>
      <c r="J39" s="9"/>
      <c r="K39" s="9"/>
      <c r="L39" s="9"/>
      <c r="M39" s="9"/>
      <c r="N39" s="9"/>
      <c r="O39" s="9"/>
      <c r="P39" s="9"/>
      <c r="Q39" s="9"/>
      <c r="R39" s="9"/>
      <c r="S39" s="9"/>
      <c r="T39" s="9"/>
      <c r="U39" s="9"/>
      <c r="V39" s="9"/>
      <c r="W39" s="9"/>
      <c r="X39" s="9"/>
      <c r="Y39" s="8" t="str">
        <f>IFERROR((Table35[[#This Row],[F]]/Table35[[#This Row],[Total]]), "")</f>
        <v/>
      </c>
      <c r="Z39" s="8" t="str">
        <f>IFERROR((Table35[[#This Row],[M]]/Table35[[#This Row],[Total]]), "")</f>
        <v/>
      </c>
      <c r="AA39" s="8" t="str">
        <f>IFERROR((Table35[[#This Row],[Other]]/Table35[[#This Row],[Total]]), "")</f>
        <v/>
      </c>
      <c r="AB39" s="8" t="str">
        <f>IFERROR((Table35[[#This Row],[AmInd]]/Table35[[#This Row],[Total]]), "")</f>
        <v/>
      </c>
      <c r="AC39" s="8" t="str">
        <f>IFERROR((Table35[[#This Row],[Asian]]/Table35[[#This Row],[Total]]), "")</f>
        <v/>
      </c>
      <c r="AD39" s="8" t="str">
        <f>IFERROR((Table35[[#This Row],[Hispanic]]/Table35[[#This Row],[Total]]), "")</f>
        <v/>
      </c>
      <c r="AE39" s="8" t="str">
        <f>IFERROR((Table35[[#This Row],[Black]]/Table35[[#This Row],[Total]]), "")</f>
        <v/>
      </c>
      <c r="AF39" s="8" t="str">
        <f>IFERROR((Table35[[#This Row],[White]]/Table35[[#This Row],[Total]]), "")</f>
        <v/>
      </c>
      <c r="AG39" s="8" t="str">
        <f>IFERROR((Table35[[#This Row],[H/PI]]/Table35[[#This Row],[Total]]), "")</f>
        <v/>
      </c>
      <c r="AH39" s="8" t="str">
        <f>IFERROR((Table35[[#This Row],[Multi]]/Table35[[#This Row],[Total]]), "")</f>
        <v/>
      </c>
      <c r="AI39" s="8" t="str">
        <f>IFERROR((Table35[[#This Row],[Unknown]]/Table35[[#This Row],[Total]]), "")</f>
        <v/>
      </c>
      <c r="AJ39" s="8" t="str">
        <f>IFERROR((Table35[[#This Row],[Dis]]/Table35[[#This Row],[Total]]), "")</f>
        <v/>
      </c>
      <c r="AK39" s="8" t="str">
        <f>IFERROR((Table35[[#This Row],[ED]]/Table35[[#This Row],[Total]]), "")</f>
        <v/>
      </c>
      <c r="AL39" s="8" t="str">
        <f>IFERROR((Table35[[#This Row],[Non-trad]]/Table35[[#This Row],[Total]]), "")</f>
        <v/>
      </c>
      <c r="AM39" s="8" t="str">
        <f>IFERROR((Table35[[#This Row],[SP]]/Table35[[#This Row],[Total]]), "")</f>
        <v/>
      </c>
      <c r="AN39" s="8" t="str">
        <f>IFERROR((Table35[[#This Row],[OOW]]/Table35[[#This Row],[Total]]), "")</f>
        <v/>
      </c>
      <c r="AO39" s="8" t="str">
        <f>IFERROR((Table35[[#This Row],[EL]]/Table35[[#This Row],[Total]]), "")</f>
        <v/>
      </c>
      <c r="AP39" s="8" t="str">
        <f>IFERROR((Table35[[#This Row],[Homeless]]/Table35[[#This Row],[Total]]), "")</f>
        <v/>
      </c>
      <c r="AQ39" s="8" t="str">
        <f>IFERROR((Table35[[#This Row],[Foster]]/Table35[[#This Row],[Total]]), "")</f>
        <v/>
      </c>
      <c r="AR39" s="8" t="str">
        <f>IFERROR((Table35[[#This Row],[AD]]/Table35[[#This Row],[Total]]), "")</f>
        <v/>
      </c>
    </row>
    <row r="40" spans="1:44" x14ac:dyDescent="0.25">
      <c r="A40" s="35"/>
      <c r="B40" s="35"/>
      <c r="C40" s="35"/>
      <c r="D40" s="9"/>
      <c r="E40" s="9"/>
      <c r="F40" s="9"/>
      <c r="G40" s="9"/>
      <c r="H40" s="9"/>
      <c r="I40" s="9"/>
      <c r="J40" s="9"/>
      <c r="K40" s="9"/>
      <c r="L40" s="9"/>
      <c r="M40" s="9"/>
      <c r="N40" s="9"/>
      <c r="O40" s="9"/>
      <c r="P40" s="9"/>
      <c r="Q40" s="9"/>
      <c r="R40" s="9"/>
      <c r="S40" s="9"/>
      <c r="T40" s="9"/>
      <c r="U40" s="9"/>
      <c r="V40" s="9"/>
      <c r="W40" s="9"/>
      <c r="X40" s="9"/>
      <c r="Y40" s="8" t="str">
        <f>IFERROR((Table35[[#This Row],[F]]/Table35[[#This Row],[Total]]), "")</f>
        <v/>
      </c>
      <c r="Z40" s="8" t="str">
        <f>IFERROR((Table35[[#This Row],[M]]/Table35[[#This Row],[Total]]), "")</f>
        <v/>
      </c>
      <c r="AA40" s="8" t="str">
        <f>IFERROR((Table35[[#This Row],[Other]]/Table35[[#This Row],[Total]]), "")</f>
        <v/>
      </c>
      <c r="AB40" s="8" t="str">
        <f>IFERROR((Table35[[#This Row],[AmInd]]/Table35[[#This Row],[Total]]), "")</f>
        <v/>
      </c>
      <c r="AC40" s="8" t="str">
        <f>IFERROR((Table35[[#This Row],[Asian]]/Table35[[#This Row],[Total]]), "")</f>
        <v/>
      </c>
      <c r="AD40" s="8" t="str">
        <f>IFERROR((Table35[[#This Row],[Hispanic]]/Table35[[#This Row],[Total]]), "")</f>
        <v/>
      </c>
      <c r="AE40" s="8" t="str">
        <f>IFERROR((Table35[[#This Row],[Black]]/Table35[[#This Row],[Total]]), "")</f>
        <v/>
      </c>
      <c r="AF40" s="8" t="str">
        <f>IFERROR((Table35[[#This Row],[White]]/Table35[[#This Row],[Total]]), "")</f>
        <v/>
      </c>
      <c r="AG40" s="8" t="str">
        <f>IFERROR((Table35[[#This Row],[H/PI]]/Table35[[#This Row],[Total]]), "")</f>
        <v/>
      </c>
      <c r="AH40" s="8" t="str">
        <f>IFERROR((Table35[[#This Row],[Multi]]/Table35[[#This Row],[Total]]), "")</f>
        <v/>
      </c>
      <c r="AI40" s="8" t="str">
        <f>IFERROR((Table35[[#This Row],[Unknown]]/Table35[[#This Row],[Total]]), "")</f>
        <v/>
      </c>
      <c r="AJ40" s="8" t="str">
        <f>IFERROR((Table35[[#This Row],[Dis]]/Table35[[#This Row],[Total]]), "")</f>
        <v/>
      </c>
      <c r="AK40" s="8" t="str">
        <f>IFERROR((Table35[[#This Row],[ED]]/Table35[[#This Row],[Total]]), "")</f>
        <v/>
      </c>
      <c r="AL40" s="8" t="str">
        <f>IFERROR((Table35[[#This Row],[Non-trad]]/Table35[[#This Row],[Total]]), "")</f>
        <v/>
      </c>
      <c r="AM40" s="8" t="str">
        <f>IFERROR((Table35[[#This Row],[SP]]/Table35[[#This Row],[Total]]), "")</f>
        <v/>
      </c>
      <c r="AN40" s="8" t="str">
        <f>IFERROR((Table35[[#This Row],[OOW]]/Table35[[#This Row],[Total]]), "")</f>
        <v/>
      </c>
      <c r="AO40" s="8" t="str">
        <f>IFERROR((Table35[[#This Row],[EL]]/Table35[[#This Row],[Total]]), "")</f>
        <v/>
      </c>
      <c r="AP40" s="8" t="str">
        <f>IFERROR((Table35[[#This Row],[Homeless]]/Table35[[#This Row],[Total]]), "")</f>
        <v/>
      </c>
      <c r="AQ40" s="8" t="str">
        <f>IFERROR((Table35[[#This Row],[Foster]]/Table35[[#This Row],[Total]]), "")</f>
        <v/>
      </c>
      <c r="AR40" s="8" t="str">
        <f>IFERROR((Table35[[#This Row],[AD]]/Table35[[#This Row],[Total]]), "")</f>
        <v/>
      </c>
    </row>
    <row r="41" spans="1:44" x14ac:dyDescent="0.25">
      <c r="A41" s="35"/>
      <c r="B41" s="35"/>
      <c r="C41" s="35"/>
      <c r="D41" s="9"/>
      <c r="E41" s="9"/>
      <c r="F41" s="9"/>
      <c r="G41" s="9"/>
      <c r="H41" s="9"/>
      <c r="I41" s="9"/>
      <c r="J41" s="9"/>
      <c r="K41" s="9"/>
      <c r="L41" s="9"/>
      <c r="M41" s="9"/>
      <c r="N41" s="9"/>
      <c r="O41" s="9"/>
      <c r="P41" s="9"/>
      <c r="Q41" s="9"/>
      <c r="R41" s="9"/>
      <c r="S41" s="9"/>
      <c r="T41" s="9"/>
      <c r="U41" s="9"/>
      <c r="V41" s="9"/>
      <c r="W41" s="9"/>
      <c r="X41" s="9"/>
      <c r="Y41" s="8" t="str">
        <f>IFERROR((Table35[[#This Row],[F]]/Table35[[#This Row],[Total]]), "")</f>
        <v/>
      </c>
      <c r="Z41" s="8" t="str">
        <f>IFERROR((Table35[[#This Row],[M]]/Table35[[#This Row],[Total]]), "")</f>
        <v/>
      </c>
      <c r="AA41" s="8" t="str">
        <f>IFERROR((Table35[[#This Row],[Other]]/Table35[[#This Row],[Total]]), "")</f>
        <v/>
      </c>
      <c r="AB41" s="8" t="str">
        <f>IFERROR((Table35[[#This Row],[AmInd]]/Table35[[#This Row],[Total]]), "")</f>
        <v/>
      </c>
      <c r="AC41" s="8" t="str">
        <f>IFERROR((Table35[[#This Row],[Asian]]/Table35[[#This Row],[Total]]), "")</f>
        <v/>
      </c>
      <c r="AD41" s="8" t="str">
        <f>IFERROR((Table35[[#This Row],[Hispanic]]/Table35[[#This Row],[Total]]), "")</f>
        <v/>
      </c>
      <c r="AE41" s="8" t="str">
        <f>IFERROR((Table35[[#This Row],[Black]]/Table35[[#This Row],[Total]]), "")</f>
        <v/>
      </c>
      <c r="AF41" s="8" t="str">
        <f>IFERROR((Table35[[#This Row],[White]]/Table35[[#This Row],[Total]]), "")</f>
        <v/>
      </c>
      <c r="AG41" s="8" t="str">
        <f>IFERROR((Table35[[#This Row],[H/PI]]/Table35[[#This Row],[Total]]), "")</f>
        <v/>
      </c>
      <c r="AH41" s="8" t="str">
        <f>IFERROR((Table35[[#This Row],[Multi]]/Table35[[#This Row],[Total]]), "")</f>
        <v/>
      </c>
      <c r="AI41" s="8" t="str">
        <f>IFERROR((Table35[[#This Row],[Unknown]]/Table35[[#This Row],[Total]]), "")</f>
        <v/>
      </c>
      <c r="AJ41" s="8" t="str">
        <f>IFERROR((Table35[[#This Row],[Dis]]/Table35[[#This Row],[Total]]), "")</f>
        <v/>
      </c>
      <c r="AK41" s="8" t="str">
        <f>IFERROR((Table35[[#This Row],[ED]]/Table35[[#This Row],[Total]]), "")</f>
        <v/>
      </c>
      <c r="AL41" s="8" t="str">
        <f>IFERROR((Table35[[#This Row],[Non-trad]]/Table35[[#This Row],[Total]]), "")</f>
        <v/>
      </c>
      <c r="AM41" s="8" t="str">
        <f>IFERROR((Table35[[#This Row],[SP]]/Table35[[#This Row],[Total]]), "")</f>
        <v/>
      </c>
      <c r="AN41" s="8" t="str">
        <f>IFERROR((Table35[[#This Row],[OOW]]/Table35[[#This Row],[Total]]), "")</f>
        <v/>
      </c>
      <c r="AO41" s="8" t="str">
        <f>IFERROR((Table35[[#This Row],[EL]]/Table35[[#This Row],[Total]]), "")</f>
        <v/>
      </c>
      <c r="AP41" s="8" t="str">
        <f>IFERROR((Table35[[#This Row],[Homeless]]/Table35[[#This Row],[Total]]), "")</f>
        <v/>
      </c>
      <c r="AQ41" s="8" t="str">
        <f>IFERROR((Table35[[#This Row],[Foster]]/Table35[[#This Row],[Total]]), "")</f>
        <v/>
      </c>
      <c r="AR41" s="8" t="str">
        <f>IFERROR((Table35[[#This Row],[AD]]/Table35[[#This Row],[Total]]), "")</f>
        <v/>
      </c>
    </row>
    <row r="42" spans="1:44" x14ac:dyDescent="0.25">
      <c r="A42" s="35"/>
      <c r="B42" s="35"/>
      <c r="C42" s="35"/>
      <c r="D42" s="9"/>
      <c r="E42" s="9"/>
      <c r="F42" s="9"/>
      <c r="G42" s="9"/>
      <c r="H42" s="9"/>
      <c r="I42" s="9"/>
      <c r="J42" s="9"/>
      <c r="K42" s="9"/>
      <c r="L42" s="9"/>
      <c r="M42" s="9"/>
      <c r="N42" s="9"/>
      <c r="O42" s="9"/>
      <c r="P42" s="9"/>
      <c r="Q42" s="9"/>
      <c r="R42" s="9"/>
      <c r="S42" s="9"/>
      <c r="T42" s="9"/>
      <c r="U42" s="9"/>
      <c r="V42" s="9"/>
      <c r="W42" s="9"/>
      <c r="X42" s="9"/>
      <c r="Y42" s="8" t="str">
        <f>IFERROR((Table35[[#This Row],[F]]/Table35[[#This Row],[Total]]), "")</f>
        <v/>
      </c>
      <c r="Z42" s="8" t="str">
        <f>IFERROR((Table35[[#This Row],[M]]/Table35[[#This Row],[Total]]), "")</f>
        <v/>
      </c>
      <c r="AA42" s="8" t="str">
        <f>IFERROR((Table35[[#This Row],[Other]]/Table35[[#This Row],[Total]]), "")</f>
        <v/>
      </c>
      <c r="AB42" s="8" t="str">
        <f>IFERROR((Table35[[#This Row],[AmInd]]/Table35[[#This Row],[Total]]), "")</f>
        <v/>
      </c>
      <c r="AC42" s="8" t="str">
        <f>IFERROR((Table35[[#This Row],[Asian]]/Table35[[#This Row],[Total]]), "")</f>
        <v/>
      </c>
      <c r="AD42" s="8" t="str">
        <f>IFERROR((Table35[[#This Row],[Hispanic]]/Table35[[#This Row],[Total]]), "")</f>
        <v/>
      </c>
      <c r="AE42" s="8" t="str">
        <f>IFERROR((Table35[[#This Row],[Black]]/Table35[[#This Row],[Total]]), "")</f>
        <v/>
      </c>
      <c r="AF42" s="8" t="str">
        <f>IFERROR((Table35[[#This Row],[White]]/Table35[[#This Row],[Total]]), "")</f>
        <v/>
      </c>
      <c r="AG42" s="8" t="str">
        <f>IFERROR((Table35[[#This Row],[H/PI]]/Table35[[#This Row],[Total]]), "")</f>
        <v/>
      </c>
      <c r="AH42" s="8" t="str">
        <f>IFERROR((Table35[[#This Row],[Multi]]/Table35[[#This Row],[Total]]), "")</f>
        <v/>
      </c>
      <c r="AI42" s="8" t="str">
        <f>IFERROR((Table35[[#This Row],[Unknown]]/Table35[[#This Row],[Total]]), "")</f>
        <v/>
      </c>
      <c r="AJ42" s="8" t="str">
        <f>IFERROR((Table35[[#This Row],[Dis]]/Table35[[#This Row],[Total]]), "")</f>
        <v/>
      </c>
      <c r="AK42" s="8" t="str">
        <f>IFERROR((Table35[[#This Row],[ED]]/Table35[[#This Row],[Total]]), "")</f>
        <v/>
      </c>
      <c r="AL42" s="8" t="str">
        <f>IFERROR((Table35[[#This Row],[Non-trad]]/Table35[[#This Row],[Total]]), "")</f>
        <v/>
      </c>
      <c r="AM42" s="8" t="str">
        <f>IFERROR((Table35[[#This Row],[SP]]/Table35[[#This Row],[Total]]), "")</f>
        <v/>
      </c>
      <c r="AN42" s="8" t="str">
        <f>IFERROR((Table35[[#This Row],[OOW]]/Table35[[#This Row],[Total]]), "")</f>
        <v/>
      </c>
      <c r="AO42" s="8" t="str">
        <f>IFERROR((Table35[[#This Row],[EL]]/Table35[[#This Row],[Total]]), "")</f>
        <v/>
      </c>
      <c r="AP42" s="8" t="str">
        <f>IFERROR((Table35[[#This Row],[Homeless]]/Table35[[#This Row],[Total]]), "")</f>
        <v/>
      </c>
      <c r="AQ42" s="8" t="str">
        <f>IFERROR((Table35[[#This Row],[Foster]]/Table35[[#This Row],[Total]]), "")</f>
        <v/>
      </c>
      <c r="AR42" s="8" t="str">
        <f>IFERROR((Table35[[#This Row],[AD]]/Table35[[#This Row],[Total]]), "")</f>
        <v/>
      </c>
    </row>
    <row r="43" spans="1:44" x14ac:dyDescent="0.25">
      <c r="A43" s="35"/>
      <c r="B43" s="35"/>
      <c r="C43" s="35"/>
      <c r="D43" s="9"/>
      <c r="E43" s="9"/>
      <c r="F43" s="9"/>
      <c r="G43" s="9"/>
      <c r="H43" s="9"/>
      <c r="I43" s="9"/>
      <c r="J43" s="9"/>
      <c r="K43" s="9"/>
      <c r="L43" s="9"/>
      <c r="M43" s="9"/>
      <c r="N43" s="9"/>
      <c r="O43" s="9"/>
      <c r="P43" s="9"/>
      <c r="Q43" s="9"/>
      <c r="R43" s="9"/>
      <c r="S43" s="9"/>
      <c r="T43" s="9"/>
      <c r="U43" s="9"/>
      <c r="V43" s="9"/>
      <c r="W43" s="9"/>
      <c r="X43" s="9"/>
      <c r="Y43" s="8" t="str">
        <f>IFERROR((Table35[[#This Row],[F]]/Table35[[#This Row],[Total]]), "")</f>
        <v/>
      </c>
      <c r="Z43" s="8" t="str">
        <f>IFERROR((Table35[[#This Row],[M]]/Table35[[#This Row],[Total]]), "")</f>
        <v/>
      </c>
      <c r="AA43" s="8" t="str">
        <f>IFERROR((Table35[[#This Row],[Other]]/Table35[[#This Row],[Total]]), "")</f>
        <v/>
      </c>
      <c r="AB43" s="8" t="str">
        <f>IFERROR((Table35[[#This Row],[AmInd]]/Table35[[#This Row],[Total]]), "")</f>
        <v/>
      </c>
      <c r="AC43" s="8" t="str">
        <f>IFERROR((Table35[[#This Row],[Asian]]/Table35[[#This Row],[Total]]), "")</f>
        <v/>
      </c>
      <c r="AD43" s="8" t="str">
        <f>IFERROR((Table35[[#This Row],[Hispanic]]/Table35[[#This Row],[Total]]), "")</f>
        <v/>
      </c>
      <c r="AE43" s="8" t="str">
        <f>IFERROR((Table35[[#This Row],[Black]]/Table35[[#This Row],[Total]]), "")</f>
        <v/>
      </c>
      <c r="AF43" s="8" t="str">
        <f>IFERROR((Table35[[#This Row],[White]]/Table35[[#This Row],[Total]]), "")</f>
        <v/>
      </c>
      <c r="AG43" s="8" t="str">
        <f>IFERROR((Table35[[#This Row],[H/PI]]/Table35[[#This Row],[Total]]), "")</f>
        <v/>
      </c>
      <c r="AH43" s="8" t="str">
        <f>IFERROR((Table35[[#This Row],[Multi]]/Table35[[#This Row],[Total]]), "")</f>
        <v/>
      </c>
      <c r="AI43" s="8" t="str">
        <f>IFERROR((Table35[[#This Row],[Unknown]]/Table35[[#This Row],[Total]]), "")</f>
        <v/>
      </c>
      <c r="AJ43" s="8" t="str">
        <f>IFERROR((Table35[[#This Row],[Dis]]/Table35[[#This Row],[Total]]), "")</f>
        <v/>
      </c>
      <c r="AK43" s="8" t="str">
        <f>IFERROR((Table35[[#This Row],[ED]]/Table35[[#This Row],[Total]]), "")</f>
        <v/>
      </c>
      <c r="AL43" s="8" t="str">
        <f>IFERROR((Table35[[#This Row],[Non-trad]]/Table35[[#This Row],[Total]]), "")</f>
        <v/>
      </c>
      <c r="AM43" s="8" t="str">
        <f>IFERROR((Table35[[#This Row],[SP]]/Table35[[#This Row],[Total]]), "")</f>
        <v/>
      </c>
      <c r="AN43" s="8" t="str">
        <f>IFERROR((Table35[[#This Row],[OOW]]/Table35[[#This Row],[Total]]), "")</f>
        <v/>
      </c>
      <c r="AO43" s="8" t="str">
        <f>IFERROR((Table35[[#This Row],[EL]]/Table35[[#This Row],[Total]]), "")</f>
        <v/>
      </c>
      <c r="AP43" s="8" t="str">
        <f>IFERROR((Table35[[#This Row],[Homeless]]/Table35[[#This Row],[Total]]), "")</f>
        <v/>
      </c>
      <c r="AQ43" s="8" t="str">
        <f>IFERROR((Table35[[#This Row],[Foster]]/Table35[[#This Row],[Total]]), "")</f>
        <v/>
      </c>
      <c r="AR43" s="8" t="str">
        <f>IFERROR((Table35[[#This Row],[AD]]/Table35[[#This Row],[Total]]), "")</f>
        <v/>
      </c>
    </row>
    <row r="44" spans="1:44" x14ac:dyDescent="0.25">
      <c r="A44" s="35"/>
      <c r="B44" s="35"/>
      <c r="C44" s="35"/>
      <c r="D44" s="9"/>
      <c r="E44" s="9"/>
      <c r="F44" s="9"/>
      <c r="G44" s="9"/>
      <c r="H44" s="9"/>
      <c r="I44" s="9"/>
      <c r="J44" s="9"/>
      <c r="K44" s="9"/>
      <c r="L44" s="9"/>
      <c r="M44" s="9"/>
      <c r="N44" s="9"/>
      <c r="O44" s="9"/>
      <c r="P44" s="9"/>
      <c r="Q44" s="9"/>
      <c r="R44" s="9"/>
      <c r="S44" s="9"/>
      <c r="T44" s="9"/>
      <c r="U44" s="9"/>
      <c r="V44" s="9"/>
      <c r="W44" s="9"/>
      <c r="X44" s="9"/>
      <c r="Y44" s="8" t="str">
        <f>IFERROR((Table35[[#This Row],[F]]/Table35[[#This Row],[Total]]), "")</f>
        <v/>
      </c>
      <c r="Z44" s="8" t="str">
        <f>IFERROR((Table35[[#This Row],[M]]/Table35[[#This Row],[Total]]), "")</f>
        <v/>
      </c>
      <c r="AA44" s="8" t="str">
        <f>IFERROR((Table35[[#This Row],[Other]]/Table35[[#This Row],[Total]]), "")</f>
        <v/>
      </c>
      <c r="AB44" s="8" t="str">
        <f>IFERROR((Table35[[#This Row],[AmInd]]/Table35[[#This Row],[Total]]), "")</f>
        <v/>
      </c>
      <c r="AC44" s="8" t="str">
        <f>IFERROR((Table35[[#This Row],[Asian]]/Table35[[#This Row],[Total]]), "")</f>
        <v/>
      </c>
      <c r="AD44" s="8" t="str">
        <f>IFERROR((Table35[[#This Row],[Hispanic]]/Table35[[#This Row],[Total]]), "")</f>
        <v/>
      </c>
      <c r="AE44" s="8" t="str">
        <f>IFERROR((Table35[[#This Row],[Black]]/Table35[[#This Row],[Total]]), "")</f>
        <v/>
      </c>
      <c r="AF44" s="8" t="str">
        <f>IFERROR((Table35[[#This Row],[White]]/Table35[[#This Row],[Total]]), "")</f>
        <v/>
      </c>
      <c r="AG44" s="8" t="str">
        <f>IFERROR((Table35[[#This Row],[H/PI]]/Table35[[#This Row],[Total]]), "")</f>
        <v/>
      </c>
      <c r="AH44" s="8" t="str">
        <f>IFERROR((Table35[[#This Row],[Multi]]/Table35[[#This Row],[Total]]), "")</f>
        <v/>
      </c>
      <c r="AI44" s="8" t="str">
        <f>IFERROR((Table35[[#This Row],[Unknown]]/Table35[[#This Row],[Total]]), "")</f>
        <v/>
      </c>
      <c r="AJ44" s="8" t="str">
        <f>IFERROR((Table35[[#This Row],[Dis]]/Table35[[#This Row],[Total]]), "")</f>
        <v/>
      </c>
      <c r="AK44" s="8" t="str">
        <f>IFERROR((Table35[[#This Row],[ED]]/Table35[[#This Row],[Total]]), "")</f>
        <v/>
      </c>
      <c r="AL44" s="8" t="str">
        <f>IFERROR((Table35[[#This Row],[Non-trad]]/Table35[[#This Row],[Total]]), "")</f>
        <v/>
      </c>
      <c r="AM44" s="8" t="str">
        <f>IFERROR((Table35[[#This Row],[SP]]/Table35[[#This Row],[Total]]), "")</f>
        <v/>
      </c>
      <c r="AN44" s="8" t="str">
        <f>IFERROR((Table35[[#This Row],[OOW]]/Table35[[#This Row],[Total]]), "")</f>
        <v/>
      </c>
      <c r="AO44" s="8" t="str">
        <f>IFERROR((Table35[[#This Row],[EL]]/Table35[[#This Row],[Total]]), "")</f>
        <v/>
      </c>
      <c r="AP44" s="8" t="str">
        <f>IFERROR((Table35[[#This Row],[Homeless]]/Table35[[#This Row],[Total]]), "")</f>
        <v/>
      </c>
      <c r="AQ44" s="8" t="str">
        <f>IFERROR((Table35[[#This Row],[Foster]]/Table35[[#This Row],[Total]]), "")</f>
        <v/>
      </c>
      <c r="AR44" s="8" t="str">
        <f>IFERROR((Table35[[#This Row],[AD]]/Table35[[#This Row],[Total]]), "")</f>
        <v/>
      </c>
    </row>
    <row r="45" spans="1:44" x14ac:dyDescent="0.25">
      <c r="A45" s="35"/>
      <c r="B45" s="35"/>
      <c r="C45" s="35"/>
      <c r="D45" s="9"/>
      <c r="E45" s="9"/>
      <c r="F45" s="9"/>
      <c r="G45" s="9"/>
      <c r="H45" s="9"/>
      <c r="I45" s="9"/>
      <c r="J45" s="9"/>
      <c r="K45" s="9"/>
      <c r="L45" s="9"/>
      <c r="M45" s="9"/>
      <c r="N45" s="9"/>
      <c r="O45" s="9"/>
      <c r="P45" s="9"/>
      <c r="Q45" s="9"/>
      <c r="R45" s="9"/>
      <c r="S45" s="9"/>
      <c r="T45" s="9"/>
      <c r="U45" s="9"/>
      <c r="V45" s="9"/>
      <c r="W45" s="9"/>
      <c r="X45" s="9"/>
      <c r="Y45" s="8" t="str">
        <f>IFERROR((Table35[[#This Row],[F]]/Table35[[#This Row],[Total]]), "")</f>
        <v/>
      </c>
      <c r="Z45" s="8" t="str">
        <f>IFERROR((Table35[[#This Row],[M]]/Table35[[#This Row],[Total]]), "")</f>
        <v/>
      </c>
      <c r="AA45" s="8" t="str">
        <f>IFERROR((Table35[[#This Row],[Other]]/Table35[[#This Row],[Total]]), "")</f>
        <v/>
      </c>
      <c r="AB45" s="8" t="str">
        <f>IFERROR((Table35[[#This Row],[AmInd]]/Table35[[#This Row],[Total]]), "")</f>
        <v/>
      </c>
      <c r="AC45" s="8" t="str">
        <f>IFERROR((Table35[[#This Row],[Asian]]/Table35[[#This Row],[Total]]), "")</f>
        <v/>
      </c>
      <c r="AD45" s="8" t="str">
        <f>IFERROR((Table35[[#This Row],[Hispanic]]/Table35[[#This Row],[Total]]), "")</f>
        <v/>
      </c>
      <c r="AE45" s="8" t="str">
        <f>IFERROR((Table35[[#This Row],[Black]]/Table35[[#This Row],[Total]]), "")</f>
        <v/>
      </c>
      <c r="AF45" s="8" t="str">
        <f>IFERROR((Table35[[#This Row],[White]]/Table35[[#This Row],[Total]]), "")</f>
        <v/>
      </c>
      <c r="AG45" s="8" t="str">
        <f>IFERROR((Table35[[#This Row],[H/PI]]/Table35[[#This Row],[Total]]), "")</f>
        <v/>
      </c>
      <c r="AH45" s="8" t="str">
        <f>IFERROR((Table35[[#This Row],[Multi]]/Table35[[#This Row],[Total]]), "")</f>
        <v/>
      </c>
      <c r="AI45" s="8" t="str">
        <f>IFERROR((Table35[[#This Row],[Unknown]]/Table35[[#This Row],[Total]]), "")</f>
        <v/>
      </c>
      <c r="AJ45" s="8" t="str">
        <f>IFERROR((Table35[[#This Row],[Dis]]/Table35[[#This Row],[Total]]), "")</f>
        <v/>
      </c>
      <c r="AK45" s="8" t="str">
        <f>IFERROR((Table35[[#This Row],[ED]]/Table35[[#This Row],[Total]]), "")</f>
        <v/>
      </c>
      <c r="AL45" s="8" t="str">
        <f>IFERROR((Table35[[#This Row],[Non-trad]]/Table35[[#This Row],[Total]]), "")</f>
        <v/>
      </c>
      <c r="AM45" s="8" t="str">
        <f>IFERROR((Table35[[#This Row],[SP]]/Table35[[#This Row],[Total]]), "")</f>
        <v/>
      </c>
      <c r="AN45" s="8" t="str">
        <f>IFERROR((Table35[[#This Row],[OOW]]/Table35[[#This Row],[Total]]), "")</f>
        <v/>
      </c>
      <c r="AO45" s="8" t="str">
        <f>IFERROR((Table35[[#This Row],[EL]]/Table35[[#This Row],[Total]]), "")</f>
        <v/>
      </c>
      <c r="AP45" s="8" t="str">
        <f>IFERROR((Table35[[#This Row],[Homeless]]/Table35[[#This Row],[Total]]), "")</f>
        <v/>
      </c>
      <c r="AQ45" s="8" t="str">
        <f>IFERROR((Table35[[#This Row],[Foster]]/Table35[[#This Row],[Total]]), "")</f>
        <v/>
      </c>
      <c r="AR45" s="8" t="str">
        <f>IFERROR((Table35[[#This Row],[AD]]/Table35[[#This Row],[Total]]), "")</f>
        <v/>
      </c>
    </row>
    <row r="46" spans="1:44" x14ac:dyDescent="0.25">
      <c r="A46" s="35"/>
      <c r="B46" s="35"/>
      <c r="C46" s="35"/>
      <c r="D46" s="9"/>
      <c r="E46" s="9"/>
      <c r="F46" s="9"/>
      <c r="G46" s="9"/>
      <c r="H46" s="9"/>
      <c r="I46" s="9"/>
      <c r="J46" s="9"/>
      <c r="K46" s="9"/>
      <c r="L46" s="9"/>
      <c r="M46" s="9"/>
      <c r="N46" s="9"/>
      <c r="O46" s="9"/>
      <c r="P46" s="9"/>
      <c r="Q46" s="9"/>
      <c r="R46" s="9"/>
      <c r="S46" s="9"/>
      <c r="T46" s="9"/>
      <c r="U46" s="9"/>
      <c r="V46" s="9"/>
      <c r="W46" s="9"/>
      <c r="X46" s="9"/>
      <c r="Y46" s="8" t="str">
        <f>IFERROR((Table35[[#This Row],[F]]/Table35[[#This Row],[Total]]), "")</f>
        <v/>
      </c>
      <c r="Z46" s="8" t="str">
        <f>IFERROR((Table35[[#This Row],[M]]/Table35[[#This Row],[Total]]), "")</f>
        <v/>
      </c>
      <c r="AA46" s="8" t="str">
        <f>IFERROR((Table35[[#This Row],[Other]]/Table35[[#This Row],[Total]]), "")</f>
        <v/>
      </c>
      <c r="AB46" s="8" t="str">
        <f>IFERROR((Table35[[#This Row],[AmInd]]/Table35[[#This Row],[Total]]), "")</f>
        <v/>
      </c>
      <c r="AC46" s="8" t="str">
        <f>IFERROR((Table35[[#This Row],[Asian]]/Table35[[#This Row],[Total]]), "")</f>
        <v/>
      </c>
      <c r="AD46" s="8" t="str">
        <f>IFERROR((Table35[[#This Row],[Hispanic]]/Table35[[#This Row],[Total]]), "")</f>
        <v/>
      </c>
      <c r="AE46" s="8" t="str">
        <f>IFERROR((Table35[[#This Row],[Black]]/Table35[[#This Row],[Total]]), "")</f>
        <v/>
      </c>
      <c r="AF46" s="8" t="str">
        <f>IFERROR((Table35[[#This Row],[White]]/Table35[[#This Row],[Total]]), "")</f>
        <v/>
      </c>
      <c r="AG46" s="8" t="str">
        <f>IFERROR((Table35[[#This Row],[H/PI]]/Table35[[#This Row],[Total]]), "")</f>
        <v/>
      </c>
      <c r="AH46" s="8" t="str">
        <f>IFERROR((Table35[[#This Row],[Multi]]/Table35[[#This Row],[Total]]), "")</f>
        <v/>
      </c>
      <c r="AI46" s="8" t="str">
        <f>IFERROR((Table35[[#This Row],[Unknown]]/Table35[[#This Row],[Total]]), "")</f>
        <v/>
      </c>
      <c r="AJ46" s="8" t="str">
        <f>IFERROR((Table35[[#This Row],[Dis]]/Table35[[#This Row],[Total]]), "")</f>
        <v/>
      </c>
      <c r="AK46" s="8" t="str">
        <f>IFERROR((Table35[[#This Row],[ED]]/Table35[[#This Row],[Total]]), "")</f>
        <v/>
      </c>
      <c r="AL46" s="8" t="str">
        <f>IFERROR((Table35[[#This Row],[Non-trad]]/Table35[[#This Row],[Total]]), "")</f>
        <v/>
      </c>
      <c r="AM46" s="8" t="str">
        <f>IFERROR((Table35[[#This Row],[SP]]/Table35[[#This Row],[Total]]), "")</f>
        <v/>
      </c>
      <c r="AN46" s="8" t="str">
        <f>IFERROR((Table35[[#This Row],[OOW]]/Table35[[#This Row],[Total]]), "")</f>
        <v/>
      </c>
      <c r="AO46" s="8" t="str">
        <f>IFERROR((Table35[[#This Row],[EL]]/Table35[[#This Row],[Total]]), "")</f>
        <v/>
      </c>
      <c r="AP46" s="8" t="str">
        <f>IFERROR((Table35[[#This Row],[Homeless]]/Table35[[#This Row],[Total]]), "")</f>
        <v/>
      </c>
      <c r="AQ46" s="8" t="str">
        <f>IFERROR((Table35[[#This Row],[Foster]]/Table35[[#This Row],[Total]]), "")</f>
        <v/>
      </c>
      <c r="AR46" s="8" t="str">
        <f>IFERROR((Table35[[#This Row],[AD]]/Table35[[#This Row],[Total]]), "")</f>
        <v/>
      </c>
    </row>
    <row r="47" spans="1:44" x14ac:dyDescent="0.25">
      <c r="A47" s="35"/>
      <c r="B47" s="35"/>
      <c r="C47" s="35"/>
      <c r="D47" s="9"/>
      <c r="E47" s="9"/>
      <c r="F47" s="9"/>
      <c r="G47" s="9"/>
      <c r="H47" s="9"/>
      <c r="I47" s="9"/>
      <c r="J47" s="9"/>
      <c r="K47" s="9"/>
      <c r="L47" s="9"/>
      <c r="M47" s="9"/>
      <c r="N47" s="9"/>
      <c r="O47" s="9"/>
      <c r="P47" s="9"/>
      <c r="Q47" s="9"/>
      <c r="R47" s="9"/>
      <c r="S47" s="9"/>
      <c r="T47" s="9"/>
      <c r="U47" s="9"/>
      <c r="V47" s="9"/>
      <c r="W47" s="9"/>
      <c r="X47" s="9"/>
      <c r="Y47" s="8" t="str">
        <f>IFERROR((Table35[[#This Row],[F]]/Table35[[#This Row],[Total]]), "")</f>
        <v/>
      </c>
      <c r="Z47" s="8" t="str">
        <f>IFERROR((Table35[[#This Row],[M]]/Table35[[#This Row],[Total]]), "")</f>
        <v/>
      </c>
      <c r="AA47" s="8" t="str">
        <f>IFERROR((Table35[[#This Row],[Other]]/Table35[[#This Row],[Total]]), "")</f>
        <v/>
      </c>
      <c r="AB47" s="8" t="str">
        <f>IFERROR((Table35[[#This Row],[AmInd]]/Table35[[#This Row],[Total]]), "")</f>
        <v/>
      </c>
      <c r="AC47" s="8" t="str">
        <f>IFERROR((Table35[[#This Row],[Asian]]/Table35[[#This Row],[Total]]), "")</f>
        <v/>
      </c>
      <c r="AD47" s="8" t="str">
        <f>IFERROR((Table35[[#This Row],[Hispanic]]/Table35[[#This Row],[Total]]), "")</f>
        <v/>
      </c>
      <c r="AE47" s="8" t="str">
        <f>IFERROR((Table35[[#This Row],[Black]]/Table35[[#This Row],[Total]]), "")</f>
        <v/>
      </c>
      <c r="AF47" s="8" t="str">
        <f>IFERROR((Table35[[#This Row],[White]]/Table35[[#This Row],[Total]]), "")</f>
        <v/>
      </c>
      <c r="AG47" s="8" t="str">
        <f>IFERROR((Table35[[#This Row],[H/PI]]/Table35[[#This Row],[Total]]), "")</f>
        <v/>
      </c>
      <c r="AH47" s="8" t="str">
        <f>IFERROR((Table35[[#This Row],[Multi]]/Table35[[#This Row],[Total]]), "")</f>
        <v/>
      </c>
      <c r="AI47" s="8" t="str">
        <f>IFERROR((Table35[[#This Row],[Unknown]]/Table35[[#This Row],[Total]]), "")</f>
        <v/>
      </c>
      <c r="AJ47" s="8" t="str">
        <f>IFERROR((Table35[[#This Row],[Dis]]/Table35[[#This Row],[Total]]), "")</f>
        <v/>
      </c>
      <c r="AK47" s="8" t="str">
        <f>IFERROR((Table35[[#This Row],[ED]]/Table35[[#This Row],[Total]]), "")</f>
        <v/>
      </c>
      <c r="AL47" s="8" t="str">
        <f>IFERROR((Table35[[#This Row],[Non-trad]]/Table35[[#This Row],[Total]]), "")</f>
        <v/>
      </c>
      <c r="AM47" s="8" t="str">
        <f>IFERROR((Table35[[#This Row],[SP]]/Table35[[#This Row],[Total]]), "")</f>
        <v/>
      </c>
      <c r="AN47" s="8" t="str">
        <f>IFERROR((Table35[[#This Row],[OOW]]/Table35[[#This Row],[Total]]), "")</f>
        <v/>
      </c>
      <c r="AO47" s="8" t="str">
        <f>IFERROR((Table35[[#This Row],[EL]]/Table35[[#This Row],[Total]]), "")</f>
        <v/>
      </c>
      <c r="AP47" s="8" t="str">
        <f>IFERROR((Table35[[#This Row],[Homeless]]/Table35[[#This Row],[Total]]), "")</f>
        <v/>
      </c>
      <c r="AQ47" s="8" t="str">
        <f>IFERROR((Table35[[#This Row],[Foster]]/Table35[[#This Row],[Total]]), "")</f>
        <v/>
      </c>
      <c r="AR47" s="8" t="str">
        <f>IFERROR((Table35[[#This Row],[AD]]/Table35[[#This Row],[Total]]), "")</f>
        <v/>
      </c>
    </row>
    <row r="48" spans="1:44" x14ac:dyDescent="0.25">
      <c r="A48" s="35"/>
      <c r="B48" s="35"/>
      <c r="C48" s="35"/>
      <c r="D48" s="9"/>
      <c r="E48" s="9"/>
      <c r="F48" s="9"/>
      <c r="G48" s="9"/>
      <c r="H48" s="9"/>
      <c r="I48" s="9"/>
      <c r="J48" s="9"/>
      <c r="K48" s="9"/>
      <c r="L48" s="9"/>
      <c r="M48" s="9"/>
      <c r="N48" s="9"/>
      <c r="O48" s="9"/>
      <c r="P48" s="9"/>
      <c r="Q48" s="9"/>
      <c r="R48" s="9"/>
      <c r="S48" s="9"/>
      <c r="T48" s="9"/>
      <c r="U48" s="9"/>
      <c r="V48" s="9"/>
      <c r="W48" s="9"/>
      <c r="X48" s="9"/>
      <c r="Y48" s="8" t="str">
        <f>IFERROR((Table35[[#This Row],[F]]/Table35[[#This Row],[Total]]), "")</f>
        <v/>
      </c>
      <c r="Z48" s="8" t="str">
        <f>IFERROR((Table35[[#This Row],[M]]/Table35[[#This Row],[Total]]), "")</f>
        <v/>
      </c>
      <c r="AA48" s="8" t="str">
        <f>IFERROR((Table35[[#This Row],[Other]]/Table35[[#This Row],[Total]]), "")</f>
        <v/>
      </c>
      <c r="AB48" s="8" t="str">
        <f>IFERROR((Table35[[#This Row],[AmInd]]/Table35[[#This Row],[Total]]), "")</f>
        <v/>
      </c>
      <c r="AC48" s="8" t="str">
        <f>IFERROR((Table35[[#This Row],[Asian]]/Table35[[#This Row],[Total]]), "")</f>
        <v/>
      </c>
      <c r="AD48" s="8" t="str">
        <f>IFERROR((Table35[[#This Row],[Hispanic]]/Table35[[#This Row],[Total]]), "")</f>
        <v/>
      </c>
      <c r="AE48" s="8" t="str">
        <f>IFERROR((Table35[[#This Row],[Black]]/Table35[[#This Row],[Total]]), "")</f>
        <v/>
      </c>
      <c r="AF48" s="8" t="str">
        <f>IFERROR((Table35[[#This Row],[White]]/Table35[[#This Row],[Total]]), "")</f>
        <v/>
      </c>
      <c r="AG48" s="8" t="str">
        <f>IFERROR((Table35[[#This Row],[H/PI]]/Table35[[#This Row],[Total]]), "")</f>
        <v/>
      </c>
      <c r="AH48" s="8" t="str">
        <f>IFERROR((Table35[[#This Row],[Multi]]/Table35[[#This Row],[Total]]), "")</f>
        <v/>
      </c>
      <c r="AI48" s="8" t="str">
        <f>IFERROR((Table35[[#This Row],[Unknown]]/Table35[[#This Row],[Total]]), "")</f>
        <v/>
      </c>
      <c r="AJ48" s="8" t="str">
        <f>IFERROR((Table35[[#This Row],[Dis]]/Table35[[#This Row],[Total]]), "")</f>
        <v/>
      </c>
      <c r="AK48" s="8" t="str">
        <f>IFERROR((Table35[[#This Row],[ED]]/Table35[[#This Row],[Total]]), "")</f>
        <v/>
      </c>
      <c r="AL48" s="8" t="str">
        <f>IFERROR((Table35[[#This Row],[Non-trad]]/Table35[[#This Row],[Total]]), "")</f>
        <v/>
      </c>
      <c r="AM48" s="8" t="str">
        <f>IFERROR((Table35[[#This Row],[SP]]/Table35[[#This Row],[Total]]), "")</f>
        <v/>
      </c>
      <c r="AN48" s="8" t="str">
        <f>IFERROR((Table35[[#This Row],[OOW]]/Table35[[#This Row],[Total]]), "")</f>
        <v/>
      </c>
      <c r="AO48" s="8" t="str">
        <f>IFERROR((Table35[[#This Row],[EL]]/Table35[[#This Row],[Total]]), "")</f>
        <v/>
      </c>
      <c r="AP48" s="8" t="str">
        <f>IFERROR((Table35[[#This Row],[Homeless]]/Table35[[#This Row],[Total]]), "")</f>
        <v/>
      </c>
      <c r="AQ48" s="8" t="str">
        <f>IFERROR((Table35[[#This Row],[Foster]]/Table35[[#This Row],[Total]]), "")</f>
        <v/>
      </c>
      <c r="AR48" s="8" t="str">
        <f>IFERROR((Table35[[#This Row],[AD]]/Table35[[#This Row],[Total]]), "")</f>
        <v/>
      </c>
    </row>
    <row r="49" spans="1:44" x14ac:dyDescent="0.25">
      <c r="A49" s="35"/>
      <c r="B49" s="35"/>
      <c r="C49" s="35"/>
      <c r="D49" s="9"/>
      <c r="E49" s="9"/>
      <c r="F49" s="9"/>
      <c r="G49" s="9"/>
      <c r="H49" s="9"/>
      <c r="I49" s="9"/>
      <c r="J49" s="9"/>
      <c r="K49" s="9"/>
      <c r="L49" s="9"/>
      <c r="M49" s="9"/>
      <c r="N49" s="9"/>
      <c r="O49" s="9"/>
      <c r="P49" s="9"/>
      <c r="Q49" s="9"/>
      <c r="R49" s="9"/>
      <c r="S49" s="9"/>
      <c r="T49" s="9"/>
      <c r="U49" s="9"/>
      <c r="V49" s="9"/>
      <c r="W49" s="9"/>
      <c r="X49" s="9"/>
      <c r="Y49" s="8" t="str">
        <f>IFERROR((Table35[[#This Row],[F]]/Table35[[#This Row],[Total]]), "")</f>
        <v/>
      </c>
      <c r="Z49" s="8" t="str">
        <f>IFERROR((Table35[[#This Row],[M]]/Table35[[#This Row],[Total]]), "")</f>
        <v/>
      </c>
      <c r="AA49" s="8" t="str">
        <f>IFERROR((Table35[[#This Row],[Other]]/Table35[[#This Row],[Total]]), "")</f>
        <v/>
      </c>
      <c r="AB49" s="8" t="str">
        <f>IFERROR((Table35[[#This Row],[AmInd]]/Table35[[#This Row],[Total]]), "")</f>
        <v/>
      </c>
      <c r="AC49" s="8" t="str">
        <f>IFERROR((Table35[[#This Row],[Asian]]/Table35[[#This Row],[Total]]), "")</f>
        <v/>
      </c>
      <c r="AD49" s="8" t="str">
        <f>IFERROR((Table35[[#This Row],[Hispanic]]/Table35[[#This Row],[Total]]), "")</f>
        <v/>
      </c>
      <c r="AE49" s="8" t="str">
        <f>IFERROR((Table35[[#This Row],[Black]]/Table35[[#This Row],[Total]]), "")</f>
        <v/>
      </c>
      <c r="AF49" s="8" t="str">
        <f>IFERROR((Table35[[#This Row],[White]]/Table35[[#This Row],[Total]]), "")</f>
        <v/>
      </c>
      <c r="AG49" s="8" t="str">
        <f>IFERROR((Table35[[#This Row],[H/PI]]/Table35[[#This Row],[Total]]), "")</f>
        <v/>
      </c>
      <c r="AH49" s="8" t="str">
        <f>IFERROR((Table35[[#This Row],[Multi]]/Table35[[#This Row],[Total]]), "")</f>
        <v/>
      </c>
      <c r="AI49" s="8" t="str">
        <f>IFERROR((Table35[[#This Row],[Unknown]]/Table35[[#This Row],[Total]]), "")</f>
        <v/>
      </c>
      <c r="AJ49" s="8" t="str">
        <f>IFERROR((Table35[[#This Row],[Dis]]/Table35[[#This Row],[Total]]), "")</f>
        <v/>
      </c>
      <c r="AK49" s="8" t="str">
        <f>IFERROR((Table35[[#This Row],[ED]]/Table35[[#This Row],[Total]]), "")</f>
        <v/>
      </c>
      <c r="AL49" s="8" t="str">
        <f>IFERROR((Table35[[#This Row],[Non-trad]]/Table35[[#This Row],[Total]]), "")</f>
        <v/>
      </c>
      <c r="AM49" s="8" t="str">
        <f>IFERROR((Table35[[#This Row],[SP]]/Table35[[#This Row],[Total]]), "")</f>
        <v/>
      </c>
      <c r="AN49" s="8" t="str">
        <f>IFERROR((Table35[[#This Row],[OOW]]/Table35[[#This Row],[Total]]), "")</f>
        <v/>
      </c>
      <c r="AO49" s="8" t="str">
        <f>IFERROR((Table35[[#This Row],[EL]]/Table35[[#This Row],[Total]]), "")</f>
        <v/>
      </c>
      <c r="AP49" s="8" t="str">
        <f>IFERROR((Table35[[#This Row],[Homeless]]/Table35[[#This Row],[Total]]), "")</f>
        <v/>
      </c>
      <c r="AQ49" s="8" t="str">
        <f>IFERROR((Table35[[#This Row],[Foster]]/Table35[[#This Row],[Total]]), "")</f>
        <v/>
      </c>
      <c r="AR49" s="8" t="str">
        <f>IFERROR((Table35[[#This Row],[AD]]/Table35[[#This Row],[Total]]), "")</f>
        <v/>
      </c>
    </row>
    <row r="50" spans="1:44" x14ac:dyDescent="0.25">
      <c r="A50" s="35"/>
      <c r="B50" s="35"/>
      <c r="C50" s="35"/>
      <c r="D50" s="9"/>
      <c r="E50" s="9"/>
      <c r="F50" s="9"/>
      <c r="G50" s="9"/>
      <c r="H50" s="9"/>
      <c r="I50" s="9"/>
      <c r="J50" s="9"/>
      <c r="K50" s="9"/>
      <c r="L50" s="9"/>
      <c r="M50" s="9"/>
      <c r="N50" s="9"/>
      <c r="O50" s="9"/>
      <c r="P50" s="9"/>
      <c r="Q50" s="9"/>
      <c r="R50" s="9"/>
      <c r="S50" s="9"/>
      <c r="T50" s="9"/>
      <c r="U50" s="9"/>
      <c r="V50" s="9"/>
      <c r="W50" s="9"/>
      <c r="X50" s="9"/>
      <c r="Y50" s="8" t="str">
        <f>IFERROR((Table35[[#This Row],[F]]/Table35[[#This Row],[Total]]), "")</f>
        <v/>
      </c>
      <c r="Z50" s="8" t="str">
        <f>IFERROR((Table35[[#This Row],[M]]/Table35[[#This Row],[Total]]), "")</f>
        <v/>
      </c>
      <c r="AA50" s="8" t="str">
        <f>IFERROR((Table35[[#This Row],[Other]]/Table35[[#This Row],[Total]]), "")</f>
        <v/>
      </c>
      <c r="AB50" s="8" t="str">
        <f>IFERROR((Table35[[#This Row],[AmInd]]/Table35[[#This Row],[Total]]), "")</f>
        <v/>
      </c>
      <c r="AC50" s="8" t="str">
        <f>IFERROR((Table35[[#This Row],[Asian]]/Table35[[#This Row],[Total]]), "")</f>
        <v/>
      </c>
      <c r="AD50" s="8" t="str">
        <f>IFERROR((Table35[[#This Row],[Hispanic]]/Table35[[#This Row],[Total]]), "")</f>
        <v/>
      </c>
      <c r="AE50" s="8" t="str">
        <f>IFERROR((Table35[[#This Row],[Black]]/Table35[[#This Row],[Total]]), "")</f>
        <v/>
      </c>
      <c r="AF50" s="8" t="str">
        <f>IFERROR((Table35[[#This Row],[White]]/Table35[[#This Row],[Total]]), "")</f>
        <v/>
      </c>
      <c r="AG50" s="8" t="str">
        <f>IFERROR((Table35[[#This Row],[H/PI]]/Table35[[#This Row],[Total]]), "")</f>
        <v/>
      </c>
      <c r="AH50" s="8" t="str">
        <f>IFERROR((Table35[[#This Row],[Multi]]/Table35[[#This Row],[Total]]), "")</f>
        <v/>
      </c>
      <c r="AI50" s="8" t="str">
        <f>IFERROR((Table35[[#This Row],[Unknown]]/Table35[[#This Row],[Total]]), "")</f>
        <v/>
      </c>
      <c r="AJ50" s="8" t="str">
        <f>IFERROR((Table35[[#This Row],[Dis]]/Table35[[#This Row],[Total]]), "")</f>
        <v/>
      </c>
      <c r="AK50" s="8" t="str">
        <f>IFERROR((Table35[[#This Row],[ED]]/Table35[[#This Row],[Total]]), "")</f>
        <v/>
      </c>
      <c r="AL50" s="8" t="str">
        <f>IFERROR((Table35[[#This Row],[Non-trad]]/Table35[[#This Row],[Total]]), "")</f>
        <v/>
      </c>
      <c r="AM50" s="8" t="str">
        <f>IFERROR((Table35[[#This Row],[SP]]/Table35[[#This Row],[Total]]), "")</f>
        <v/>
      </c>
      <c r="AN50" s="8" t="str">
        <f>IFERROR((Table35[[#This Row],[OOW]]/Table35[[#This Row],[Total]]), "")</f>
        <v/>
      </c>
      <c r="AO50" s="8" t="str">
        <f>IFERROR((Table35[[#This Row],[EL]]/Table35[[#This Row],[Total]]), "")</f>
        <v/>
      </c>
      <c r="AP50" s="8" t="str">
        <f>IFERROR((Table35[[#This Row],[Homeless]]/Table35[[#This Row],[Total]]), "")</f>
        <v/>
      </c>
      <c r="AQ50" s="8" t="str">
        <f>IFERROR((Table35[[#This Row],[Foster]]/Table35[[#This Row],[Total]]), "")</f>
        <v/>
      </c>
      <c r="AR50" s="8" t="str">
        <f>IFERROR((Table35[[#This Row],[AD]]/Table35[[#This Row],[Total]]), "")</f>
        <v/>
      </c>
    </row>
    <row r="51" spans="1:44" x14ac:dyDescent="0.25">
      <c r="A51" s="35"/>
      <c r="B51" s="35"/>
      <c r="C51" s="35"/>
      <c r="D51" s="9"/>
      <c r="E51" s="9"/>
      <c r="F51" s="9"/>
      <c r="G51" s="9"/>
      <c r="H51" s="9"/>
      <c r="I51" s="9"/>
      <c r="J51" s="9"/>
      <c r="K51" s="9"/>
      <c r="L51" s="9"/>
      <c r="M51" s="9"/>
      <c r="N51" s="9"/>
      <c r="O51" s="9"/>
      <c r="P51" s="9"/>
      <c r="Q51" s="9"/>
      <c r="R51" s="9"/>
      <c r="S51" s="9"/>
      <c r="T51" s="9"/>
      <c r="U51" s="9"/>
      <c r="V51" s="9"/>
      <c r="W51" s="9"/>
      <c r="X51" s="9"/>
      <c r="Y51" s="8" t="str">
        <f>IFERROR((Table35[[#This Row],[F]]/Table35[[#This Row],[Total]]), "")</f>
        <v/>
      </c>
      <c r="Z51" s="8" t="str">
        <f>IFERROR((Table35[[#This Row],[M]]/Table35[[#This Row],[Total]]), "")</f>
        <v/>
      </c>
      <c r="AA51" s="8" t="str">
        <f>IFERROR((Table35[[#This Row],[Other]]/Table35[[#This Row],[Total]]), "")</f>
        <v/>
      </c>
      <c r="AB51" s="8" t="str">
        <f>IFERROR((Table35[[#This Row],[AmInd]]/Table35[[#This Row],[Total]]), "")</f>
        <v/>
      </c>
      <c r="AC51" s="8" t="str">
        <f>IFERROR((Table35[[#This Row],[Asian]]/Table35[[#This Row],[Total]]), "")</f>
        <v/>
      </c>
      <c r="AD51" s="8" t="str">
        <f>IFERROR((Table35[[#This Row],[Hispanic]]/Table35[[#This Row],[Total]]), "")</f>
        <v/>
      </c>
      <c r="AE51" s="8" t="str">
        <f>IFERROR((Table35[[#This Row],[Black]]/Table35[[#This Row],[Total]]), "")</f>
        <v/>
      </c>
      <c r="AF51" s="8" t="str">
        <f>IFERROR((Table35[[#This Row],[White]]/Table35[[#This Row],[Total]]), "")</f>
        <v/>
      </c>
      <c r="AG51" s="8" t="str">
        <f>IFERROR((Table35[[#This Row],[H/PI]]/Table35[[#This Row],[Total]]), "")</f>
        <v/>
      </c>
      <c r="AH51" s="8" t="str">
        <f>IFERROR((Table35[[#This Row],[Multi]]/Table35[[#This Row],[Total]]), "")</f>
        <v/>
      </c>
      <c r="AI51" s="8" t="str">
        <f>IFERROR((Table35[[#This Row],[Unknown]]/Table35[[#This Row],[Total]]), "")</f>
        <v/>
      </c>
      <c r="AJ51" s="8" t="str">
        <f>IFERROR((Table35[[#This Row],[Dis]]/Table35[[#This Row],[Total]]), "")</f>
        <v/>
      </c>
      <c r="AK51" s="8" t="str">
        <f>IFERROR((Table35[[#This Row],[ED]]/Table35[[#This Row],[Total]]), "")</f>
        <v/>
      </c>
      <c r="AL51" s="8" t="str">
        <f>IFERROR((Table35[[#This Row],[Non-trad]]/Table35[[#This Row],[Total]]), "")</f>
        <v/>
      </c>
      <c r="AM51" s="8" t="str">
        <f>IFERROR((Table35[[#This Row],[SP]]/Table35[[#This Row],[Total]]), "")</f>
        <v/>
      </c>
      <c r="AN51" s="8" t="str">
        <f>IFERROR((Table35[[#This Row],[OOW]]/Table35[[#This Row],[Total]]), "")</f>
        <v/>
      </c>
      <c r="AO51" s="8" t="str">
        <f>IFERROR((Table35[[#This Row],[EL]]/Table35[[#This Row],[Total]]), "")</f>
        <v/>
      </c>
      <c r="AP51" s="8" t="str">
        <f>IFERROR((Table35[[#This Row],[Homeless]]/Table35[[#This Row],[Total]]), "")</f>
        <v/>
      </c>
      <c r="AQ51" s="8" t="str">
        <f>IFERROR((Table35[[#This Row],[Foster]]/Table35[[#This Row],[Total]]), "")</f>
        <v/>
      </c>
      <c r="AR51" s="8" t="str">
        <f>IFERROR((Table35[[#This Row],[AD]]/Table35[[#This Row],[Total]]), "")</f>
        <v/>
      </c>
    </row>
    <row r="52" spans="1:44" x14ac:dyDescent="0.25">
      <c r="A52" s="35"/>
      <c r="B52" s="35"/>
      <c r="C52" s="35"/>
      <c r="D52" s="9"/>
      <c r="E52" s="9"/>
      <c r="F52" s="9"/>
      <c r="G52" s="9"/>
      <c r="H52" s="9"/>
      <c r="I52" s="9"/>
      <c r="J52" s="9"/>
      <c r="K52" s="9"/>
      <c r="L52" s="9"/>
      <c r="M52" s="9"/>
      <c r="N52" s="9"/>
      <c r="O52" s="9"/>
      <c r="P52" s="9"/>
      <c r="Q52" s="9"/>
      <c r="R52" s="9"/>
      <c r="S52" s="9"/>
      <c r="T52" s="9"/>
      <c r="U52" s="9"/>
      <c r="V52" s="9"/>
      <c r="W52" s="9"/>
      <c r="X52" s="9"/>
      <c r="Y52" s="8" t="str">
        <f>IFERROR((Table35[[#This Row],[F]]/Table35[[#This Row],[Total]]), "")</f>
        <v/>
      </c>
      <c r="Z52" s="8" t="str">
        <f>IFERROR((Table35[[#This Row],[M]]/Table35[[#This Row],[Total]]), "")</f>
        <v/>
      </c>
      <c r="AA52" s="8" t="str">
        <f>IFERROR((Table35[[#This Row],[Other]]/Table35[[#This Row],[Total]]), "")</f>
        <v/>
      </c>
      <c r="AB52" s="8" t="str">
        <f>IFERROR((Table35[[#This Row],[AmInd]]/Table35[[#This Row],[Total]]), "")</f>
        <v/>
      </c>
      <c r="AC52" s="8" t="str">
        <f>IFERROR((Table35[[#This Row],[Asian]]/Table35[[#This Row],[Total]]), "")</f>
        <v/>
      </c>
      <c r="AD52" s="8" t="str">
        <f>IFERROR((Table35[[#This Row],[Hispanic]]/Table35[[#This Row],[Total]]), "")</f>
        <v/>
      </c>
      <c r="AE52" s="8" t="str">
        <f>IFERROR((Table35[[#This Row],[Black]]/Table35[[#This Row],[Total]]), "")</f>
        <v/>
      </c>
      <c r="AF52" s="8" t="str">
        <f>IFERROR((Table35[[#This Row],[White]]/Table35[[#This Row],[Total]]), "")</f>
        <v/>
      </c>
      <c r="AG52" s="8" t="str">
        <f>IFERROR((Table35[[#This Row],[H/PI]]/Table35[[#This Row],[Total]]), "")</f>
        <v/>
      </c>
      <c r="AH52" s="8" t="str">
        <f>IFERROR((Table35[[#This Row],[Multi]]/Table35[[#This Row],[Total]]), "")</f>
        <v/>
      </c>
      <c r="AI52" s="8" t="str">
        <f>IFERROR((Table35[[#This Row],[Unknown]]/Table35[[#This Row],[Total]]), "")</f>
        <v/>
      </c>
      <c r="AJ52" s="8" t="str">
        <f>IFERROR((Table35[[#This Row],[Dis]]/Table35[[#This Row],[Total]]), "")</f>
        <v/>
      </c>
      <c r="AK52" s="8" t="str">
        <f>IFERROR((Table35[[#This Row],[ED]]/Table35[[#This Row],[Total]]), "")</f>
        <v/>
      </c>
      <c r="AL52" s="8" t="str">
        <f>IFERROR((Table35[[#This Row],[Non-trad]]/Table35[[#This Row],[Total]]), "")</f>
        <v/>
      </c>
      <c r="AM52" s="8" t="str">
        <f>IFERROR((Table35[[#This Row],[SP]]/Table35[[#This Row],[Total]]), "")</f>
        <v/>
      </c>
      <c r="AN52" s="8" t="str">
        <f>IFERROR((Table35[[#This Row],[OOW]]/Table35[[#This Row],[Total]]), "")</f>
        <v/>
      </c>
      <c r="AO52" s="8" t="str">
        <f>IFERROR((Table35[[#This Row],[EL]]/Table35[[#This Row],[Total]]), "")</f>
        <v/>
      </c>
      <c r="AP52" s="8" t="str">
        <f>IFERROR((Table35[[#This Row],[Homeless]]/Table35[[#This Row],[Total]]), "")</f>
        <v/>
      </c>
      <c r="AQ52" s="8" t="str">
        <f>IFERROR((Table35[[#This Row],[Foster]]/Table35[[#This Row],[Total]]), "")</f>
        <v/>
      </c>
      <c r="AR52" s="8" t="str">
        <f>IFERROR((Table35[[#This Row],[AD]]/Table35[[#This Row],[Total]]), "")</f>
        <v/>
      </c>
    </row>
    <row r="53" spans="1:44" x14ac:dyDescent="0.25">
      <c r="A53" s="35"/>
      <c r="B53" s="35"/>
      <c r="C53" s="35"/>
      <c r="D53" s="9"/>
      <c r="E53" s="9"/>
      <c r="F53" s="9"/>
      <c r="G53" s="9"/>
      <c r="H53" s="9"/>
      <c r="I53" s="9"/>
      <c r="J53" s="9"/>
      <c r="K53" s="9"/>
      <c r="L53" s="9"/>
      <c r="M53" s="9"/>
      <c r="N53" s="9"/>
      <c r="O53" s="9"/>
      <c r="P53" s="9"/>
      <c r="Q53" s="9"/>
      <c r="R53" s="9"/>
      <c r="S53" s="9"/>
      <c r="T53" s="9"/>
      <c r="U53" s="9"/>
      <c r="V53" s="9"/>
      <c r="W53" s="9"/>
      <c r="X53" s="9"/>
      <c r="Y53" s="8" t="str">
        <f>IFERROR((Table35[[#This Row],[F]]/Table35[[#This Row],[Total]]), "")</f>
        <v/>
      </c>
      <c r="Z53" s="8" t="str">
        <f>IFERROR((Table35[[#This Row],[M]]/Table35[[#This Row],[Total]]), "")</f>
        <v/>
      </c>
      <c r="AA53" s="8" t="str">
        <f>IFERROR((Table35[[#This Row],[Other]]/Table35[[#This Row],[Total]]), "")</f>
        <v/>
      </c>
      <c r="AB53" s="8" t="str">
        <f>IFERROR((Table35[[#This Row],[AmInd]]/Table35[[#This Row],[Total]]), "")</f>
        <v/>
      </c>
      <c r="AC53" s="8" t="str">
        <f>IFERROR((Table35[[#This Row],[Asian]]/Table35[[#This Row],[Total]]), "")</f>
        <v/>
      </c>
      <c r="AD53" s="8" t="str">
        <f>IFERROR((Table35[[#This Row],[Hispanic]]/Table35[[#This Row],[Total]]), "")</f>
        <v/>
      </c>
      <c r="AE53" s="8" t="str">
        <f>IFERROR((Table35[[#This Row],[Black]]/Table35[[#This Row],[Total]]), "")</f>
        <v/>
      </c>
      <c r="AF53" s="8" t="str">
        <f>IFERROR((Table35[[#This Row],[White]]/Table35[[#This Row],[Total]]), "")</f>
        <v/>
      </c>
      <c r="AG53" s="8" t="str">
        <f>IFERROR((Table35[[#This Row],[H/PI]]/Table35[[#This Row],[Total]]), "")</f>
        <v/>
      </c>
      <c r="AH53" s="8" t="str">
        <f>IFERROR((Table35[[#This Row],[Multi]]/Table35[[#This Row],[Total]]), "")</f>
        <v/>
      </c>
      <c r="AI53" s="8" t="str">
        <f>IFERROR((Table35[[#This Row],[Unknown]]/Table35[[#This Row],[Total]]), "")</f>
        <v/>
      </c>
      <c r="AJ53" s="8" t="str">
        <f>IFERROR((Table35[[#This Row],[Dis]]/Table35[[#This Row],[Total]]), "")</f>
        <v/>
      </c>
      <c r="AK53" s="8" t="str">
        <f>IFERROR((Table35[[#This Row],[ED]]/Table35[[#This Row],[Total]]), "")</f>
        <v/>
      </c>
      <c r="AL53" s="8" t="str">
        <f>IFERROR((Table35[[#This Row],[Non-trad]]/Table35[[#This Row],[Total]]), "")</f>
        <v/>
      </c>
      <c r="AM53" s="8" t="str">
        <f>IFERROR((Table35[[#This Row],[SP]]/Table35[[#This Row],[Total]]), "")</f>
        <v/>
      </c>
      <c r="AN53" s="8" t="str">
        <f>IFERROR((Table35[[#This Row],[OOW]]/Table35[[#This Row],[Total]]), "")</f>
        <v/>
      </c>
      <c r="AO53" s="8" t="str">
        <f>IFERROR((Table35[[#This Row],[EL]]/Table35[[#This Row],[Total]]), "")</f>
        <v/>
      </c>
      <c r="AP53" s="8" t="str">
        <f>IFERROR((Table35[[#This Row],[Homeless]]/Table35[[#This Row],[Total]]), "")</f>
        <v/>
      </c>
      <c r="AQ53" s="8" t="str">
        <f>IFERROR((Table35[[#This Row],[Foster]]/Table35[[#This Row],[Total]]), "")</f>
        <v/>
      </c>
      <c r="AR53" s="8" t="str">
        <f>IFERROR((Table35[[#This Row],[AD]]/Table35[[#This Row],[Total]]), "")</f>
        <v/>
      </c>
    </row>
    <row r="54" spans="1:44" x14ac:dyDescent="0.25">
      <c r="A54" s="35"/>
      <c r="B54" s="35"/>
      <c r="C54" s="35"/>
      <c r="D54" s="9"/>
      <c r="E54" s="9"/>
      <c r="F54" s="9"/>
      <c r="G54" s="9"/>
      <c r="H54" s="9"/>
      <c r="I54" s="9"/>
      <c r="J54" s="9"/>
      <c r="K54" s="9"/>
      <c r="L54" s="9"/>
      <c r="M54" s="9"/>
      <c r="N54" s="9"/>
      <c r="O54" s="9"/>
      <c r="P54" s="9"/>
      <c r="Q54" s="9"/>
      <c r="R54" s="9"/>
      <c r="S54" s="9"/>
      <c r="T54" s="9"/>
      <c r="U54" s="9"/>
      <c r="V54" s="9"/>
      <c r="W54" s="9"/>
      <c r="X54" s="9"/>
      <c r="Y54" s="8" t="str">
        <f>IFERROR((Table35[[#This Row],[F]]/Table35[[#This Row],[Total]]), "")</f>
        <v/>
      </c>
      <c r="Z54" s="8" t="str">
        <f>IFERROR((Table35[[#This Row],[M]]/Table35[[#This Row],[Total]]), "")</f>
        <v/>
      </c>
      <c r="AA54" s="8" t="str">
        <f>IFERROR((Table35[[#This Row],[Other]]/Table35[[#This Row],[Total]]), "")</f>
        <v/>
      </c>
      <c r="AB54" s="8" t="str">
        <f>IFERROR((Table35[[#This Row],[AmInd]]/Table35[[#This Row],[Total]]), "")</f>
        <v/>
      </c>
      <c r="AC54" s="8" t="str">
        <f>IFERROR((Table35[[#This Row],[Asian]]/Table35[[#This Row],[Total]]), "")</f>
        <v/>
      </c>
      <c r="AD54" s="8" t="str">
        <f>IFERROR((Table35[[#This Row],[Hispanic]]/Table35[[#This Row],[Total]]), "")</f>
        <v/>
      </c>
      <c r="AE54" s="8" t="str">
        <f>IFERROR((Table35[[#This Row],[Black]]/Table35[[#This Row],[Total]]), "")</f>
        <v/>
      </c>
      <c r="AF54" s="8" t="str">
        <f>IFERROR((Table35[[#This Row],[White]]/Table35[[#This Row],[Total]]), "")</f>
        <v/>
      </c>
      <c r="AG54" s="8" t="str">
        <f>IFERROR((Table35[[#This Row],[H/PI]]/Table35[[#This Row],[Total]]), "")</f>
        <v/>
      </c>
      <c r="AH54" s="8" t="str">
        <f>IFERROR((Table35[[#This Row],[Multi]]/Table35[[#This Row],[Total]]), "")</f>
        <v/>
      </c>
      <c r="AI54" s="8" t="str">
        <f>IFERROR((Table35[[#This Row],[Unknown]]/Table35[[#This Row],[Total]]), "")</f>
        <v/>
      </c>
      <c r="AJ54" s="8" t="str">
        <f>IFERROR((Table35[[#This Row],[Dis]]/Table35[[#This Row],[Total]]), "")</f>
        <v/>
      </c>
      <c r="AK54" s="8" t="str">
        <f>IFERROR((Table35[[#This Row],[ED]]/Table35[[#This Row],[Total]]), "")</f>
        <v/>
      </c>
      <c r="AL54" s="8" t="str">
        <f>IFERROR((Table35[[#This Row],[Non-trad]]/Table35[[#This Row],[Total]]), "")</f>
        <v/>
      </c>
      <c r="AM54" s="8" t="str">
        <f>IFERROR((Table35[[#This Row],[SP]]/Table35[[#This Row],[Total]]), "")</f>
        <v/>
      </c>
      <c r="AN54" s="8" t="str">
        <f>IFERROR((Table35[[#This Row],[OOW]]/Table35[[#This Row],[Total]]), "")</f>
        <v/>
      </c>
      <c r="AO54" s="8" t="str">
        <f>IFERROR((Table35[[#This Row],[EL]]/Table35[[#This Row],[Total]]), "")</f>
        <v/>
      </c>
      <c r="AP54" s="8" t="str">
        <f>IFERROR((Table35[[#This Row],[Homeless]]/Table35[[#This Row],[Total]]), "")</f>
        <v/>
      </c>
      <c r="AQ54" s="8" t="str">
        <f>IFERROR((Table35[[#This Row],[Foster]]/Table35[[#This Row],[Total]]), "")</f>
        <v/>
      </c>
      <c r="AR54" s="8" t="str">
        <f>IFERROR((Table35[[#This Row],[AD]]/Table35[[#This Row],[Total]]), "")</f>
        <v/>
      </c>
    </row>
    <row r="55" spans="1:44" x14ac:dyDescent="0.25">
      <c r="A55" s="35"/>
      <c r="B55" s="35"/>
      <c r="C55" s="35"/>
      <c r="D55" s="9"/>
      <c r="E55" s="9"/>
      <c r="F55" s="9"/>
      <c r="G55" s="9"/>
      <c r="H55" s="9"/>
      <c r="I55" s="9"/>
      <c r="J55" s="9"/>
      <c r="K55" s="9"/>
      <c r="L55" s="9"/>
      <c r="M55" s="9"/>
      <c r="N55" s="9"/>
      <c r="O55" s="9"/>
      <c r="P55" s="9"/>
      <c r="Q55" s="9"/>
      <c r="R55" s="9"/>
      <c r="S55" s="9"/>
      <c r="T55" s="9"/>
      <c r="U55" s="9"/>
      <c r="V55" s="9"/>
      <c r="W55" s="9"/>
      <c r="X55" s="9"/>
      <c r="Y55" s="8" t="str">
        <f>IFERROR((Table35[[#This Row],[F]]/Table35[[#This Row],[Total]]), "")</f>
        <v/>
      </c>
      <c r="Z55" s="8" t="str">
        <f>IFERROR((Table35[[#This Row],[M]]/Table35[[#This Row],[Total]]), "")</f>
        <v/>
      </c>
      <c r="AA55" s="8" t="str">
        <f>IFERROR((Table35[[#This Row],[Other]]/Table35[[#This Row],[Total]]), "")</f>
        <v/>
      </c>
      <c r="AB55" s="8" t="str">
        <f>IFERROR((Table35[[#This Row],[AmInd]]/Table35[[#This Row],[Total]]), "")</f>
        <v/>
      </c>
      <c r="AC55" s="8" t="str">
        <f>IFERROR((Table35[[#This Row],[Asian]]/Table35[[#This Row],[Total]]), "")</f>
        <v/>
      </c>
      <c r="AD55" s="8" t="str">
        <f>IFERROR((Table35[[#This Row],[Hispanic]]/Table35[[#This Row],[Total]]), "")</f>
        <v/>
      </c>
      <c r="AE55" s="8" t="str">
        <f>IFERROR((Table35[[#This Row],[Black]]/Table35[[#This Row],[Total]]), "")</f>
        <v/>
      </c>
      <c r="AF55" s="8" t="str">
        <f>IFERROR((Table35[[#This Row],[White]]/Table35[[#This Row],[Total]]), "")</f>
        <v/>
      </c>
      <c r="AG55" s="8" t="str">
        <f>IFERROR((Table35[[#This Row],[H/PI]]/Table35[[#This Row],[Total]]), "")</f>
        <v/>
      </c>
      <c r="AH55" s="8" t="str">
        <f>IFERROR((Table35[[#This Row],[Multi]]/Table35[[#This Row],[Total]]), "")</f>
        <v/>
      </c>
      <c r="AI55" s="8" t="str">
        <f>IFERROR((Table35[[#This Row],[Unknown]]/Table35[[#This Row],[Total]]), "")</f>
        <v/>
      </c>
      <c r="AJ55" s="8" t="str">
        <f>IFERROR((Table35[[#This Row],[Dis]]/Table35[[#This Row],[Total]]), "")</f>
        <v/>
      </c>
      <c r="AK55" s="8" t="str">
        <f>IFERROR((Table35[[#This Row],[ED]]/Table35[[#This Row],[Total]]), "")</f>
        <v/>
      </c>
      <c r="AL55" s="8" t="str">
        <f>IFERROR((Table35[[#This Row],[Non-trad]]/Table35[[#This Row],[Total]]), "")</f>
        <v/>
      </c>
      <c r="AM55" s="8" t="str">
        <f>IFERROR((Table35[[#This Row],[SP]]/Table35[[#This Row],[Total]]), "")</f>
        <v/>
      </c>
      <c r="AN55" s="8" t="str">
        <f>IFERROR((Table35[[#This Row],[OOW]]/Table35[[#This Row],[Total]]), "")</f>
        <v/>
      </c>
      <c r="AO55" s="8" t="str">
        <f>IFERROR((Table35[[#This Row],[EL]]/Table35[[#This Row],[Total]]), "")</f>
        <v/>
      </c>
      <c r="AP55" s="8" t="str">
        <f>IFERROR((Table35[[#This Row],[Homeless]]/Table35[[#This Row],[Total]]), "")</f>
        <v/>
      </c>
      <c r="AQ55" s="8" t="str">
        <f>IFERROR((Table35[[#This Row],[Foster]]/Table35[[#This Row],[Total]]), "")</f>
        <v/>
      </c>
      <c r="AR55" s="8" t="str">
        <f>IFERROR((Table35[[#This Row],[AD]]/Table35[[#This Row],[Total]]), "")</f>
        <v/>
      </c>
    </row>
    <row r="56" spans="1:44" x14ac:dyDescent="0.25">
      <c r="A56" s="35"/>
      <c r="B56" s="35"/>
      <c r="C56" s="35"/>
      <c r="D56" s="9"/>
      <c r="E56" s="9"/>
      <c r="F56" s="9"/>
      <c r="G56" s="9"/>
      <c r="H56" s="9"/>
      <c r="I56" s="9"/>
      <c r="J56" s="9"/>
      <c r="K56" s="9"/>
      <c r="L56" s="9"/>
      <c r="M56" s="9"/>
      <c r="N56" s="9"/>
      <c r="O56" s="9"/>
      <c r="P56" s="9"/>
      <c r="Q56" s="9"/>
      <c r="R56" s="9"/>
      <c r="S56" s="9"/>
      <c r="T56" s="9"/>
      <c r="U56" s="9"/>
      <c r="V56" s="9"/>
      <c r="W56" s="9"/>
      <c r="X56" s="9"/>
      <c r="Y56" s="8" t="str">
        <f>IFERROR((Table35[[#This Row],[F]]/Table35[[#This Row],[Total]]), "")</f>
        <v/>
      </c>
      <c r="Z56" s="8" t="str">
        <f>IFERROR((Table35[[#This Row],[M]]/Table35[[#This Row],[Total]]), "")</f>
        <v/>
      </c>
      <c r="AA56" s="8" t="str">
        <f>IFERROR((Table35[[#This Row],[Other]]/Table35[[#This Row],[Total]]), "")</f>
        <v/>
      </c>
      <c r="AB56" s="8" t="str">
        <f>IFERROR((Table35[[#This Row],[AmInd]]/Table35[[#This Row],[Total]]), "")</f>
        <v/>
      </c>
      <c r="AC56" s="8" t="str">
        <f>IFERROR((Table35[[#This Row],[Asian]]/Table35[[#This Row],[Total]]), "")</f>
        <v/>
      </c>
      <c r="AD56" s="8" t="str">
        <f>IFERROR((Table35[[#This Row],[Hispanic]]/Table35[[#This Row],[Total]]), "")</f>
        <v/>
      </c>
      <c r="AE56" s="8" t="str">
        <f>IFERROR((Table35[[#This Row],[Black]]/Table35[[#This Row],[Total]]), "")</f>
        <v/>
      </c>
      <c r="AF56" s="8" t="str">
        <f>IFERROR((Table35[[#This Row],[White]]/Table35[[#This Row],[Total]]), "")</f>
        <v/>
      </c>
      <c r="AG56" s="8" t="str">
        <f>IFERROR((Table35[[#This Row],[H/PI]]/Table35[[#This Row],[Total]]), "")</f>
        <v/>
      </c>
      <c r="AH56" s="8" t="str">
        <f>IFERROR((Table35[[#This Row],[Multi]]/Table35[[#This Row],[Total]]), "")</f>
        <v/>
      </c>
      <c r="AI56" s="8" t="str">
        <f>IFERROR((Table35[[#This Row],[Unknown]]/Table35[[#This Row],[Total]]), "")</f>
        <v/>
      </c>
      <c r="AJ56" s="8" t="str">
        <f>IFERROR((Table35[[#This Row],[Dis]]/Table35[[#This Row],[Total]]), "")</f>
        <v/>
      </c>
      <c r="AK56" s="8" t="str">
        <f>IFERROR((Table35[[#This Row],[ED]]/Table35[[#This Row],[Total]]), "")</f>
        <v/>
      </c>
      <c r="AL56" s="8" t="str">
        <f>IFERROR((Table35[[#This Row],[Non-trad]]/Table35[[#This Row],[Total]]), "")</f>
        <v/>
      </c>
      <c r="AM56" s="8" t="str">
        <f>IFERROR((Table35[[#This Row],[SP]]/Table35[[#This Row],[Total]]), "")</f>
        <v/>
      </c>
      <c r="AN56" s="8" t="str">
        <f>IFERROR((Table35[[#This Row],[OOW]]/Table35[[#This Row],[Total]]), "")</f>
        <v/>
      </c>
      <c r="AO56" s="8" t="str">
        <f>IFERROR((Table35[[#This Row],[EL]]/Table35[[#This Row],[Total]]), "")</f>
        <v/>
      </c>
      <c r="AP56" s="8" t="str">
        <f>IFERROR((Table35[[#This Row],[Homeless]]/Table35[[#This Row],[Total]]), "")</f>
        <v/>
      </c>
      <c r="AQ56" s="8" t="str">
        <f>IFERROR((Table35[[#This Row],[Foster]]/Table35[[#This Row],[Total]]), "")</f>
        <v/>
      </c>
      <c r="AR56" s="8" t="str">
        <f>IFERROR((Table35[[#This Row],[AD]]/Table35[[#This Row],[Total]]), "")</f>
        <v/>
      </c>
    </row>
    <row r="57" spans="1:44" x14ac:dyDescent="0.25">
      <c r="A57" s="35"/>
      <c r="B57" s="35"/>
      <c r="C57" s="35"/>
      <c r="D57" s="9"/>
      <c r="E57" s="9"/>
      <c r="F57" s="9"/>
      <c r="G57" s="9"/>
      <c r="H57" s="9"/>
      <c r="I57" s="9"/>
      <c r="J57" s="9"/>
      <c r="K57" s="9"/>
      <c r="L57" s="9"/>
      <c r="M57" s="9"/>
      <c r="N57" s="9"/>
      <c r="O57" s="9"/>
      <c r="P57" s="9"/>
      <c r="Q57" s="9"/>
      <c r="R57" s="9"/>
      <c r="S57" s="9"/>
      <c r="T57" s="9"/>
      <c r="U57" s="9"/>
      <c r="V57" s="9"/>
      <c r="W57" s="9"/>
      <c r="X57" s="9"/>
      <c r="Y57" s="8" t="str">
        <f>IFERROR((Table35[[#This Row],[F]]/Table35[[#This Row],[Total]]), "")</f>
        <v/>
      </c>
      <c r="Z57" s="8" t="str">
        <f>IFERROR((Table35[[#This Row],[M]]/Table35[[#This Row],[Total]]), "")</f>
        <v/>
      </c>
      <c r="AA57" s="8" t="str">
        <f>IFERROR((Table35[[#This Row],[Other]]/Table35[[#This Row],[Total]]), "")</f>
        <v/>
      </c>
      <c r="AB57" s="8" t="str">
        <f>IFERROR((Table35[[#This Row],[AmInd]]/Table35[[#This Row],[Total]]), "")</f>
        <v/>
      </c>
      <c r="AC57" s="8" t="str">
        <f>IFERROR((Table35[[#This Row],[Asian]]/Table35[[#This Row],[Total]]), "")</f>
        <v/>
      </c>
      <c r="AD57" s="8" t="str">
        <f>IFERROR((Table35[[#This Row],[Hispanic]]/Table35[[#This Row],[Total]]), "")</f>
        <v/>
      </c>
      <c r="AE57" s="8" t="str">
        <f>IFERROR((Table35[[#This Row],[Black]]/Table35[[#This Row],[Total]]), "")</f>
        <v/>
      </c>
      <c r="AF57" s="8" t="str">
        <f>IFERROR((Table35[[#This Row],[White]]/Table35[[#This Row],[Total]]), "")</f>
        <v/>
      </c>
      <c r="AG57" s="8" t="str">
        <f>IFERROR((Table35[[#This Row],[H/PI]]/Table35[[#This Row],[Total]]), "")</f>
        <v/>
      </c>
      <c r="AH57" s="8" t="str">
        <f>IFERROR((Table35[[#This Row],[Multi]]/Table35[[#This Row],[Total]]), "")</f>
        <v/>
      </c>
      <c r="AI57" s="8" t="str">
        <f>IFERROR((Table35[[#This Row],[Unknown]]/Table35[[#This Row],[Total]]), "")</f>
        <v/>
      </c>
      <c r="AJ57" s="8" t="str">
        <f>IFERROR((Table35[[#This Row],[Dis]]/Table35[[#This Row],[Total]]), "")</f>
        <v/>
      </c>
      <c r="AK57" s="8" t="str">
        <f>IFERROR((Table35[[#This Row],[ED]]/Table35[[#This Row],[Total]]), "")</f>
        <v/>
      </c>
      <c r="AL57" s="8" t="str">
        <f>IFERROR((Table35[[#This Row],[Non-trad]]/Table35[[#This Row],[Total]]), "")</f>
        <v/>
      </c>
      <c r="AM57" s="8" t="str">
        <f>IFERROR((Table35[[#This Row],[SP]]/Table35[[#This Row],[Total]]), "")</f>
        <v/>
      </c>
      <c r="AN57" s="8" t="str">
        <f>IFERROR((Table35[[#This Row],[OOW]]/Table35[[#This Row],[Total]]), "")</f>
        <v/>
      </c>
      <c r="AO57" s="8" t="str">
        <f>IFERROR((Table35[[#This Row],[EL]]/Table35[[#This Row],[Total]]), "")</f>
        <v/>
      </c>
      <c r="AP57" s="8" t="str">
        <f>IFERROR((Table35[[#This Row],[Homeless]]/Table35[[#This Row],[Total]]), "")</f>
        <v/>
      </c>
      <c r="AQ57" s="8" t="str">
        <f>IFERROR((Table35[[#This Row],[Foster]]/Table35[[#This Row],[Total]]), "")</f>
        <v/>
      </c>
      <c r="AR57" s="8" t="str">
        <f>IFERROR((Table35[[#This Row],[AD]]/Table35[[#This Row],[Total]]), "")</f>
        <v/>
      </c>
    </row>
    <row r="58" spans="1:44" x14ac:dyDescent="0.25">
      <c r="A58" s="35"/>
      <c r="B58" s="35"/>
      <c r="C58" s="35"/>
      <c r="D58" s="9"/>
      <c r="E58" s="9"/>
      <c r="F58" s="9"/>
      <c r="G58" s="9"/>
      <c r="H58" s="9"/>
      <c r="I58" s="9"/>
      <c r="J58" s="9"/>
      <c r="K58" s="9"/>
      <c r="L58" s="9"/>
      <c r="M58" s="9"/>
      <c r="N58" s="9"/>
      <c r="O58" s="9"/>
      <c r="P58" s="9"/>
      <c r="Q58" s="9"/>
      <c r="R58" s="9"/>
      <c r="S58" s="9"/>
      <c r="T58" s="9"/>
      <c r="U58" s="9"/>
      <c r="V58" s="9"/>
      <c r="W58" s="9"/>
      <c r="X58" s="9"/>
      <c r="Y58" s="8" t="str">
        <f>IFERROR((Table35[[#This Row],[F]]/Table35[[#This Row],[Total]]), "")</f>
        <v/>
      </c>
      <c r="Z58" s="8" t="str">
        <f>IFERROR((Table35[[#This Row],[M]]/Table35[[#This Row],[Total]]), "")</f>
        <v/>
      </c>
      <c r="AA58" s="8" t="str">
        <f>IFERROR((Table35[[#This Row],[Other]]/Table35[[#This Row],[Total]]), "")</f>
        <v/>
      </c>
      <c r="AB58" s="8" t="str">
        <f>IFERROR((Table35[[#This Row],[AmInd]]/Table35[[#This Row],[Total]]), "")</f>
        <v/>
      </c>
      <c r="AC58" s="8" t="str">
        <f>IFERROR((Table35[[#This Row],[Asian]]/Table35[[#This Row],[Total]]), "")</f>
        <v/>
      </c>
      <c r="AD58" s="8" t="str">
        <f>IFERROR((Table35[[#This Row],[Hispanic]]/Table35[[#This Row],[Total]]), "")</f>
        <v/>
      </c>
      <c r="AE58" s="8" t="str">
        <f>IFERROR((Table35[[#This Row],[Black]]/Table35[[#This Row],[Total]]), "")</f>
        <v/>
      </c>
      <c r="AF58" s="8" t="str">
        <f>IFERROR((Table35[[#This Row],[White]]/Table35[[#This Row],[Total]]), "")</f>
        <v/>
      </c>
      <c r="AG58" s="8" t="str">
        <f>IFERROR((Table35[[#This Row],[H/PI]]/Table35[[#This Row],[Total]]), "")</f>
        <v/>
      </c>
      <c r="AH58" s="8" t="str">
        <f>IFERROR((Table35[[#This Row],[Multi]]/Table35[[#This Row],[Total]]), "")</f>
        <v/>
      </c>
      <c r="AI58" s="8" t="str">
        <f>IFERROR((Table35[[#This Row],[Unknown]]/Table35[[#This Row],[Total]]), "")</f>
        <v/>
      </c>
      <c r="AJ58" s="8" t="str">
        <f>IFERROR((Table35[[#This Row],[Dis]]/Table35[[#This Row],[Total]]), "")</f>
        <v/>
      </c>
      <c r="AK58" s="8" t="str">
        <f>IFERROR((Table35[[#This Row],[ED]]/Table35[[#This Row],[Total]]), "")</f>
        <v/>
      </c>
      <c r="AL58" s="8" t="str">
        <f>IFERROR((Table35[[#This Row],[Non-trad]]/Table35[[#This Row],[Total]]), "")</f>
        <v/>
      </c>
      <c r="AM58" s="8" t="str">
        <f>IFERROR((Table35[[#This Row],[SP]]/Table35[[#This Row],[Total]]), "")</f>
        <v/>
      </c>
      <c r="AN58" s="8" t="str">
        <f>IFERROR((Table35[[#This Row],[OOW]]/Table35[[#This Row],[Total]]), "")</f>
        <v/>
      </c>
      <c r="AO58" s="8" t="str">
        <f>IFERROR((Table35[[#This Row],[EL]]/Table35[[#This Row],[Total]]), "")</f>
        <v/>
      </c>
      <c r="AP58" s="8" t="str">
        <f>IFERROR((Table35[[#This Row],[Homeless]]/Table35[[#This Row],[Total]]), "")</f>
        <v/>
      </c>
      <c r="AQ58" s="8" t="str">
        <f>IFERROR((Table35[[#This Row],[Foster]]/Table35[[#This Row],[Total]]), "")</f>
        <v/>
      </c>
      <c r="AR58" s="8" t="str">
        <f>IFERROR((Table35[[#This Row],[AD]]/Table35[[#This Row],[Total]]), "")</f>
        <v/>
      </c>
    </row>
    <row r="59" spans="1:44" x14ac:dyDescent="0.25">
      <c r="A59" s="35"/>
      <c r="B59" s="35"/>
      <c r="C59" s="35"/>
      <c r="D59" s="9"/>
      <c r="E59" s="9"/>
      <c r="F59" s="9"/>
      <c r="G59" s="9"/>
      <c r="H59" s="9"/>
      <c r="I59" s="9"/>
      <c r="J59" s="9"/>
      <c r="K59" s="9"/>
      <c r="L59" s="9"/>
      <c r="M59" s="9"/>
      <c r="N59" s="9"/>
      <c r="O59" s="9"/>
      <c r="P59" s="9"/>
      <c r="Q59" s="9"/>
      <c r="R59" s="9"/>
      <c r="S59" s="9"/>
      <c r="T59" s="9"/>
      <c r="U59" s="9"/>
      <c r="V59" s="9"/>
      <c r="W59" s="9"/>
      <c r="X59" s="9"/>
      <c r="Y59" s="8" t="str">
        <f>IFERROR((Table35[[#This Row],[F]]/Table35[[#This Row],[Total]]), "")</f>
        <v/>
      </c>
      <c r="Z59" s="8" t="str">
        <f>IFERROR((Table35[[#This Row],[M]]/Table35[[#This Row],[Total]]), "")</f>
        <v/>
      </c>
      <c r="AA59" s="8" t="str">
        <f>IFERROR((Table35[[#This Row],[Other]]/Table35[[#This Row],[Total]]), "")</f>
        <v/>
      </c>
      <c r="AB59" s="8" t="str">
        <f>IFERROR((Table35[[#This Row],[AmInd]]/Table35[[#This Row],[Total]]), "")</f>
        <v/>
      </c>
      <c r="AC59" s="8" t="str">
        <f>IFERROR((Table35[[#This Row],[Asian]]/Table35[[#This Row],[Total]]), "")</f>
        <v/>
      </c>
      <c r="AD59" s="8" t="str">
        <f>IFERROR((Table35[[#This Row],[Hispanic]]/Table35[[#This Row],[Total]]), "")</f>
        <v/>
      </c>
      <c r="AE59" s="8" t="str">
        <f>IFERROR((Table35[[#This Row],[Black]]/Table35[[#This Row],[Total]]), "")</f>
        <v/>
      </c>
      <c r="AF59" s="8" t="str">
        <f>IFERROR((Table35[[#This Row],[White]]/Table35[[#This Row],[Total]]), "")</f>
        <v/>
      </c>
      <c r="AG59" s="8" t="str">
        <f>IFERROR((Table35[[#This Row],[H/PI]]/Table35[[#This Row],[Total]]), "")</f>
        <v/>
      </c>
      <c r="AH59" s="8" t="str">
        <f>IFERROR((Table35[[#This Row],[Multi]]/Table35[[#This Row],[Total]]), "")</f>
        <v/>
      </c>
      <c r="AI59" s="8" t="str">
        <f>IFERROR((Table35[[#This Row],[Unknown]]/Table35[[#This Row],[Total]]), "")</f>
        <v/>
      </c>
      <c r="AJ59" s="8" t="str">
        <f>IFERROR((Table35[[#This Row],[Dis]]/Table35[[#This Row],[Total]]), "")</f>
        <v/>
      </c>
      <c r="AK59" s="8" t="str">
        <f>IFERROR((Table35[[#This Row],[ED]]/Table35[[#This Row],[Total]]), "")</f>
        <v/>
      </c>
      <c r="AL59" s="8" t="str">
        <f>IFERROR((Table35[[#This Row],[Non-trad]]/Table35[[#This Row],[Total]]), "")</f>
        <v/>
      </c>
      <c r="AM59" s="8" t="str">
        <f>IFERROR((Table35[[#This Row],[SP]]/Table35[[#This Row],[Total]]), "")</f>
        <v/>
      </c>
      <c r="AN59" s="8" t="str">
        <f>IFERROR((Table35[[#This Row],[OOW]]/Table35[[#This Row],[Total]]), "")</f>
        <v/>
      </c>
      <c r="AO59" s="8" t="str">
        <f>IFERROR((Table35[[#This Row],[EL]]/Table35[[#This Row],[Total]]), "")</f>
        <v/>
      </c>
      <c r="AP59" s="8" t="str">
        <f>IFERROR((Table35[[#This Row],[Homeless]]/Table35[[#This Row],[Total]]), "")</f>
        <v/>
      </c>
      <c r="AQ59" s="8" t="str">
        <f>IFERROR((Table35[[#This Row],[Foster]]/Table35[[#This Row],[Total]]), "")</f>
        <v/>
      </c>
      <c r="AR59" s="8" t="str">
        <f>IFERROR((Table35[[#This Row],[AD]]/Table35[[#This Row],[Total]]), "")</f>
        <v/>
      </c>
    </row>
    <row r="60" spans="1:44" x14ac:dyDescent="0.25">
      <c r="A60" s="35"/>
      <c r="B60" s="35"/>
      <c r="C60" s="35"/>
      <c r="D60" s="9"/>
      <c r="E60" s="9"/>
      <c r="F60" s="9"/>
      <c r="G60" s="9"/>
      <c r="H60" s="9"/>
      <c r="I60" s="9"/>
      <c r="J60" s="9"/>
      <c r="K60" s="9"/>
      <c r="L60" s="9"/>
      <c r="M60" s="9"/>
      <c r="N60" s="9"/>
      <c r="O60" s="9"/>
      <c r="P60" s="9"/>
      <c r="Q60" s="9"/>
      <c r="R60" s="9"/>
      <c r="S60" s="9"/>
      <c r="T60" s="9"/>
      <c r="U60" s="9"/>
      <c r="V60" s="9"/>
      <c r="W60" s="9"/>
      <c r="X60" s="9"/>
      <c r="Y60" s="8" t="str">
        <f>IFERROR((Table35[[#This Row],[F]]/Table35[[#This Row],[Total]]), "")</f>
        <v/>
      </c>
      <c r="Z60" s="8" t="str">
        <f>IFERROR((Table35[[#This Row],[M]]/Table35[[#This Row],[Total]]), "")</f>
        <v/>
      </c>
      <c r="AA60" s="8" t="str">
        <f>IFERROR((Table35[[#This Row],[Other]]/Table35[[#This Row],[Total]]), "")</f>
        <v/>
      </c>
      <c r="AB60" s="8" t="str">
        <f>IFERROR((Table35[[#This Row],[AmInd]]/Table35[[#This Row],[Total]]), "")</f>
        <v/>
      </c>
      <c r="AC60" s="8" t="str">
        <f>IFERROR((Table35[[#This Row],[Asian]]/Table35[[#This Row],[Total]]), "")</f>
        <v/>
      </c>
      <c r="AD60" s="8" t="str">
        <f>IFERROR((Table35[[#This Row],[Hispanic]]/Table35[[#This Row],[Total]]), "")</f>
        <v/>
      </c>
      <c r="AE60" s="8" t="str">
        <f>IFERROR((Table35[[#This Row],[Black]]/Table35[[#This Row],[Total]]), "")</f>
        <v/>
      </c>
      <c r="AF60" s="8" t="str">
        <f>IFERROR((Table35[[#This Row],[White]]/Table35[[#This Row],[Total]]), "")</f>
        <v/>
      </c>
      <c r="AG60" s="8" t="str">
        <f>IFERROR((Table35[[#This Row],[H/PI]]/Table35[[#This Row],[Total]]), "")</f>
        <v/>
      </c>
      <c r="AH60" s="8" t="str">
        <f>IFERROR((Table35[[#This Row],[Multi]]/Table35[[#This Row],[Total]]), "")</f>
        <v/>
      </c>
      <c r="AI60" s="8" t="str">
        <f>IFERROR((Table35[[#This Row],[Unknown]]/Table35[[#This Row],[Total]]), "")</f>
        <v/>
      </c>
      <c r="AJ60" s="8" t="str">
        <f>IFERROR((Table35[[#This Row],[Dis]]/Table35[[#This Row],[Total]]), "")</f>
        <v/>
      </c>
      <c r="AK60" s="8" t="str">
        <f>IFERROR((Table35[[#This Row],[ED]]/Table35[[#This Row],[Total]]), "")</f>
        <v/>
      </c>
      <c r="AL60" s="8" t="str">
        <f>IFERROR((Table35[[#This Row],[Non-trad]]/Table35[[#This Row],[Total]]), "")</f>
        <v/>
      </c>
      <c r="AM60" s="8" t="str">
        <f>IFERROR((Table35[[#This Row],[SP]]/Table35[[#This Row],[Total]]), "")</f>
        <v/>
      </c>
      <c r="AN60" s="8" t="str">
        <f>IFERROR((Table35[[#This Row],[OOW]]/Table35[[#This Row],[Total]]), "")</f>
        <v/>
      </c>
      <c r="AO60" s="8" t="str">
        <f>IFERROR((Table35[[#This Row],[EL]]/Table35[[#This Row],[Total]]), "")</f>
        <v/>
      </c>
      <c r="AP60" s="8" t="str">
        <f>IFERROR((Table35[[#This Row],[Homeless]]/Table35[[#This Row],[Total]]), "")</f>
        <v/>
      </c>
      <c r="AQ60" s="8" t="str">
        <f>IFERROR((Table35[[#This Row],[Foster]]/Table35[[#This Row],[Total]]), "")</f>
        <v/>
      </c>
      <c r="AR60" s="8" t="str">
        <f>IFERROR((Table35[[#This Row],[AD]]/Table35[[#This Row],[Total]]), "")</f>
        <v/>
      </c>
    </row>
    <row r="61" spans="1:44" x14ac:dyDescent="0.25">
      <c r="A61" s="35"/>
      <c r="B61" s="35"/>
      <c r="C61" s="35"/>
      <c r="D61" s="9"/>
      <c r="E61" s="9"/>
      <c r="F61" s="9"/>
      <c r="G61" s="9"/>
      <c r="H61" s="9"/>
      <c r="I61" s="9"/>
      <c r="J61" s="9"/>
      <c r="K61" s="9"/>
      <c r="L61" s="9"/>
      <c r="M61" s="9"/>
      <c r="N61" s="9"/>
      <c r="O61" s="9"/>
      <c r="P61" s="9"/>
      <c r="Q61" s="9"/>
      <c r="R61" s="9"/>
      <c r="S61" s="9"/>
      <c r="T61" s="9"/>
      <c r="U61" s="9"/>
      <c r="V61" s="9"/>
      <c r="W61" s="9"/>
      <c r="X61" s="9"/>
      <c r="Y61" s="8" t="str">
        <f>IFERROR((Table35[[#This Row],[F]]/Table35[[#This Row],[Total]]), "")</f>
        <v/>
      </c>
      <c r="Z61" s="8" t="str">
        <f>IFERROR((Table35[[#This Row],[M]]/Table35[[#This Row],[Total]]), "")</f>
        <v/>
      </c>
      <c r="AA61" s="8" t="str">
        <f>IFERROR((Table35[[#This Row],[Other]]/Table35[[#This Row],[Total]]), "")</f>
        <v/>
      </c>
      <c r="AB61" s="8" t="str">
        <f>IFERROR((Table35[[#This Row],[AmInd]]/Table35[[#This Row],[Total]]), "")</f>
        <v/>
      </c>
      <c r="AC61" s="8" t="str">
        <f>IFERROR((Table35[[#This Row],[Asian]]/Table35[[#This Row],[Total]]), "")</f>
        <v/>
      </c>
      <c r="AD61" s="8" t="str">
        <f>IFERROR((Table35[[#This Row],[Hispanic]]/Table35[[#This Row],[Total]]), "")</f>
        <v/>
      </c>
      <c r="AE61" s="8" t="str">
        <f>IFERROR((Table35[[#This Row],[Black]]/Table35[[#This Row],[Total]]), "")</f>
        <v/>
      </c>
      <c r="AF61" s="8" t="str">
        <f>IFERROR((Table35[[#This Row],[White]]/Table35[[#This Row],[Total]]), "")</f>
        <v/>
      </c>
      <c r="AG61" s="8" t="str">
        <f>IFERROR((Table35[[#This Row],[H/PI]]/Table35[[#This Row],[Total]]), "")</f>
        <v/>
      </c>
      <c r="AH61" s="8" t="str">
        <f>IFERROR((Table35[[#This Row],[Multi]]/Table35[[#This Row],[Total]]), "")</f>
        <v/>
      </c>
      <c r="AI61" s="8" t="str">
        <f>IFERROR((Table35[[#This Row],[Unknown]]/Table35[[#This Row],[Total]]), "")</f>
        <v/>
      </c>
      <c r="AJ61" s="8" t="str">
        <f>IFERROR((Table35[[#This Row],[Dis]]/Table35[[#This Row],[Total]]), "")</f>
        <v/>
      </c>
      <c r="AK61" s="8" t="str">
        <f>IFERROR((Table35[[#This Row],[ED]]/Table35[[#This Row],[Total]]), "")</f>
        <v/>
      </c>
      <c r="AL61" s="8" t="str">
        <f>IFERROR((Table35[[#This Row],[Non-trad]]/Table35[[#This Row],[Total]]), "")</f>
        <v/>
      </c>
      <c r="AM61" s="8" t="str">
        <f>IFERROR((Table35[[#This Row],[SP]]/Table35[[#This Row],[Total]]), "")</f>
        <v/>
      </c>
      <c r="AN61" s="8" t="str">
        <f>IFERROR((Table35[[#This Row],[OOW]]/Table35[[#This Row],[Total]]), "")</f>
        <v/>
      </c>
      <c r="AO61" s="8" t="str">
        <f>IFERROR((Table35[[#This Row],[EL]]/Table35[[#This Row],[Total]]), "")</f>
        <v/>
      </c>
      <c r="AP61" s="8" t="str">
        <f>IFERROR((Table35[[#This Row],[Homeless]]/Table35[[#This Row],[Total]]), "")</f>
        <v/>
      </c>
      <c r="AQ61" s="8" t="str">
        <f>IFERROR((Table35[[#This Row],[Foster]]/Table35[[#This Row],[Total]]), "")</f>
        <v/>
      </c>
      <c r="AR61" s="8" t="str">
        <f>IFERROR((Table35[[#This Row],[AD]]/Table35[[#This Row],[Total]]), "")</f>
        <v/>
      </c>
    </row>
    <row r="62" spans="1:44" x14ac:dyDescent="0.25">
      <c r="A62" s="35"/>
      <c r="B62" s="35"/>
      <c r="C62" s="35"/>
      <c r="D62" s="9"/>
      <c r="E62" s="9"/>
      <c r="F62" s="9"/>
      <c r="G62" s="9"/>
      <c r="H62" s="9"/>
      <c r="I62" s="9"/>
      <c r="J62" s="9"/>
      <c r="K62" s="9"/>
      <c r="L62" s="9"/>
      <c r="M62" s="9"/>
      <c r="N62" s="9"/>
      <c r="O62" s="9"/>
      <c r="P62" s="9"/>
      <c r="Q62" s="9"/>
      <c r="R62" s="9"/>
      <c r="S62" s="9"/>
      <c r="T62" s="9"/>
      <c r="U62" s="9"/>
      <c r="V62" s="9"/>
      <c r="W62" s="9"/>
      <c r="X62" s="9"/>
      <c r="Y62" s="8" t="str">
        <f>IFERROR((Table35[[#This Row],[F]]/Table35[[#This Row],[Total]]), "")</f>
        <v/>
      </c>
      <c r="Z62" s="8" t="str">
        <f>IFERROR((Table35[[#This Row],[M]]/Table35[[#This Row],[Total]]), "")</f>
        <v/>
      </c>
      <c r="AA62" s="8" t="str">
        <f>IFERROR((Table35[[#This Row],[Other]]/Table35[[#This Row],[Total]]), "")</f>
        <v/>
      </c>
      <c r="AB62" s="8" t="str">
        <f>IFERROR((Table35[[#This Row],[AmInd]]/Table35[[#This Row],[Total]]), "")</f>
        <v/>
      </c>
      <c r="AC62" s="8" t="str">
        <f>IFERROR((Table35[[#This Row],[Asian]]/Table35[[#This Row],[Total]]), "")</f>
        <v/>
      </c>
      <c r="AD62" s="8" t="str">
        <f>IFERROR((Table35[[#This Row],[Hispanic]]/Table35[[#This Row],[Total]]), "")</f>
        <v/>
      </c>
      <c r="AE62" s="8" t="str">
        <f>IFERROR((Table35[[#This Row],[Black]]/Table35[[#This Row],[Total]]), "")</f>
        <v/>
      </c>
      <c r="AF62" s="8" t="str">
        <f>IFERROR((Table35[[#This Row],[White]]/Table35[[#This Row],[Total]]), "")</f>
        <v/>
      </c>
      <c r="AG62" s="8" t="str">
        <f>IFERROR((Table35[[#This Row],[H/PI]]/Table35[[#This Row],[Total]]), "")</f>
        <v/>
      </c>
      <c r="AH62" s="8" t="str">
        <f>IFERROR((Table35[[#This Row],[Multi]]/Table35[[#This Row],[Total]]), "")</f>
        <v/>
      </c>
      <c r="AI62" s="8" t="str">
        <f>IFERROR((Table35[[#This Row],[Unknown]]/Table35[[#This Row],[Total]]), "")</f>
        <v/>
      </c>
      <c r="AJ62" s="8" t="str">
        <f>IFERROR((Table35[[#This Row],[Dis]]/Table35[[#This Row],[Total]]), "")</f>
        <v/>
      </c>
      <c r="AK62" s="8" t="str">
        <f>IFERROR((Table35[[#This Row],[ED]]/Table35[[#This Row],[Total]]), "")</f>
        <v/>
      </c>
      <c r="AL62" s="8" t="str">
        <f>IFERROR((Table35[[#This Row],[Non-trad]]/Table35[[#This Row],[Total]]), "")</f>
        <v/>
      </c>
      <c r="AM62" s="8" t="str">
        <f>IFERROR((Table35[[#This Row],[SP]]/Table35[[#This Row],[Total]]), "")</f>
        <v/>
      </c>
      <c r="AN62" s="8" t="str">
        <f>IFERROR((Table35[[#This Row],[OOW]]/Table35[[#This Row],[Total]]), "")</f>
        <v/>
      </c>
      <c r="AO62" s="8" t="str">
        <f>IFERROR((Table35[[#This Row],[EL]]/Table35[[#This Row],[Total]]), "")</f>
        <v/>
      </c>
      <c r="AP62" s="8" t="str">
        <f>IFERROR((Table35[[#This Row],[Homeless]]/Table35[[#This Row],[Total]]), "")</f>
        <v/>
      </c>
      <c r="AQ62" s="8" t="str">
        <f>IFERROR((Table35[[#This Row],[Foster]]/Table35[[#This Row],[Total]]), "")</f>
        <v/>
      </c>
      <c r="AR62" s="8" t="str">
        <f>IFERROR((Table35[[#This Row],[AD]]/Table35[[#This Row],[Total]]), "")</f>
        <v/>
      </c>
    </row>
    <row r="63" spans="1:44" x14ac:dyDescent="0.25">
      <c r="A63" s="35"/>
      <c r="B63" s="35"/>
      <c r="C63" s="35"/>
      <c r="D63" s="9"/>
      <c r="E63" s="9"/>
      <c r="F63" s="9"/>
      <c r="G63" s="9"/>
      <c r="H63" s="9"/>
      <c r="I63" s="9"/>
      <c r="J63" s="9"/>
      <c r="K63" s="9"/>
      <c r="L63" s="9"/>
      <c r="M63" s="9"/>
      <c r="N63" s="9"/>
      <c r="O63" s="9"/>
      <c r="P63" s="9"/>
      <c r="Q63" s="9"/>
      <c r="R63" s="9"/>
      <c r="S63" s="9"/>
      <c r="T63" s="9"/>
      <c r="U63" s="9"/>
      <c r="V63" s="9"/>
      <c r="W63" s="9"/>
      <c r="X63" s="9"/>
      <c r="Y63" s="8" t="str">
        <f>IFERROR((Table35[[#This Row],[F]]/Table35[[#This Row],[Total]]), "")</f>
        <v/>
      </c>
      <c r="Z63" s="8" t="str">
        <f>IFERROR((Table35[[#This Row],[M]]/Table35[[#This Row],[Total]]), "")</f>
        <v/>
      </c>
      <c r="AA63" s="8" t="str">
        <f>IFERROR((Table35[[#This Row],[Other]]/Table35[[#This Row],[Total]]), "")</f>
        <v/>
      </c>
      <c r="AB63" s="8" t="str">
        <f>IFERROR((Table35[[#This Row],[AmInd]]/Table35[[#This Row],[Total]]), "")</f>
        <v/>
      </c>
      <c r="AC63" s="8" t="str">
        <f>IFERROR((Table35[[#This Row],[Asian]]/Table35[[#This Row],[Total]]), "")</f>
        <v/>
      </c>
      <c r="AD63" s="8" t="str">
        <f>IFERROR((Table35[[#This Row],[Hispanic]]/Table35[[#This Row],[Total]]), "")</f>
        <v/>
      </c>
      <c r="AE63" s="8" t="str">
        <f>IFERROR((Table35[[#This Row],[Black]]/Table35[[#This Row],[Total]]), "")</f>
        <v/>
      </c>
      <c r="AF63" s="8" t="str">
        <f>IFERROR((Table35[[#This Row],[White]]/Table35[[#This Row],[Total]]), "")</f>
        <v/>
      </c>
      <c r="AG63" s="8" t="str">
        <f>IFERROR((Table35[[#This Row],[H/PI]]/Table35[[#This Row],[Total]]), "")</f>
        <v/>
      </c>
      <c r="AH63" s="8" t="str">
        <f>IFERROR((Table35[[#This Row],[Multi]]/Table35[[#This Row],[Total]]), "")</f>
        <v/>
      </c>
      <c r="AI63" s="8" t="str">
        <f>IFERROR((Table35[[#This Row],[Unknown]]/Table35[[#This Row],[Total]]), "")</f>
        <v/>
      </c>
      <c r="AJ63" s="8" t="str">
        <f>IFERROR((Table35[[#This Row],[Dis]]/Table35[[#This Row],[Total]]), "")</f>
        <v/>
      </c>
      <c r="AK63" s="8" t="str">
        <f>IFERROR((Table35[[#This Row],[ED]]/Table35[[#This Row],[Total]]), "")</f>
        <v/>
      </c>
      <c r="AL63" s="8" t="str">
        <f>IFERROR((Table35[[#This Row],[Non-trad]]/Table35[[#This Row],[Total]]), "")</f>
        <v/>
      </c>
      <c r="AM63" s="8" t="str">
        <f>IFERROR((Table35[[#This Row],[SP]]/Table35[[#This Row],[Total]]), "")</f>
        <v/>
      </c>
      <c r="AN63" s="8" t="str">
        <f>IFERROR((Table35[[#This Row],[OOW]]/Table35[[#This Row],[Total]]), "")</f>
        <v/>
      </c>
      <c r="AO63" s="8" t="str">
        <f>IFERROR((Table35[[#This Row],[EL]]/Table35[[#This Row],[Total]]), "")</f>
        <v/>
      </c>
      <c r="AP63" s="8" t="str">
        <f>IFERROR((Table35[[#This Row],[Homeless]]/Table35[[#This Row],[Total]]), "")</f>
        <v/>
      </c>
      <c r="AQ63" s="8" t="str">
        <f>IFERROR((Table35[[#This Row],[Foster]]/Table35[[#This Row],[Total]]), "")</f>
        <v/>
      </c>
      <c r="AR63" s="8" t="str">
        <f>IFERROR((Table35[[#This Row],[AD]]/Table35[[#This Row],[Total]]), "")</f>
        <v/>
      </c>
    </row>
    <row r="64" spans="1:44" x14ac:dyDescent="0.25">
      <c r="A64" s="35"/>
      <c r="B64" s="35"/>
      <c r="C64" s="35"/>
      <c r="D64" s="9"/>
      <c r="E64" s="9"/>
      <c r="F64" s="9"/>
      <c r="G64" s="9"/>
      <c r="H64" s="9"/>
      <c r="I64" s="9"/>
      <c r="J64" s="9"/>
      <c r="K64" s="9"/>
      <c r="L64" s="9"/>
      <c r="M64" s="9"/>
      <c r="N64" s="9"/>
      <c r="O64" s="9"/>
      <c r="P64" s="9"/>
      <c r="Q64" s="9"/>
      <c r="R64" s="9"/>
      <c r="S64" s="9"/>
      <c r="T64" s="9"/>
      <c r="U64" s="9"/>
      <c r="V64" s="9"/>
      <c r="W64" s="9"/>
      <c r="X64" s="9"/>
      <c r="Y64" s="8" t="str">
        <f>IFERROR((Table35[[#This Row],[F]]/Table35[[#This Row],[Total]]), "")</f>
        <v/>
      </c>
      <c r="Z64" s="8" t="str">
        <f>IFERROR((Table35[[#This Row],[M]]/Table35[[#This Row],[Total]]), "")</f>
        <v/>
      </c>
      <c r="AA64" s="8" t="str">
        <f>IFERROR((Table35[[#This Row],[Other]]/Table35[[#This Row],[Total]]), "")</f>
        <v/>
      </c>
      <c r="AB64" s="8" t="str">
        <f>IFERROR((Table35[[#This Row],[AmInd]]/Table35[[#This Row],[Total]]), "")</f>
        <v/>
      </c>
      <c r="AC64" s="8" t="str">
        <f>IFERROR((Table35[[#This Row],[Asian]]/Table35[[#This Row],[Total]]), "")</f>
        <v/>
      </c>
      <c r="AD64" s="8" t="str">
        <f>IFERROR((Table35[[#This Row],[Hispanic]]/Table35[[#This Row],[Total]]), "")</f>
        <v/>
      </c>
      <c r="AE64" s="8" t="str">
        <f>IFERROR((Table35[[#This Row],[Black]]/Table35[[#This Row],[Total]]), "")</f>
        <v/>
      </c>
      <c r="AF64" s="8" t="str">
        <f>IFERROR((Table35[[#This Row],[White]]/Table35[[#This Row],[Total]]), "")</f>
        <v/>
      </c>
      <c r="AG64" s="8" t="str">
        <f>IFERROR((Table35[[#This Row],[H/PI]]/Table35[[#This Row],[Total]]), "")</f>
        <v/>
      </c>
      <c r="AH64" s="8" t="str">
        <f>IFERROR((Table35[[#This Row],[Multi]]/Table35[[#This Row],[Total]]), "")</f>
        <v/>
      </c>
      <c r="AI64" s="8" t="str">
        <f>IFERROR((Table35[[#This Row],[Unknown]]/Table35[[#This Row],[Total]]), "")</f>
        <v/>
      </c>
      <c r="AJ64" s="8" t="str">
        <f>IFERROR((Table35[[#This Row],[Dis]]/Table35[[#This Row],[Total]]), "")</f>
        <v/>
      </c>
      <c r="AK64" s="8" t="str">
        <f>IFERROR((Table35[[#This Row],[ED]]/Table35[[#This Row],[Total]]), "")</f>
        <v/>
      </c>
      <c r="AL64" s="8" t="str">
        <f>IFERROR((Table35[[#This Row],[Non-trad]]/Table35[[#This Row],[Total]]), "")</f>
        <v/>
      </c>
      <c r="AM64" s="8" t="str">
        <f>IFERROR((Table35[[#This Row],[SP]]/Table35[[#This Row],[Total]]), "")</f>
        <v/>
      </c>
      <c r="AN64" s="8" t="str">
        <f>IFERROR((Table35[[#This Row],[OOW]]/Table35[[#This Row],[Total]]), "")</f>
        <v/>
      </c>
      <c r="AO64" s="8" t="str">
        <f>IFERROR((Table35[[#This Row],[EL]]/Table35[[#This Row],[Total]]), "")</f>
        <v/>
      </c>
      <c r="AP64" s="8" t="str">
        <f>IFERROR((Table35[[#This Row],[Homeless]]/Table35[[#This Row],[Total]]), "")</f>
        <v/>
      </c>
      <c r="AQ64" s="8" t="str">
        <f>IFERROR((Table35[[#This Row],[Foster]]/Table35[[#This Row],[Total]]), "")</f>
        <v/>
      </c>
      <c r="AR64" s="8" t="str">
        <f>IFERROR((Table35[[#This Row],[AD]]/Table35[[#This Row],[Total]]), "")</f>
        <v/>
      </c>
    </row>
    <row r="65" spans="1:44" x14ac:dyDescent="0.25">
      <c r="A65" s="35"/>
      <c r="B65" s="35"/>
      <c r="C65" s="35"/>
      <c r="D65" s="9"/>
      <c r="E65" s="9"/>
      <c r="F65" s="9"/>
      <c r="G65" s="9"/>
      <c r="H65" s="9"/>
      <c r="I65" s="9"/>
      <c r="J65" s="9"/>
      <c r="K65" s="9"/>
      <c r="L65" s="9"/>
      <c r="M65" s="9"/>
      <c r="N65" s="9"/>
      <c r="O65" s="9"/>
      <c r="P65" s="9"/>
      <c r="Q65" s="9"/>
      <c r="R65" s="9"/>
      <c r="S65" s="9"/>
      <c r="T65" s="9"/>
      <c r="U65" s="9"/>
      <c r="V65" s="9"/>
      <c r="W65" s="9"/>
      <c r="X65" s="9"/>
      <c r="Y65" s="8" t="str">
        <f>IFERROR((Table35[[#This Row],[F]]/Table35[[#This Row],[Total]]), "")</f>
        <v/>
      </c>
      <c r="Z65" s="8" t="str">
        <f>IFERROR((Table35[[#This Row],[M]]/Table35[[#This Row],[Total]]), "")</f>
        <v/>
      </c>
      <c r="AA65" s="8" t="str">
        <f>IFERROR((Table35[[#This Row],[Other]]/Table35[[#This Row],[Total]]), "")</f>
        <v/>
      </c>
      <c r="AB65" s="8" t="str">
        <f>IFERROR((Table35[[#This Row],[AmInd]]/Table35[[#This Row],[Total]]), "")</f>
        <v/>
      </c>
      <c r="AC65" s="8" t="str">
        <f>IFERROR((Table35[[#This Row],[Asian]]/Table35[[#This Row],[Total]]), "")</f>
        <v/>
      </c>
      <c r="AD65" s="8" t="str">
        <f>IFERROR((Table35[[#This Row],[Hispanic]]/Table35[[#This Row],[Total]]), "")</f>
        <v/>
      </c>
      <c r="AE65" s="8" t="str">
        <f>IFERROR((Table35[[#This Row],[Black]]/Table35[[#This Row],[Total]]), "")</f>
        <v/>
      </c>
      <c r="AF65" s="8" t="str">
        <f>IFERROR((Table35[[#This Row],[White]]/Table35[[#This Row],[Total]]), "")</f>
        <v/>
      </c>
      <c r="AG65" s="8" t="str">
        <f>IFERROR((Table35[[#This Row],[H/PI]]/Table35[[#This Row],[Total]]), "")</f>
        <v/>
      </c>
      <c r="AH65" s="8" t="str">
        <f>IFERROR((Table35[[#This Row],[Multi]]/Table35[[#This Row],[Total]]), "")</f>
        <v/>
      </c>
      <c r="AI65" s="8" t="str">
        <f>IFERROR((Table35[[#This Row],[Unknown]]/Table35[[#This Row],[Total]]), "")</f>
        <v/>
      </c>
      <c r="AJ65" s="8" t="str">
        <f>IFERROR((Table35[[#This Row],[Dis]]/Table35[[#This Row],[Total]]), "")</f>
        <v/>
      </c>
      <c r="AK65" s="8" t="str">
        <f>IFERROR((Table35[[#This Row],[ED]]/Table35[[#This Row],[Total]]), "")</f>
        <v/>
      </c>
      <c r="AL65" s="8" t="str">
        <f>IFERROR((Table35[[#This Row],[Non-trad]]/Table35[[#This Row],[Total]]), "")</f>
        <v/>
      </c>
      <c r="AM65" s="8" t="str">
        <f>IFERROR((Table35[[#This Row],[SP]]/Table35[[#This Row],[Total]]), "")</f>
        <v/>
      </c>
      <c r="AN65" s="8" t="str">
        <f>IFERROR((Table35[[#This Row],[OOW]]/Table35[[#This Row],[Total]]), "")</f>
        <v/>
      </c>
      <c r="AO65" s="8" t="str">
        <f>IFERROR((Table35[[#This Row],[EL]]/Table35[[#This Row],[Total]]), "")</f>
        <v/>
      </c>
      <c r="AP65" s="8" t="str">
        <f>IFERROR((Table35[[#This Row],[Homeless]]/Table35[[#This Row],[Total]]), "")</f>
        <v/>
      </c>
      <c r="AQ65" s="8" t="str">
        <f>IFERROR((Table35[[#This Row],[Foster]]/Table35[[#This Row],[Total]]), "")</f>
        <v/>
      </c>
      <c r="AR65" s="8" t="str">
        <f>IFERROR((Table35[[#This Row],[AD]]/Table35[[#This Row],[Total]]), "")</f>
        <v/>
      </c>
    </row>
    <row r="66" spans="1:44" x14ac:dyDescent="0.25">
      <c r="A66" s="35"/>
      <c r="B66" s="35"/>
      <c r="C66" s="35"/>
      <c r="D66" s="9"/>
      <c r="E66" s="9"/>
      <c r="F66" s="9"/>
      <c r="G66" s="9"/>
      <c r="H66" s="9"/>
      <c r="I66" s="9"/>
      <c r="J66" s="9"/>
      <c r="K66" s="9"/>
      <c r="L66" s="9"/>
      <c r="M66" s="9"/>
      <c r="N66" s="9"/>
      <c r="O66" s="9"/>
      <c r="P66" s="9"/>
      <c r="Q66" s="9"/>
      <c r="R66" s="9"/>
      <c r="S66" s="9"/>
      <c r="T66" s="9"/>
      <c r="U66" s="9"/>
      <c r="V66" s="9"/>
      <c r="W66" s="9"/>
      <c r="X66" s="9"/>
      <c r="Y66" s="8" t="str">
        <f>IFERROR((Table35[[#This Row],[F]]/Table35[[#This Row],[Total]]), "")</f>
        <v/>
      </c>
      <c r="Z66" s="8" t="str">
        <f>IFERROR((Table35[[#This Row],[M]]/Table35[[#This Row],[Total]]), "")</f>
        <v/>
      </c>
      <c r="AA66" s="8" t="str">
        <f>IFERROR((Table35[[#This Row],[Other]]/Table35[[#This Row],[Total]]), "")</f>
        <v/>
      </c>
      <c r="AB66" s="8" t="str">
        <f>IFERROR((Table35[[#This Row],[AmInd]]/Table35[[#This Row],[Total]]), "")</f>
        <v/>
      </c>
      <c r="AC66" s="8" t="str">
        <f>IFERROR((Table35[[#This Row],[Asian]]/Table35[[#This Row],[Total]]), "")</f>
        <v/>
      </c>
      <c r="AD66" s="8" t="str">
        <f>IFERROR((Table35[[#This Row],[Hispanic]]/Table35[[#This Row],[Total]]), "")</f>
        <v/>
      </c>
      <c r="AE66" s="8" t="str">
        <f>IFERROR((Table35[[#This Row],[Black]]/Table35[[#This Row],[Total]]), "")</f>
        <v/>
      </c>
      <c r="AF66" s="8" t="str">
        <f>IFERROR((Table35[[#This Row],[White]]/Table35[[#This Row],[Total]]), "")</f>
        <v/>
      </c>
      <c r="AG66" s="8" t="str">
        <f>IFERROR((Table35[[#This Row],[H/PI]]/Table35[[#This Row],[Total]]), "")</f>
        <v/>
      </c>
      <c r="AH66" s="8" t="str">
        <f>IFERROR((Table35[[#This Row],[Multi]]/Table35[[#This Row],[Total]]), "")</f>
        <v/>
      </c>
      <c r="AI66" s="8" t="str">
        <f>IFERROR((Table35[[#This Row],[Unknown]]/Table35[[#This Row],[Total]]), "")</f>
        <v/>
      </c>
      <c r="AJ66" s="8" t="str">
        <f>IFERROR((Table35[[#This Row],[Dis]]/Table35[[#This Row],[Total]]), "")</f>
        <v/>
      </c>
      <c r="AK66" s="8" t="str">
        <f>IFERROR((Table35[[#This Row],[ED]]/Table35[[#This Row],[Total]]), "")</f>
        <v/>
      </c>
      <c r="AL66" s="8" t="str">
        <f>IFERROR((Table35[[#This Row],[Non-trad]]/Table35[[#This Row],[Total]]), "")</f>
        <v/>
      </c>
      <c r="AM66" s="8" t="str">
        <f>IFERROR((Table35[[#This Row],[SP]]/Table35[[#This Row],[Total]]), "")</f>
        <v/>
      </c>
      <c r="AN66" s="8" t="str">
        <f>IFERROR((Table35[[#This Row],[OOW]]/Table35[[#This Row],[Total]]), "")</f>
        <v/>
      </c>
      <c r="AO66" s="8" t="str">
        <f>IFERROR((Table35[[#This Row],[EL]]/Table35[[#This Row],[Total]]), "")</f>
        <v/>
      </c>
      <c r="AP66" s="8" t="str">
        <f>IFERROR((Table35[[#This Row],[Homeless]]/Table35[[#This Row],[Total]]), "")</f>
        <v/>
      </c>
      <c r="AQ66" s="8" t="str">
        <f>IFERROR((Table35[[#This Row],[Foster]]/Table35[[#This Row],[Total]]), "")</f>
        <v/>
      </c>
      <c r="AR66" s="8" t="str">
        <f>IFERROR((Table35[[#This Row],[AD]]/Table35[[#This Row],[Total]]), "")</f>
        <v/>
      </c>
    </row>
    <row r="67" spans="1:44" x14ac:dyDescent="0.25">
      <c r="A67" s="35"/>
      <c r="B67" s="35"/>
      <c r="C67" s="35"/>
      <c r="D67" s="9"/>
      <c r="E67" s="9"/>
      <c r="F67" s="9"/>
      <c r="G67" s="9"/>
      <c r="H67" s="9"/>
      <c r="I67" s="9"/>
      <c r="J67" s="9"/>
      <c r="K67" s="9"/>
      <c r="L67" s="9"/>
      <c r="M67" s="9"/>
      <c r="N67" s="9"/>
      <c r="O67" s="9"/>
      <c r="P67" s="9"/>
      <c r="Q67" s="9"/>
      <c r="R67" s="9"/>
      <c r="S67" s="9"/>
      <c r="T67" s="9"/>
      <c r="U67" s="9"/>
      <c r="V67" s="9"/>
      <c r="W67" s="9"/>
      <c r="X67" s="9"/>
      <c r="Y67" s="8" t="str">
        <f>IFERROR((Table35[[#This Row],[F]]/Table35[[#This Row],[Total]]), "")</f>
        <v/>
      </c>
      <c r="Z67" s="8" t="str">
        <f>IFERROR((Table35[[#This Row],[M]]/Table35[[#This Row],[Total]]), "")</f>
        <v/>
      </c>
      <c r="AA67" s="8" t="str">
        <f>IFERROR((Table35[[#This Row],[Other]]/Table35[[#This Row],[Total]]), "")</f>
        <v/>
      </c>
      <c r="AB67" s="8" t="str">
        <f>IFERROR((Table35[[#This Row],[AmInd]]/Table35[[#This Row],[Total]]), "")</f>
        <v/>
      </c>
      <c r="AC67" s="8" t="str">
        <f>IFERROR((Table35[[#This Row],[Asian]]/Table35[[#This Row],[Total]]), "")</f>
        <v/>
      </c>
      <c r="AD67" s="8" t="str">
        <f>IFERROR((Table35[[#This Row],[Hispanic]]/Table35[[#This Row],[Total]]), "")</f>
        <v/>
      </c>
      <c r="AE67" s="8" t="str">
        <f>IFERROR((Table35[[#This Row],[Black]]/Table35[[#This Row],[Total]]), "")</f>
        <v/>
      </c>
      <c r="AF67" s="8" t="str">
        <f>IFERROR((Table35[[#This Row],[White]]/Table35[[#This Row],[Total]]), "")</f>
        <v/>
      </c>
      <c r="AG67" s="8" t="str">
        <f>IFERROR((Table35[[#This Row],[H/PI]]/Table35[[#This Row],[Total]]), "")</f>
        <v/>
      </c>
      <c r="AH67" s="8" t="str">
        <f>IFERROR((Table35[[#This Row],[Multi]]/Table35[[#This Row],[Total]]), "")</f>
        <v/>
      </c>
      <c r="AI67" s="8" t="str">
        <f>IFERROR((Table35[[#This Row],[Unknown]]/Table35[[#This Row],[Total]]), "")</f>
        <v/>
      </c>
      <c r="AJ67" s="8" t="str">
        <f>IFERROR((Table35[[#This Row],[Dis]]/Table35[[#This Row],[Total]]), "")</f>
        <v/>
      </c>
      <c r="AK67" s="8" t="str">
        <f>IFERROR((Table35[[#This Row],[ED]]/Table35[[#This Row],[Total]]), "")</f>
        <v/>
      </c>
      <c r="AL67" s="8" t="str">
        <f>IFERROR((Table35[[#This Row],[Non-trad]]/Table35[[#This Row],[Total]]), "")</f>
        <v/>
      </c>
      <c r="AM67" s="8" t="str">
        <f>IFERROR((Table35[[#This Row],[SP]]/Table35[[#This Row],[Total]]), "")</f>
        <v/>
      </c>
      <c r="AN67" s="8" t="str">
        <f>IFERROR((Table35[[#This Row],[OOW]]/Table35[[#This Row],[Total]]), "")</f>
        <v/>
      </c>
      <c r="AO67" s="8" t="str">
        <f>IFERROR((Table35[[#This Row],[EL]]/Table35[[#This Row],[Total]]), "")</f>
        <v/>
      </c>
      <c r="AP67" s="8" t="str">
        <f>IFERROR((Table35[[#This Row],[Homeless]]/Table35[[#This Row],[Total]]), "")</f>
        <v/>
      </c>
      <c r="AQ67" s="8" t="str">
        <f>IFERROR((Table35[[#This Row],[Foster]]/Table35[[#This Row],[Total]]), "")</f>
        <v/>
      </c>
      <c r="AR67" s="8" t="str">
        <f>IFERROR((Table35[[#This Row],[AD]]/Table35[[#This Row],[Total]]), "")</f>
        <v/>
      </c>
    </row>
    <row r="68" spans="1:44" x14ac:dyDescent="0.25">
      <c r="A68" s="35"/>
      <c r="B68" s="35"/>
      <c r="C68" s="35"/>
      <c r="D68" s="9"/>
      <c r="E68" s="9"/>
      <c r="F68" s="9"/>
      <c r="G68" s="9"/>
      <c r="H68" s="9"/>
      <c r="I68" s="9"/>
      <c r="J68" s="9"/>
      <c r="K68" s="9"/>
      <c r="L68" s="9"/>
      <c r="M68" s="9"/>
      <c r="N68" s="9"/>
      <c r="O68" s="9"/>
      <c r="P68" s="9"/>
      <c r="Q68" s="9"/>
      <c r="R68" s="9"/>
      <c r="S68" s="9"/>
      <c r="T68" s="9"/>
      <c r="U68" s="9"/>
      <c r="V68" s="9"/>
      <c r="W68" s="9"/>
      <c r="X68" s="9"/>
      <c r="Y68" s="8" t="str">
        <f>IFERROR((Table35[[#This Row],[F]]/Table35[[#This Row],[Total]]), "")</f>
        <v/>
      </c>
      <c r="Z68" s="8" t="str">
        <f>IFERROR((Table35[[#This Row],[M]]/Table35[[#This Row],[Total]]), "")</f>
        <v/>
      </c>
      <c r="AA68" s="8" t="str">
        <f>IFERROR((Table35[[#This Row],[Other]]/Table35[[#This Row],[Total]]), "")</f>
        <v/>
      </c>
      <c r="AB68" s="8" t="str">
        <f>IFERROR((Table35[[#This Row],[AmInd]]/Table35[[#This Row],[Total]]), "")</f>
        <v/>
      </c>
      <c r="AC68" s="8" t="str">
        <f>IFERROR((Table35[[#This Row],[Asian]]/Table35[[#This Row],[Total]]), "")</f>
        <v/>
      </c>
      <c r="AD68" s="8" t="str">
        <f>IFERROR((Table35[[#This Row],[Hispanic]]/Table35[[#This Row],[Total]]), "")</f>
        <v/>
      </c>
      <c r="AE68" s="8" t="str">
        <f>IFERROR((Table35[[#This Row],[Black]]/Table35[[#This Row],[Total]]), "")</f>
        <v/>
      </c>
      <c r="AF68" s="8" t="str">
        <f>IFERROR((Table35[[#This Row],[White]]/Table35[[#This Row],[Total]]), "")</f>
        <v/>
      </c>
      <c r="AG68" s="8" t="str">
        <f>IFERROR((Table35[[#This Row],[H/PI]]/Table35[[#This Row],[Total]]), "")</f>
        <v/>
      </c>
      <c r="AH68" s="8" t="str">
        <f>IFERROR((Table35[[#This Row],[Multi]]/Table35[[#This Row],[Total]]), "")</f>
        <v/>
      </c>
      <c r="AI68" s="8" t="str">
        <f>IFERROR((Table35[[#This Row],[Unknown]]/Table35[[#This Row],[Total]]), "")</f>
        <v/>
      </c>
      <c r="AJ68" s="8" t="str">
        <f>IFERROR((Table35[[#This Row],[Dis]]/Table35[[#This Row],[Total]]), "")</f>
        <v/>
      </c>
      <c r="AK68" s="8" t="str">
        <f>IFERROR((Table35[[#This Row],[ED]]/Table35[[#This Row],[Total]]), "")</f>
        <v/>
      </c>
      <c r="AL68" s="8" t="str">
        <f>IFERROR((Table35[[#This Row],[Non-trad]]/Table35[[#This Row],[Total]]), "")</f>
        <v/>
      </c>
      <c r="AM68" s="8" t="str">
        <f>IFERROR((Table35[[#This Row],[SP]]/Table35[[#This Row],[Total]]), "")</f>
        <v/>
      </c>
      <c r="AN68" s="8" t="str">
        <f>IFERROR((Table35[[#This Row],[OOW]]/Table35[[#This Row],[Total]]), "")</f>
        <v/>
      </c>
      <c r="AO68" s="8" t="str">
        <f>IFERROR((Table35[[#This Row],[EL]]/Table35[[#This Row],[Total]]), "")</f>
        <v/>
      </c>
      <c r="AP68" s="8" t="str">
        <f>IFERROR((Table35[[#This Row],[Homeless]]/Table35[[#This Row],[Total]]), "")</f>
        <v/>
      </c>
      <c r="AQ68" s="8" t="str">
        <f>IFERROR((Table35[[#This Row],[Foster]]/Table35[[#This Row],[Total]]), "")</f>
        <v/>
      </c>
      <c r="AR68" s="8" t="str">
        <f>IFERROR((Table35[[#This Row],[AD]]/Table35[[#This Row],[Total]]), "")</f>
        <v/>
      </c>
    </row>
    <row r="69" spans="1:44" x14ac:dyDescent="0.25">
      <c r="A69" s="35"/>
      <c r="B69" s="35"/>
      <c r="C69" s="35"/>
      <c r="D69" s="9"/>
      <c r="E69" s="9"/>
      <c r="F69" s="9"/>
      <c r="G69" s="9"/>
      <c r="H69" s="9"/>
      <c r="I69" s="9"/>
      <c r="J69" s="9"/>
      <c r="K69" s="9"/>
      <c r="L69" s="9"/>
      <c r="M69" s="9"/>
      <c r="N69" s="9"/>
      <c r="O69" s="9"/>
      <c r="P69" s="9"/>
      <c r="Q69" s="9"/>
      <c r="R69" s="9"/>
      <c r="S69" s="9"/>
      <c r="T69" s="9"/>
      <c r="U69" s="9"/>
      <c r="V69" s="9"/>
      <c r="W69" s="9"/>
      <c r="X69" s="9"/>
      <c r="Y69" s="8" t="str">
        <f>IFERROR((Table35[[#This Row],[F]]/Table35[[#This Row],[Total]]), "")</f>
        <v/>
      </c>
      <c r="Z69" s="8" t="str">
        <f>IFERROR((Table35[[#This Row],[M]]/Table35[[#This Row],[Total]]), "")</f>
        <v/>
      </c>
      <c r="AA69" s="8" t="str">
        <f>IFERROR((Table35[[#This Row],[Other]]/Table35[[#This Row],[Total]]), "")</f>
        <v/>
      </c>
      <c r="AB69" s="8" t="str">
        <f>IFERROR((Table35[[#This Row],[AmInd]]/Table35[[#This Row],[Total]]), "")</f>
        <v/>
      </c>
      <c r="AC69" s="8" t="str">
        <f>IFERROR((Table35[[#This Row],[Asian]]/Table35[[#This Row],[Total]]), "")</f>
        <v/>
      </c>
      <c r="AD69" s="8" t="str">
        <f>IFERROR((Table35[[#This Row],[Hispanic]]/Table35[[#This Row],[Total]]), "")</f>
        <v/>
      </c>
      <c r="AE69" s="8" t="str">
        <f>IFERROR((Table35[[#This Row],[Black]]/Table35[[#This Row],[Total]]), "")</f>
        <v/>
      </c>
      <c r="AF69" s="8" t="str">
        <f>IFERROR((Table35[[#This Row],[White]]/Table35[[#This Row],[Total]]), "")</f>
        <v/>
      </c>
      <c r="AG69" s="8" t="str">
        <f>IFERROR((Table35[[#This Row],[H/PI]]/Table35[[#This Row],[Total]]), "")</f>
        <v/>
      </c>
      <c r="AH69" s="8" t="str">
        <f>IFERROR((Table35[[#This Row],[Multi]]/Table35[[#This Row],[Total]]), "")</f>
        <v/>
      </c>
      <c r="AI69" s="8" t="str">
        <f>IFERROR((Table35[[#This Row],[Unknown]]/Table35[[#This Row],[Total]]), "")</f>
        <v/>
      </c>
      <c r="AJ69" s="8" t="str">
        <f>IFERROR((Table35[[#This Row],[Dis]]/Table35[[#This Row],[Total]]), "")</f>
        <v/>
      </c>
      <c r="AK69" s="8" t="str">
        <f>IFERROR((Table35[[#This Row],[ED]]/Table35[[#This Row],[Total]]), "")</f>
        <v/>
      </c>
      <c r="AL69" s="8" t="str">
        <f>IFERROR((Table35[[#This Row],[Non-trad]]/Table35[[#This Row],[Total]]), "")</f>
        <v/>
      </c>
      <c r="AM69" s="8" t="str">
        <f>IFERROR((Table35[[#This Row],[SP]]/Table35[[#This Row],[Total]]), "")</f>
        <v/>
      </c>
      <c r="AN69" s="8" t="str">
        <f>IFERROR((Table35[[#This Row],[OOW]]/Table35[[#This Row],[Total]]), "")</f>
        <v/>
      </c>
      <c r="AO69" s="8" t="str">
        <f>IFERROR((Table35[[#This Row],[EL]]/Table35[[#This Row],[Total]]), "")</f>
        <v/>
      </c>
      <c r="AP69" s="8" t="str">
        <f>IFERROR((Table35[[#This Row],[Homeless]]/Table35[[#This Row],[Total]]), "")</f>
        <v/>
      </c>
      <c r="AQ69" s="8" t="str">
        <f>IFERROR((Table35[[#This Row],[Foster]]/Table35[[#This Row],[Total]]), "")</f>
        <v/>
      </c>
      <c r="AR69" s="8" t="str">
        <f>IFERROR((Table35[[#This Row],[AD]]/Table35[[#This Row],[Total]]), "")</f>
        <v/>
      </c>
    </row>
    <row r="70" spans="1:44" x14ac:dyDescent="0.25">
      <c r="A70" s="35"/>
      <c r="B70" s="35"/>
      <c r="C70" s="35"/>
      <c r="D70" s="9"/>
      <c r="E70" s="9"/>
      <c r="F70" s="9"/>
      <c r="G70" s="9"/>
      <c r="H70" s="9"/>
      <c r="I70" s="9"/>
      <c r="J70" s="9"/>
      <c r="K70" s="9"/>
      <c r="L70" s="9"/>
      <c r="M70" s="9"/>
      <c r="N70" s="9"/>
      <c r="O70" s="9"/>
      <c r="P70" s="9"/>
      <c r="Q70" s="9"/>
      <c r="R70" s="9"/>
      <c r="S70" s="9"/>
      <c r="T70" s="9"/>
      <c r="U70" s="9"/>
      <c r="V70" s="9"/>
      <c r="W70" s="9"/>
      <c r="X70" s="9"/>
      <c r="Y70" s="8" t="str">
        <f>IFERROR((Table35[[#This Row],[F]]/Table35[[#This Row],[Total]]), "")</f>
        <v/>
      </c>
      <c r="Z70" s="8" t="str">
        <f>IFERROR((Table35[[#This Row],[M]]/Table35[[#This Row],[Total]]), "")</f>
        <v/>
      </c>
      <c r="AA70" s="8" t="str">
        <f>IFERROR((Table35[[#This Row],[Other]]/Table35[[#This Row],[Total]]), "")</f>
        <v/>
      </c>
      <c r="AB70" s="8" t="str">
        <f>IFERROR((Table35[[#This Row],[AmInd]]/Table35[[#This Row],[Total]]), "")</f>
        <v/>
      </c>
      <c r="AC70" s="8" t="str">
        <f>IFERROR((Table35[[#This Row],[Asian]]/Table35[[#This Row],[Total]]), "")</f>
        <v/>
      </c>
      <c r="AD70" s="8" t="str">
        <f>IFERROR((Table35[[#This Row],[Hispanic]]/Table35[[#This Row],[Total]]), "")</f>
        <v/>
      </c>
      <c r="AE70" s="8" t="str">
        <f>IFERROR((Table35[[#This Row],[Black]]/Table35[[#This Row],[Total]]), "")</f>
        <v/>
      </c>
      <c r="AF70" s="8" t="str">
        <f>IFERROR((Table35[[#This Row],[White]]/Table35[[#This Row],[Total]]), "")</f>
        <v/>
      </c>
      <c r="AG70" s="8" t="str">
        <f>IFERROR((Table35[[#This Row],[H/PI]]/Table35[[#This Row],[Total]]), "")</f>
        <v/>
      </c>
      <c r="AH70" s="8" t="str">
        <f>IFERROR((Table35[[#This Row],[Multi]]/Table35[[#This Row],[Total]]), "")</f>
        <v/>
      </c>
      <c r="AI70" s="8" t="str">
        <f>IFERROR((Table35[[#This Row],[Unknown]]/Table35[[#This Row],[Total]]), "")</f>
        <v/>
      </c>
      <c r="AJ70" s="8" t="str">
        <f>IFERROR((Table35[[#This Row],[Dis]]/Table35[[#This Row],[Total]]), "")</f>
        <v/>
      </c>
      <c r="AK70" s="8" t="str">
        <f>IFERROR((Table35[[#This Row],[ED]]/Table35[[#This Row],[Total]]), "")</f>
        <v/>
      </c>
      <c r="AL70" s="8" t="str">
        <f>IFERROR((Table35[[#This Row],[Non-trad]]/Table35[[#This Row],[Total]]), "")</f>
        <v/>
      </c>
      <c r="AM70" s="8" t="str">
        <f>IFERROR((Table35[[#This Row],[SP]]/Table35[[#This Row],[Total]]), "")</f>
        <v/>
      </c>
      <c r="AN70" s="8" t="str">
        <f>IFERROR((Table35[[#This Row],[OOW]]/Table35[[#This Row],[Total]]), "")</f>
        <v/>
      </c>
      <c r="AO70" s="8" t="str">
        <f>IFERROR((Table35[[#This Row],[EL]]/Table35[[#This Row],[Total]]), "")</f>
        <v/>
      </c>
      <c r="AP70" s="8" t="str">
        <f>IFERROR((Table35[[#This Row],[Homeless]]/Table35[[#This Row],[Total]]), "")</f>
        <v/>
      </c>
      <c r="AQ70" s="8" t="str">
        <f>IFERROR((Table35[[#This Row],[Foster]]/Table35[[#This Row],[Total]]), "")</f>
        <v/>
      </c>
      <c r="AR70" s="8" t="str">
        <f>IFERROR((Table35[[#This Row],[AD]]/Table35[[#This Row],[Total]]), "")</f>
        <v/>
      </c>
    </row>
    <row r="71" spans="1:44" x14ac:dyDescent="0.25">
      <c r="A71" s="35"/>
      <c r="B71" s="35"/>
      <c r="C71" s="35"/>
      <c r="D71" s="9"/>
      <c r="E71" s="9"/>
      <c r="F71" s="9"/>
      <c r="G71" s="9"/>
      <c r="H71" s="9"/>
      <c r="I71" s="9"/>
      <c r="J71" s="9"/>
      <c r="K71" s="9"/>
      <c r="L71" s="9"/>
      <c r="M71" s="9"/>
      <c r="N71" s="9"/>
      <c r="O71" s="9"/>
      <c r="P71" s="9"/>
      <c r="Q71" s="9"/>
      <c r="R71" s="9"/>
      <c r="S71" s="9"/>
      <c r="T71" s="9"/>
      <c r="U71" s="9"/>
      <c r="V71" s="9"/>
      <c r="W71" s="9"/>
      <c r="X71" s="9"/>
      <c r="Y71" s="8" t="str">
        <f>IFERROR((Table35[[#This Row],[F]]/Table35[[#This Row],[Total]]), "")</f>
        <v/>
      </c>
      <c r="Z71" s="8" t="str">
        <f>IFERROR((Table35[[#This Row],[M]]/Table35[[#This Row],[Total]]), "")</f>
        <v/>
      </c>
      <c r="AA71" s="8" t="str">
        <f>IFERROR((Table35[[#This Row],[Other]]/Table35[[#This Row],[Total]]), "")</f>
        <v/>
      </c>
      <c r="AB71" s="8" t="str">
        <f>IFERROR((Table35[[#This Row],[AmInd]]/Table35[[#This Row],[Total]]), "")</f>
        <v/>
      </c>
      <c r="AC71" s="8" t="str">
        <f>IFERROR((Table35[[#This Row],[Asian]]/Table35[[#This Row],[Total]]), "")</f>
        <v/>
      </c>
      <c r="AD71" s="8" t="str">
        <f>IFERROR((Table35[[#This Row],[Hispanic]]/Table35[[#This Row],[Total]]), "")</f>
        <v/>
      </c>
      <c r="AE71" s="8" t="str">
        <f>IFERROR((Table35[[#This Row],[Black]]/Table35[[#This Row],[Total]]), "")</f>
        <v/>
      </c>
      <c r="AF71" s="8" t="str">
        <f>IFERROR((Table35[[#This Row],[White]]/Table35[[#This Row],[Total]]), "")</f>
        <v/>
      </c>
      <c r="AG71" s="8" t="str">
        <f>IFERROR((Table35[[#This Row],[H/PI]]/Table35[[#This Row],[Total]]), "")</f>
        <v/>
      </c>
      <c r="AH71" s="8" t="str">
        <f>IFERROR((Table35[[#This Row],[Multi]]/Table35[[#This Row],[Total]]), "")</f>
        <v/>
      </c>
      <c r="AI71" s="8" t="str">
        <f>IFERROR((Table35[[#This Row],[Unknown]]/Table35[[#This Row],[Total]]), "")</f>
        <v/>
      </c>
      <c r="AJ71" s="8" t="str">
        <f>IFERROR((Table35[[#This Row],[Dis]]/Table35[[#This Row],[Total]]), "")</f>
        <v/>
      </c>
      <c r="AK71" s="8" t="str">
        <f>IFERROR((Table35[[#This Row],[ED]]/Table35[[#This Row],[Total]]), "")</f>
        <v/>
      </c>
      <c r="AL71" s="8" t="str">
        <f>IFERROR((Table35[[#This Row],[Non-trad]]/Table35[[#This Row],[Total]]), "")</f>
        <v/>
      </c>
      <c r="AM71" s="8" t="str">
        <f>IFERROR((Table35[[#This Row],[SP]]/Table35[[#This Row],[Total]]), "")</f>
        <v/>
      </c>
      <c r="AN71" s="8" t="str">
        <f>IFERROR((Table35[[#This Row],[OOW]]/Table35[[#This Row],[Total]]), "")</f>
        <v/>
      </c>
      <c r="AO71" s="8" t="str">
        <f>IFERROR((Table35[[#This Row],[EL]]/Table35[[#This Row],[Total]]), "")</f>
        <v/>
      </c>
      <c r="AP71" s="8" t="str">
        <f>IFERROR((Table35[[#This Row],[Homeless]]/Table35[[#This Row],[Total]]), "")</f>
        <v/>
      </c>
      <c r="AQ71" s="8" t="str">
        <f>IFERROR((Table35[[#This Row],[Foster]]/Table35[[#This Row],[Total]]), "")</f>
        <v/>
      </c>
      <c r="AR71" s="8" t="str">
        <f>IFERROR((Table35[[#This Row],[AD]]/Table35[[#This Row],[Total]]), "")</f>
        <v/>
      </c>
    </row>
    <row r="72" spans="1:44" x14ac:dyDescent="0.25">
      <c r="A72" s="35"/>
      <c r="B72" s="35"/>
      <c r="C72" s="35"/>
      <c r="D72" s="9"/>
      <c r="E72" s="9"/>
      <c r="F72" s="9"/>
      <c r="G72" s="9"/>
      <c r="H72" s="9"/>
      <c r="I72" s="9"/>
      <c r="J72" s="9"/>
      <c r="K72" s="9"/>
      <c r="L72" s="9"/>
      <c r="M72" s="9"/>
      <c r="N72" s="9"/>
      <c r="O72" s="9"/>
      <c r="P72" s="9"/>
      <c r="Q72" s="9"/>
      <c r="R72" s="9"/>
      <c r="S72" s="9"/>
      <c r="T72" s="9"/>
      <c r="U72" s="9"/>
      <c r="V72" s="9"/>
      <c r="W72" s="9"/>
      <c r="X72" s="9"/>
      <c r="Y72" s="8" t="str">
        <f>IFERROR((Table35[[#This Row],[F]]/Table35[[#This Row],[Total]]), "")</f>
        <v/>
      </c>
      <c r="Z72" s="8" t="str">
        <f>IFERROR((Table35[[#This Row],[M]]/Table35[[#This Row],[Total]]), "")</f>
        <v/>
      </c>
      <c r="AA72" s="8" t="str">
        <f>IFERROR((Table35[[#This Row],[Other]]/Table35[[#This Row],[Total]]), "")</f>
        <v/>
      </c>
      <c r="AB72" s="8" t="str">
        <f>IFERROR((Table35[[#This Row],[AmInd]]/Table35[[#This Row],[Total]]), "")</f>
        <v/>
      </c>
      <c r="AC72" s="8" t="str">
        <f>IFERROR((Table35[[#This Row],[Asian]]/Table35[[#This Row],[Total]]), "")</f>
        <v/>
      </c>
      <c r="AD72" s="8" t="str">
        <f>IFERROR((Table35[[#This Row],[Hispanic]]/Table35[[#This Row],[Total]]), "")</f>
        <v/>
      </c>
      <c r="AE72" s="8" t="str">
        <f>IFERROR((Table35[[#This Row],[Black]]/Table35[[#This Row],[Total]]), "")</f>
        <v/>
      </c>
      <c r="AF72" s="8" t="str">
        <f>IFERROR((Table35[[#This Row],[White]]/Table35[[#This Row],[Total]]), "")</f>
        <v/>
      </c>
      <c r="AG72" s="8" t="str">
        <f>IFERROR((Table35[[#This Row],[H/PI]]/Table35[[#This Row],[Total]]), "")</f>
        <v/>
      </c>
      <c r="AH72" s="8" t="str">
        <f>IFERROR((Table35[[#This Row],[Multi]]/Table35[[#This Row],[Total]]), "")</f>
        <v/>
      </c>
      <c r="AI72" s="8" t="str">
        <f>IFERROR((Table35[[#This Row],[Unknown]]/Table35[[#This Row],[Total]]), "")</f>
        <v/>
      </c>
      <c r="AJ72" s="8" t="str">
        <f>IFERROR((Table35[[#This Row],[Dis]]/Table35[[#This Row],[Total]]), "")</f>
        <v/>
      </c>
      <c r="AK72" s="8" t="str">
        <f>IFERROR((Table35[[#This Row],[ED]]/Table35[[#This Row],[Total]]), "")</f>
        <v/>
      </c>
      <c r="AL72" s="8" t="str">
        <f>IFERROR((Table35[[#This Row],[Non-trad]]/Table35[[#This Row],[Total]]), "")</f>
        <v/>
      </c>
      <c r="AM72" s="8" t="str">
        <f>IFERROR((Table35[[#This Row],[SP]]/Table35[[#This Row],[Total]]), "")</f>
        <v/>
      </c>
      <c r="AN72" s="8" t="str">
        <f>IFERROR((Table35[[#This Row],[OOW]]/Table35[[#This Row],[Total]]), "")</f>
        <v/>
      </c>
      <c r="AO72" s="8" t="str">
        <f>IFERROR((Table35[[#This Row],[EL]]/Table35[[#This Row],[Total]]), "")</f>
        <v/>
      </c>
      <c r="AP72" s="8" t="str">
        <f>IFERROR((Table35[[#This Row],[Homeless]]/Table35[[#This Row],[Total]]), "")</f>
        <v/>
      </c>
      <c r="AQ72" s="8" t="str">
        <f>IFERROR((Table35[[#This Row],[Foster]]/Table35[[#This Row],[Total]]), "")</f>
        <v/>
      </c>
      <c r="AR72" s="8" t="str">
        <f>IFERROR((Table35[[#This Row],[AD]]/Table35[[#This Row],[Total]]), "")</f>
        <v/>
      </c>
    </row>
    <row r="73" spans="1:44" x14ac:dyDescent="0.25">
      <c r="A73" s="35"/>
      <c r="B73" s="35"/>
      <c r="C73" s="35"/>
      <c r="D73" s="9"/>
      <c r="E73" s="9"/>
      <c r="F73" s="9"/>
      <c r="G73" s="9"/>
      <c r="H73" s="9"/>
      <c r="I73" s="9"/>
      <c r="J73" s="9"/>
      <c r="K73" s="9"/>
      <c r="L73" s="9"/>
      <c r="M73" s="9"/>
      <c r="N73" s="9"/>
      <c r="O73" s="9"/>
      <c r="P73" s="9"/>
      <c r="Q73" s="9"/>
      <c r="R73" s="9"/>
      <c r="S73" s="9"/>
      <c r="T73" s="9"/>
      <c r="U73" s="9"/>
      <c r="V73" s="9"/>
      <c r="W73" s="9"/>
      <c r="X73" s="9"/>
      <c r="Y73" s="8" t="str">
        <f>IFERROR((Table35[[#This Row],[F]]/Table35[[#This Row],[Total]]), "")</f>
        <v/>
      </c>
      <c r="Z73" s="8" t="str">
        <f>IFERROR((Table35[[#This Row],[M]]/Table35[[#This Row],[Total]]), "")</f>
        <v/>
      </c>
      <c r="AA73" s="8" t="str">
        <f>IFERROR((Table35[[#This Row],[Other]]/Table35[[#This Row],[Total]]), "")</f>
        <v/>
      </c>
      <c r="AB73" s="8" t="str">
        <f>IFERROR((Table35[[#This Row],[AmInd]]/Table35[[#This Row],[Total]]), "")</f>
        <v/>
      </c>
      <c r="AC73" s="8" t="str">
        <f>IFERROR((Table35[[#This Row],[Asian]]/Table35[[#This Row],[Total]]), "")</f>
        <v/>
      </c>
      <c r="AD73" s="8" t="str">
        <f>IFERROR((Table35[[#This Row],[Hispanic]]/Table35[[#This Row],[Total]]), "")</f>
        <v/>
      </c>
      <c r="AE73" s="8" t="str">
        <f>IFERROR((Table35[[#This Row],[Black]]/Table35[[#This Row],[Total]]), "")</f>
        <v/>
      </c>
      <c r="AF73" s="8" t="str">
        <f>IFERROR((Table35[[#This Row],[White]]/Table35[[#This Row],[Total]]), "")</f>
        <v/>
      </c>
      <c r="AG73" s="8" t="str">
        <f>IFERROR((Table35[[#This Row],[H/PI]]/Table35[[#This Row],[Total]]), "")</f>
        <v/>
      </c>
      <c r="AH73" s="8" t="str">
        <f>IFERROR((Table35[[#This Row],[Multi]]/Table35[[#This Row],[Total]]), "")</f>
        <v/>
      </c>
      <c r="AI73" s="8" t="str">
        <f>IFERROR((Table35[[#This Row],[Unknown]]/Table35[[#This Row],[Total]]), "")</f>
        <v/>
      </c>
      <c r="AJ73" s="8" t="str">
        <f>IFERROR((Table35[[#This Row],[Dis]]/Table35[[#This Row],[Total]]), "")</f>
        <v/>
      </c>
      <c r="AK73" s="8" t="str">
        <f>IFERROR((Table35[[#This Row],[ED]]/Table35[[#This Row],[Total]]), "")</f>
        <v/>
      </c>
      <c r="AL73" s="8" t="str">
        <f>IFERROR((Table35[[#This Row],[Non-trad]]/Table35[[#This Row],[Total]]), "")</f>
        <v/>
      </c>
      <c r="AM73" s="8" t="str">
        <f>IFERROR((Table35[[#This Row],[SP]]/Table35[[#This Row],[Total]]), "")</f>
        <v/>
      </c>
      <c r="AN73" s="8" t="str">
        <f>IFERROR((Table35[[#This Row],[OOW]]/Table35[[#This Row],[Total]]), "")</f>
        <v/>
      </c>
      <c r="AO73" s="8" t="str">
        <f>IFERROR((Table35[[#This Row],[EL]]/Table35[[#This Row],[Total]]), "")</f>
        <v/>
      </c>
      <c r="AP73" s="8" t="str">
        <f>IFERROR((Table35[[#This Row],[Homeless]]/Table35[[#This Row],[Total]]), "")</f>
        <v/>
      </c>
      <c r="AQ73" s="8" t="str">
        <f>IFERROR((Table35[[#This Row],[Foster]]/Table35[[#This Row],[Total]]), "")</f>
        <v/>
      </c>
      <c r="AR73" s="8" t="str">
        <f>IFERROR((Table35[[#This Row],[AD]]/Table35[[#This Row],[Total]]), "")</f>
        <v/>
      </c>
    </row>
    <row r="74" spans="1:44" x14ac:dyDescent="0.25">
      <c r="A74" s="35"/>
      <c r="B74" s="35"/>
      <c r="C74" s="35"/>
      <c r="D74" s="9"/>
      <c r="E74" s="9"/>
      <c r="F74" s="9"/>
      <c r="G74" s="9"/>
      <c r="H74" s="9"/>
      <c r="I74" s="9"/>
      <c r="J74" s="9"/>
      <c r="K74" s="9"/>
      <c r="L74" s="9"/>
      <c r="M74" s="9"/>
      <c r="N74" s="9"/>
      <c r="O74" s="9"/>
      <c r="P74" s="9"/>
      <c r="Q74" s="9"/>
      <c r="R74" s="9"/>
      <c r="S74" s="9"/>
      <c r="T74" s="9"/>
      <c r="U74" s="9"/>
      <c r="V74" s="9"/>
      <c r="W74" s="9"/>
      <c r="X74" s="9"/>
      <c r="Y74" s="8" t="str">
        <f>IFERROR((Table35[[#This Row],[F]]/Table35[[#This Row],[Total]]), "")</f>
        <v/>
      </c>
      <c r="Z74" s="8" t="str">
        <f>IFERROR((Table35[[#This Row],[M]]/Table35[[#This Row],[Total]]), "")</f>
        <v/>
      </c>
      <c r="AA74" s="8" t="str">
        <f>IFERROR((Table35[[#This Row],[Other]]/Table35[[#This Row],[Total]]), "")</f>
        <v/>
      </c>
      <c r="AB74" s="8" t="str">
        <f>IFERROR((Table35[[#This Row],[AmInd]]/Table35[[#This Row],[Total]]), "")</f>
        <v/>
      </c>
      <c r="AC74" s="8" t="str">
        <f>IFERROR((Table35[[#This Row],[Asian]]/Table35[[#This Row],[Total]]), "")</f>
        <v/>
      </c>
      <c r="AD74" s="8" t="str">
        <f>IFERROR((Table35[[#This Row],[Hispanic]]/Table35[[#This Row],[Total]]), "")</f>
        <v/>
      </c>
      <c r="AE74" s="8" t="str">
        <f>IFERROR((Table35[[#This Row],[Black]]/Table35[[#This Row],[Total]]), "")</f>
        <v/>
      </c>
      <c r="AF74" s="8" t="str">
        <f>IFERROR((Table35[[#This Row],[White]]/Table35[[#This Row],[Total]]), "")</f>
        <v/>
      </c>
      <c r="AG74" s="8" t="str">
        <f>IFERROR((Table35[[#This Row],[H/PI]]/Table35[[#This Row],[Total]]), "")</f>
        <v/>
      </c>
      <c r="AH74" s="8" t="str">
        <f>IFERROR((Table35[[#This Row],[Multi]]/Table35[[#This Row],[Total]]), "")</f>
        <v/>
      </c>
      <c r="AI74" s="8" t="str">
        <f>IFERROR((Table35[[#This Row],[Unknown]]/Table35[[#This Row],[Total]]), "")</f>
        <v/>
      </c>
      <c r="AJ74" s="8" t="str">
        <f>IFERROR((Table35[[#This Row],[Dis]]/Table35[[#This Row],[Total]]), "")</f>
        <v/>
      </c>
      <c r="AK74" s="8" t="str">
        <f>IFERROR((Table35[[#This Row],[ED]]/Table35[[#This Row],[Total]]), "")</f>
        <v/>
      </c>
      <c r="AL74" s="8" t="str">
        <f>IFERROR((Table35[[#This Row],[Non-trad]]/Table35[[#This Row],[Total]]), "")</f>
        <v/>
      </c>
      <c r="AM74" s="8" t="str">
        <f>IFERROR((Table35[[#This Row],[SP]]/Table35[[#This Row],[Total]]), "")</f>
        <v/>
      </c>
      <c r="AN74" s="8" t="str">
        <f>IFERROR((Table35[[#This Row],[OOW]]/Table35[[#This Row],[Total]]), "")</f>
        <v/>
      </c>
      <c r="AO74" s="8" t="str">
        <f>IFERROR((Table35[[#This Row],[EL]]/Table35[[#This Row],[Total]]), "")</f>
        <v/>
      </c>
      <c r="AP74" s="8" t="str">
        <f>IFERROR((Table35[[#This Row],[Homeless]]/Table35[[#This Row],[Total]]), "")</f>
        <v/>
      </c>
      <c r="AQ74" s="8" t="str">
        <f>IFERROR((Table35[[#This Row],[Foster]]/Table35[[#This Row],[Total]]), "")</f>
        <v/>
      </c>
      <c r="AR74" s="8" t="str">
        <f>IFERROR((Table35[[#This Row],[AD]]/Table35[[#This Row],[Total]]), "")</f>
        <v/>
      </c>
    </row>
    <row r="75" spans="1:44" x14ac:dyDescent="0.25">
      <c r="A75" s="35"/>
      <c r="B75" s="35"/>
      <c r="C75" s="35"/>
      <c r="D75" s="9"/>
      <c r="E75" s="9"/>
      <c r="F75" s="9"/>
      <c r="G75" s="9"/>
      <c r="H75" s="9"/>
      <c r="I75" s="9"/>
      <c r="J75" s="9"/>
      <c r="K75" s="9"/>
      <c r="L75" s="9"/>
      <c r="M75" s="9"/>
      <c r="N75" s="9"/>
      <c r="O75" s="9"/>
      <c r="P75" s="9"/>
      <c r="Q75" s="9"/>
      <c r="R75" s="9"/>
      <c r="S75" s="9"/>
      <c r="T75" s="9"/>
      <c r="U75" s="9"/>
      <c r="V75" s="9"/>
      <c r="W75" s="9"/>
      <c r="X75" s="9"/>
      <c r="Y75" s="8" t="str">
        <f>IFERROR((Table35[[#This Row],[F]]/Table35[[#This Row],[Total]]), "")</f>
        <v/>
      </c>
      <c r="Z75" s="8" t="str">
        <f>IFERROR((Table35[[#This Row],[M]]/Table35[[#This Row],[Total]]), "")</f>
        <v/>
      </c>
      <c r="AA75" s="8" t="str">
        <f>IFERROR((Table35[[#This Row],[Other]]/Table35[[#This Row],[Total]]), "")</f>
        <v/>
      </c>
      <c r="AB75" s="8" t="str">
        <f>IFERROR((Table35[[#This Row],[AmInd]]/Table35[[#This Row],[Total]]), "")</f>
        <v/>
      </c>
      <c r="AC75" s="8" t="str">
        <f>IFERROR((Table35[[#This Row],[Asian]]/Table35[[#This Row],[Total]]), "")</f>
        <v/>
      </c>
      <c r="AD75" s="8" t="str">
        <f>IFERROR((Table35[[#This Row],[Hispanic]]/Table35[[#This Row],[Total]]), "")</f>
        <v/>
      </c>
      <c r="AE75" s="8" t="str">
        <f>IFERROR((Table35[[#This Row],[Black]]/Table35[[#This Row],[Total]]), "")</f>
        <v/>
      </c>
      <c r="AF75" s="8" t="str">
        <f>IFERROR((Table35[[#This Row],[White]]/Table35[[#This Row],[Total]]), "")</f>
        <v/>
      </c>
      <c r="AG75" s="8" t="str">
        <f>IFERROR((Table35[[#This Row],[H/PI]]/Table35[[#This Row],[Total]]), "")</f>
        <v/>
      </c>
      <c r="AH75" s="8" t="str">
        <f>IFERROR((Table35[[#This Row],[Multi]]/Table35[[#This Row],[Total]]), "")</f>
        <v/>
      </c>
      <c r="AI75" s="8" t="str">
        <f>IFERROR((Table35[[#This Row],[Unknown]]/Table35[[#This Row],[Total]]), "")</f>
        <v/>
      </c>
      <c r="AJ75" s="8" t="str">
        <f>IFERROR((Table35[[#This Row],[Dis]]/Table35[[#This Row],[Total]]), "")</f>
        <v/>
      </c>
      <c r="AK75" s="8" t="str">
        <f>IFERROR((Table35[[#This Row],[ED]]/Table35[[#This Row],[Total]]), "")</f>
        <v/>
      </c>
      <c r="AL75" s="8" t="str">
        <f>IFERROR((Table35[[#This Row],[Non-trad]]/Table35[[#This Row],[Total]]), "")</f>
        <v/>
      </c>
      <c r="AM75" s="8" t="str">
        <f>IFERROR((Table35[[#This Row],[SP]]/Table35[[#This Row],[Total]]), "")</f>
        <v/>
      </c>
      <c r="AN75" s="8" t="str">
        <f>IFERROR((Table35[[#This Row],[OOW]]/Table35[[#This Row],[Total]]), "")</f>
        <v/>
      </c>
      <c r="AO75" s="8" t="str">
        <f>IFERROR((Table35[[#This Row],[EL]]/Table35[[#This Row],[Total]]), "")</f>
        <v/>
      </c>
      <c r="AP75" s="8" t="str">
        <f>IFERROR((Table35[[#This Row],[Homeless]]/Table35[[#This Row],[Total]]), "")</f>
        <v/>
      </c>
      <c r="AQ75" s="8" t="str">
        <f>IFERROR((Table35[[#This Row],[Foster]]/Table35[[#This Row],[Total]]), "")</f>
        <v/>
      </c>
      <c r="AR75" s="8" t="str">
        <f>IFERROR((Table35[[#This Row],[AD]]/Table35[[#This Row],[Total]]), "")</f>
        <v/>
      </c>
    </row>
    <row r="76" spans="1:44" x14ac:dyDescent="0.25">
      <c r="A76" s="35"/>
      <c r="B76" s="35"/>
      <c r="C76" s="35"/>
      <c r="D76" s="9"/>
      <c r="E76" s="9"/>
      <c r="F76" s="9"/>
      <c r="G76" s="9"/>
      <c r="H76" s="9"/>
      <c r="I76" s="9"/>
      <c r="J76" s="9"/>
      <c r="K76" s="9"/>
      <c r="L76" s="9"/>
      <c r="M76" s="9"/>
      <c r="N76" s="9"/>
      <c r="O76" s="9"/>
      <c r="P76" s="9"/>
      <c r="Q76" s="9"/>
      <c r="R76" s="9"/>
      <c r="S76" s="9"/>
      <c r="T76" s="9"/>
      <c r="U76" s="9"/>
      <c r="V76" s="9"/>
      <c r="W76" s="9"/>
      <c r="X76" s="9"/>
      <c r="Y76" s="8" t="str">
        <f>IFERROR((Table35[[#This Row],[F]]/Table35[[#This Row],[Total]]), "")</f>
        <v/>
      </c>
      <c r="Z76" s="8" t="str">
        <f>IFERROR((Table35[[#This Row],[M]]/Table35[[#This Row],[Total]]), "")</f>
        <v/>
      </c>
      <c r="AA76" s="8" t="str">
        <f>IFERROR((Table35[[#This Row],[Other]]/Table35[[#This Row],[Total]]), "")</f>
        <v/>
      </c>
      <c r="AB76" s="8" t="str">
        <f>IFERROR((Table35[[#This Row],[AmInd]]/Table35[[#This Row],[Total]]), "")</f>
        <v/>
      </c>
      <c r="AC76" s="8" t="str">
        <f>IFERROR((Table35[[#This Row],[Asian]]/Table35[[#This Row],[Total]]), "")</f>
        <v/>
      </c>
      <c r="AD76" s="8" t="str">
        <f>IFERROR((Table35[[#This Row],[Hispanic]]/Table35[[#This Row],[Total]]), "")</f>
        <v/>
      </c>
      <c r="AE76" s="8" t="str">
        <f>IFERROR((Table35[[#This Row],[Black]]/Table35[[#This Row],[Total]]), "")</f>
        <v/>
      </c>
      <c r="AF76" s="8" t="str">
        <f>IFERROR((Table35[[#This Row],[White]]/Table35[[#This Row],[Total]]), "")</f>
        <v/>
      </c>
      <c r="AG76" s="8" t="str">
        <f>IFERROR((Table35[[#This Row],[H/PI]]/Table35[[#This Row],[Total]]), "")</f>
        <v/>
      </c>
      <c r="AH76" s="8" t="str">
        <f>IFERROR((Table35[[#This Row],[Multi]]/Table35[[#This Row],[Total]]), "")</f>
        <v/>
      </c>
      <c r="AI76" s="8" t="str">
        <f>IFERROR((Table35[[#This Row],[Unknown]]/Table35[[#This Row],[Total]]), "")</f>
        <v/>
      </c>
      <c r="AJ76" s="8" t="str">
        <f>IFERROR((Table35[[#This Row],[Dis]]/Table35[[#This Row],[Total]]), "")</f>
        <v/>
      </c>
      <c r="AK76" s="8" t="str">
        <f>IFERROR((Table35[[#This Row],[ED]]/Table35[[#This Row],[Total]]), "")</f>
        <v/>
      </c>
      <c r="AL76" s="8" t="str">
        <f>IFERROR((Table35[[#This Row],[Non-trad]]/Table35[[#This Row],[Total]]), "")</f>
        <v/>
      </c>
      <c r="AM76" s="8" t="str">
        <f>IFERROR((Table35[[#This Row],[SP]]/Table35[[#This Row],[Total]]), "")</f>
        <v/>
      </c>
      <c r="AN76" s="8" t="str">
        <f>IFERROR((Table35[[#This Row],[OOW]]/Table35[[#This Row],[Total]]), "")</f>
        <v/>
      </c>
      <c r="AO76" s="8" t="str">
        <f>IFERROR((Table35[[#This Row],[EL]]/Table35[[#This Row],[Total]]), "")</f>
        <v/>
      </c>
      <c r="AP76" s="8" t="str">
        <f>IFERROR((Table35[[#This Row],[Homeless]]/Table35[[#This Row],[Total]]), "")</f>
        <v/>
      </c>
      <c r="AQ76" s="8" t="str">
        <f>IFERROR((Table35[[#This Row],[Foster]]/Table35[[#This Row],[Total]]), "")</f>
        <v/>
      </c>
      <c r="AR76" s="8" t="str">
        <f>IFERROR((Table35[[#This Row],[AD]]/Table35[[#This Row],[Total]]), "")</f>
        <v/>
      </c>
    </row>
    <row r="77" spans="1:44" x14ac:dyDescent="0.25">
      <c r="A77" s="35"/>
      <c r="B77" s="35"/>
      <c r="C77" s="35"/>
      <c r="D77" s="9"/>
      <c r="E77" s="9"/>
      <c r="F77" s="9"/>
      <c r="G77" s="9"/>
      <c r="H77" s="9"/>
      <c r="I77" s="9"/>
      <c r="J77" s="9"/>
      <c r="K77" s="9"/>
      <c r="L77" s="9"/>
      <c r="M77" s="9"/>
      <c r="N77" s="9"/>
      <c r="O77" s="9"/>
      <c r="P77" s="9"/>
      <c r="Q77" s="9"/>
      <c r="R77" s="9"/>
      <c r="S77" s="9"/>
      <c r="T77" s="9"/>
      <c r="U77" s="9"/>
      <c r="V77" s="9"/>
      <c r="W77" s="9"/>
      <c r="X77" s="9"/>
      <c r="Y77" s="8" t="str">
        <f>IFERROR((Table35[[#This Row],[F]]/Table35[[#This Row],[Total]]), "")</f>
        <v/>
      </c>
      <c r="Z77" s="8" t="str">
        <f>IFERROR((Table35[[#This Row],[M]]/Table35[[#This Row],[Total]]), "")</f>
        <v/>
      </c>
      <c r="AA77" s="8" t="str">
        <f>IFERROR((Table35[[#This Row],[Other]]/Table35[[#This Row],[Total]]), "")</f>
        <v/>
      </c>
      <c r="AB77" s="8" t="str">
        <f>IFERROR((Table35[[#This Row],[AmInd]]/Table35[[#This Row],[Total]]), "")</f>
        <v/>
      </c>
      <c r="AC77" s="8" t="str">
        <f>IFERROR((Table35[[#This Row],[Asian]]/Table35[[#This Row],[Total]]), "")</f>
        <v/>
      </c>
      <c r="AD77" s="8" t="str">
        <f>IFERROR((Table35[[#This Row],[Hispanic]]/Table35[[#This Row],[Total]]), "")</f>
        <v/>
      </c>
      <c r="AE77" s="8" t="str">
        <f>IFERROR((Table35[[#This Row],[Black]]/Table35[[#This Row],[Total]]), "")</f>
        <v/>
      </c>
      <c r="AF77" s="8" t="str">
        <f>IFERROR((Table35[[#This Row],[White]]/Table35[[#This Row],[Total]]), "")</f>
        <v/>
      </c>
      <c r="AG77" s="8" t="str">
        <f>IFERROR((Table35[[#This Row],[H/PI]]/Table35[[#This Row],[Total]]), "")</f>
        <v/>
      </c>
      <c r="AH77" s="8" t="str">
        <f>IFERROR((Table35[[#This Row],[Multi]]/Table35[[#This Row],[Total]]), "")</f>
        <v/>
      </c>
      <c r="AI77" s="8" t="str">
        <f>IFERROR((Table35[[#This Row],[Unknown]]/Table35[[#This Row],[Total]]), "")</f>
        <v/>
      </c>
      <c r="AJ77" s="8" t="str">
        <f>IFERROR((Table35[[#This Row],[Dis]]/Table35[[#This Row],[Total]]), "")</f>
        <v/>
      </c>
      <c r="AK77" s="8" t="str">
        <f>IFERROR((Table35[[#This Row],[ED]]/Table35[[#This Row],[Total]]), "")</f>
        <v/>
      </c>
      <c r="AL77" s="8" t="str">
        <f>IFERROR((Table35[[#This Row],[Non-trad]]/Table35[[#This Row],[Total]]), "")</f>
        <v/>
      </c>
      <c r="AM77" s="8" t="str">
        <f>IFERROR((Table35[[#This Row],[SP]]/Table35[[#This Row],[Total]]), "")</f>
        <v/>
      </c>
      <c r="AN77" s="8" t="str">
        <f>IFERROR((Table35[[#This Row],[OOW]]/Table35[[#This Row],[Total]]), "")</f>
        <v/>
      </c>
      <c r="AO77" s="8" t="str">
        <f>IFERROR((Table35[[#This Row],[EL]]/Table35[[#This Row],[Total]]), "")</f>
        <v/>
      </c>
      <c r="AP77" s="8" t="str">
        <f>IFERROR((Table35[[#This Row],[Homeless]]/Table35[[#This Row],[Total]]), "")</f>
        <v/>
      </c>
      <c r="AQ77" s="8" t="str">
        <f>IFERROR((Table35[[#This Row],[Foster]]/Table35[[#This Row],[Total]]), "")</f>
        <v/>
      </c>
      <c r="AR77" s="8" t="str">
        <f>IFERROR((Table35[[#This Row],[AD]]/Table35[[#This Row],[Total]]), "")</f>
        <v/>
      </c>
    </row>
    <row r="78" spans="1:44" x14ac:dyDescent="0.25">
      <c r="A78" s="35"/>
      <c r="B78" s="35"/>
      <c r="C78" s="35"/>
      <c r="D78" s="9"/>
      <c r="E78" s="9"/>
      <c r="F78" s="9"/>
      <c r="G78" s="9"/>
      <c r="H78" s="9"/>
      <c r="I78" s="9"/>
      <c r="J78" s="9"/>
      <c r="K78" s="9"/>
      <c r="L78" s="9"/>
      <c r="M78" s="9"/>
      <c r="N78" s="9"/>
      <c r="O78" s="9"/>
      <c r="P78" s="9"/>
      <c r="Q78" s="9"/>
      <c r="R78" s="9"/>
      <c r="S78" s="9"/>
      <c r="T78" s="9"/>
      <c r="U78" s="9"/>
      <c r="V78" s="9"/>
      <c r="W78" s="9"/>
      <c r="X78" s="9"/>
      <c r="Y78" s="8" t="str">
        <f>IFERROR((Table35[[#This Row],[F]]/Table35[[#This Row],[Total]]), "")</f>
        <v/>
      </c>
      <c r="Z78" s="8" t="str">
        <f>IFERROR((Table35[[#This Row],[M]]/Table35[[#This Row],[Total]]), "")</f>
        <v/>
      </c>
      <c r="AA78" s="8" t="str">
        <f>IFERROR((Table35[[#This Row],[Other]]/Table35[[#This Row],[Total]]), "")</f>
        <v/>
      </c>
      <c r="AB78" s="8" t="str">
        <f>IFERROR((Table35[[#This Row],[AmInd]]/Table35[[#This Row],[Total]]), "")</f>
        <v/>
      </c>
      <c r="AC78" s="8" t="str">
        <f>IFERROR((Table35[[#This Row],[Asian]]/Table35[[#This Row],[Total]]), "")</f>
        <v/>
      </c>
      <c r="AD78" s="8" t="str">
        <f>IFERROR((Table35[[#This Row],[Hispanic]]/Table35[[#This Row],[Total]]), "")</f>
        <v/>
      </c>
      <c r="AE78" s="8" t="str">
        <f>IFERROR((Table35[[#This Row],[Black]]/Table35[[#This Row],[Total]]), "")</f>
        <v/>
      </c>
      <c r="AF78" s="8" t="str">
        <f>IFERROR((Table35[[#This Row],[White]]/Table35[[#This Row],[Total]]), "")</f>
        <v/>
      </c>
      <c r="AG78" s="8" t="str">
        <f>IFERROR((Table35[[#This Row],[H/PI]]/Table35[[#This Row],[Total]]), "")</f>
        <v/>
      </c>
      <c r="AH78" s="8" t="str">
        <f>IFERROR((Table35[[#This Row],[Multi]]/Table35[[#This Row],[Total]]), "")</f>
        <v/>
      </c>
      <c r="AI78" s="8" t="str">
        <f>IFERROR((Table35[[#This Row],[Unknown]]/Table35[[#This Row],[Total]]), "")</f>
        <v/>
      </c>
      <c r="AJ78" s="8" t="str">
        <f>IFERROR((Table35[[#This Row],[Dis]]/Table35[[#This Row],[Total]]), "")</f>
        <v/>
      </c>
      <c r="AK78" s="8" t="str">
        <f>IFERROR((Table35[[#This Row],[ED]]/Table35[[#This Row],[Total]]), "")</f>
        <v/>
      </c>
      <c r="AL78" s="8" t="str">
        <f>IFERROR((Table35[[#This Row],[Non-trad]]/Table35[[#This Row],[Total]]), "")</f>
        <v/>
      </c>
      <c r="AM78" s="8" t="str">
        <f>IFERROR((Table35[[#This Row],[SP]]/Table35[[#This Row],[Total]]), "")</f>
        <v/>
      </c>
      <c r="AN78" s="8" t="str">
        <f>IFERROR((Table35[[#This Row],[OOW]]/Table35[[#This Row],[Total]]), "")</f>
        <v/>
      </c>
      <c r="AO78" s="8" t="str">
        <f>IFERROR((Table35[[#This Row],[EL]]/Table35[[#This Row],[Total]]), "")</f>
        <v/>
      </c>
      <c r="AP78" s="8" t="str">
        <f>IFERROR((Table35[[#This Row],[Homeless]]/Table35[[#This Row],[Total]]), "")</f>
        <v/>
      </c>
      <c r="AQ78" s="8" t="str">
        <f>IFERROR((Table35[[#This Row],[Foster]]/Table35[[#This Row],[Total]]), "")</f>
        <v/>
      </c>
      <c r="AR78" s="8" t="str">
        <f>IFERROR((Table35[[#This Row],[AD]]/Table35[[#This Row],[Total]]), "")</f>
        <v/>
      </c>
    </row>
    <row r="79" spans="1:44" x14ac:dyDescent="0.25">
      <c r="A79" s="35"/>
      <c r="B79" s="35"/>
      <c r="C79" s="35"/>
      <c r="D79" s="9"/>
      <c r="E79" s="9"/>
      <c r="F79" s="9"/>
      <c r="G79" s="9"/>
      <c r="H79" s="9"/>
      <c r="I79" s="9"/>
      <c r="J79" s="9"/>
      <c r="K79" s="9"/>
      <c r="L79" s="9"/>
      <c r="M79" s="9"/>
      <c r="N79" s="9"/>
      <c r="O79" s="9"/>
      <c r="P79" s="9"/>
      <c r="Q79" s="9"/>
      <c r="R79" s="9"/>
      <c r="S79" s="9"/>
      <c r="T79" s="9"/>
      <c r="U79" s="9"/>
      <c r="V79" s="9"/>
      <c r="W79" s="9"/>
      <c r="X79" s="9"/>
      <c r="Y79" s="8" t="str">
        <f>IFERROR((Table35[[#This Row],[F]]/Table35[[#This Row],[Total]]), "")</f>
        <v/>
      </c>
      <c r="Z79" s="8" t="str">
        <f>IFERROR((Table35[[#This Row],[M]]/Table35[[#This Row],[Total]]), "")</f>
        <v/>
      </c>
      <c r="AA79" s="8" t="str">
        <f>IFERROR((Table35[[#This Row],[Other]]/Table35[[#This Row],[Total]]), "")</f>
        <v/>
      </c>
      <c r="AB79" s="8" t="str">
        <f>IFERROR((Table35[[#This Row],[AmInd]]/Table35[[#This Row],[Total]]), "")</f>
        <v/>
      </c>
      <c r="AC79" s="8" t="str">
        <f>IFERROR((Table35[[#This Row],[Asian]]/Table35[[#This Row],[Total]]), "")</f>
        <v/>
      </c>
      <c r="AD79" s="8" t="str">
        <f>IFERROR((Table35[[#This Row],[Hispanic]]/Table35[[#This Row],[Total]]), "")</f>
        <v/>
      </c>
      <c r="AE79" s="8" t="str">
        <f>IFERROR((Table35[[#This Row],[Black]]/Table35[[#This Row],[Total]]), "")</f>
        <v/>
      </c>
      <c r="AF79" s="8" t="str">
        <f>IFERROR((Table35[[#This Row],[White]]/Table35[[#This Row],[Total]]), "")</f>
        <v/>
      </c>
      <c r="AG79" s="8" t="str">
        <f>IFERROR((Table35[[#This Row],[H/PI]]/Table35[[#This Row],[Total]]), "")</f>
        <v/>
      </c>
      <c r="AH79" s="8" t="str">
        <f>IFERROR((Table35[[#This Row],[Multi]]/Table35[[#This Row],[Total]]), "")</f>
        <v/>
      </c>
      <c r="AI79" s="8" t="str">
        <f>IFERROR((Table35[[#This Row],[Unknown]]/Table35[[#This Row],[Total]]), "")</f>
        <v/>
      </c>
      <c r="AJ79" s="8" t="str">
        <f>IFERROR((Table35[[#This Row],[Dis]]/Table35[[#This Row],[Total]]), "")</f>
        <v/>
      </c>
      <c r="AK79" s="8" t="str">
        <f>IFERROR((Table35[[#This Row],[ED]]/Table35[[#This Row],[Total]]), "")</f>
        <v/>
      </c>
      <c r="AL79" s="8" t="str">
        <f>IFERROR((Table35[[#This Row],[Non-trad]]/Table35[[#This Row],[Total]]), "")</f>
        <v/>
      </c>
      <c r="AM79" s="8" t="str">
        <f>IFERROR((Table35[[#This Row],[SP]]/Table35[[#This Row],[Total]]), "")</f>
        <v/>
      </c>
      <c r="AN79" s="8" t="str">
        <f>IFERROR((Table35[[#This Row],[OOW]]/Table35[[#This Row],[Total]]), "")</f>
        <v/>
      </c>
      <c r="AO79" s="8" t="str">
        <f>IFERROR((Table35[[#This Row],[EL]]/Table35[[#This Row],[Total]]), "")</f>
        <v/>
      </c>
      <c r="AP79" s="8" t="str">
        <f>IFERROR((Table35[[#This Row],[Homeless]]/Table35[[#This Row],[Total]]), "")</f>
        <v/>
      </c>
      <c r="AQ79" s="8" t="str">
        <f>IFERROR((Table35[[#This Row],[Foster]]/Table35[[#This Row],[Total]]), "")</f>
        <v/>
      </c>
      <c r="AR79" s="8" t="str">
        <f>IFERROR((Table35[[#This Row],[AD]]/Table35[[#This Row],[Total]]), "")</f>
        <v/>
      </c>
    </row>
    <row r="80" spans="1:44" x14ac:dyDescent="0.25">
      <c r="A80" s="35"/>
      <c r="B80" s="35"/>
      <c r="C80" s="35"/>
      <c r="D80" s="9"/>
      <c r="E80" s="9"/>
      <c r="F80" s="9"/>
      <c r="G80" s="9"/>
      <c r="H80" s="9"/>
      <c r="I80" s="9"/>
      <c r="J80" s="9"/>
      <c r="K80" s="9"/>
      <c r="L80" s="9"/>
      <c r="M80" s="9"/>
      <c r="N80" s="9"/>
      <c r="O80" s="9"/>
      <c r="P80" s="9"/>
      <c r="Q80" s="9"/>
      <c r="R80" s="9"/>
      <c r="S80" s="9"/>
      <c r="T80" s="9"/>
      <c r="U80" s="9"/>
      <c r="V80" s="9"/>
      <c r="W80" s="9"/>
      <c r="X80" s="9"/>
      <c r="Y80" s="8" t="str">
        <f>IFERROR((Table35[[#This Row],[F]]/Table35[[#This Row],[Total]]), "")</f>
        <v/>
      </c>
      <c r="Z80" s="8" t="str">
        <f>IFERROR((Table35[[#This Row],[M]]/Table35[[#This Row],[Total]]), "")</f>
        <v/>
      </c>
      <c r="AA80" s="8" t="str">
        <f>IFERROR((Table35[[#This Row],[Other]]/Table35[[#This Row],[Total]]), "")</f>
        <v/>
      </c>
      <c r="AB80" s="8" t="str">
        <f>IFERROR((Table35[[#This Row],[AmInd]]/Table35[[#This Row],[Total]]), "")</f>
        <v/>
      </c>
      <c r="AC80" s="8" t="str">
        <f>IFERROR((Table35[[#This Row],[Asian]]/Table35[[#This Row],[Total]]), "")</f>
        <v/>
      </c>
      <c r="AD80" s="8" t="str">
        <f>IFERROR((Table35[[#This Row],[Hispanic]]/Table35[[#This Row],[Total]]), "")</f>
        <v/>
      </c>
      <c r="AE80" s="8" t="str">
        <f>IFERROR((Table35[[#This Row],[Black]]/Table35[[#This Row],[Total]]), "")</f>
        <v/>
      </c>
      <c r="AF80" s="8" t="str">
        <f>IFERROR((Table35[[#This Row],[White]]/Table35[[#This Row],[Total]]), "")</f>
        <v/>
      </c>
      <c r="AG80" s="8" t="str">
        <f>IFERROR((Table35[[#This Row],[H/PI]]/Table35[[#This Row],[Total]]), "")</f>
        <v/>
      </c>
      <c r="AH80" s="8" t="str">
        <f>IFERROR((Table35[[#This Row],[Multi]]/Table35[[#This Row],[Total]]), "")</f>
        <v/>
      </c>
      <c r="AI80" s="8" t="str">
        <f>IFERROR((Table35[[#This Row],[Unknown]]/Table35[[#This Row],[Total]]), "")</f>
        <v/>
      </c>
      <c r="AJ80" s="8" t="str">
        <f>IFERROR((Table35[[#This Row],[Dis]]/Table35[[#This Row],[Total]]), "")</f>
        <v/>
      </c>
      <c r="AK80" s="8" t="str">
        <f>IFERROR((Table35[[#This Row],[ED]]/Table35[[#This Row],[Total]]), "")</f>
        <v/>
      </c>
      <c r="AL80" s="8" t="str">
        <f>IFERROR((Table35[[#This Row],[Non-trad]]/Table35[[#This Row],[Total]]), "")</f>
        <v/>
      </c>
      <c r="AM80" s="8" t="str">
        <f>IFERROR((Table35[[#This Row],[SP]]/Table35[[#This Row],[Total]]), "")</f>
        <v/>
      </c>
      <c r="AN80" s="8" t="str">
        <f>IFERROR((Table35[[#This Row],[OOW]]/Table35[[#This Row],[Total]]), "")</f>
        <v/>
      </c>
      <c r="AO80" s="8" t="str">
        <f>IFERROR((Table35[[#This Row],[EL]]/Table35[[#This Row],[Total]]), "")</f>
        <v/>
      </c>
      <c r="AP80" s="8" t="str">
        <f>IFERROR((Table35[[#This Row],[Homeless]]/Table35[[#This Row],[Total]]), "")</f>
        <v/>
      </c>
      <c r="AQ80" s="8" t="str">
        <f>IFERROR((Table35[[#This Row],[Foster]]/Table35[[#This Row],[Total]]), "")</f>
        <v/>
      </c>
      <c r="AR80" s="8" t="str">
        <f>IFERROR((Table35[[#This Row],[AD]]/Table35[[#This Row],[Total]]), "")</f>
        <v/>
      </c>
    </row>
    <row r="81" spans="1:44" x14ac:dyDescent="0.25">
      <c r="A81" s="35"/>
      <c r="B81" s="35"/>
      <c r="C81" s="35"/>
      <c r="D81" s="9"/>
      <c r="E81" s="9"/>
      <c r="F81" s="9"/>
      <c r="G81" s="9"/>
      <c r="H81" s="9"/>
      <c r="I81" s="9"/>
      <c r="J81" s="9"/>
      <c r="K81" s="9"/>
      <c r="L81" s="9"/>
      <c r="M81" s="9"/>
      <c r="N81" s="9"/>
      <c r="O81" s="9"/>
      <c r="P81" s="9"/>
      <c r="Q81" s="9"/>
      <c r="R81" s="9"/>
      <c r="S81" s="9"/>
      <c r="T81" s="9"/>
      <c r="U81" s="9"/>
      <c r="V81" s="9"/>
      <c r="W81" s="9"/>
      <c r="X81" s="9"/>
      <c r="Y81" s="8" t="str">
        <f>IFERROR((Table35[[#This Row],[F]]/Table35[[#This Row],[Total]]), "")</f>
        <v/>
      </c>
      <c r="Z81" s="8" t="str">
        <f>IFERROR((Table35[[#This Row],[M]]/Table35[[#This Row],[Total]]), "")</f>
        <v/>
      </c>
      <c r="AA81" s="8" t="str">
        <f>IFERROR((Table35[[#This Row],[Other]]/Table35[[#This Row],[Total]]), "")</f>
        <v/>
      </c>
      <c r="AB81" s="8" t="str">
        <f>IFERROR((Table35[[#This Row],[AmInd]]/Table35[[#This Row],[Total]]), "")</f>
        <v/>
      </c>
      <c r="AC81" s="8" t="str">
        <f>IFERROR((Table35[[#This Row],[Asian]]/Table35[[#This Row],[Total]]), "")</f>
        <v/>
      </c>
      <c r="AD81" s="8" t="str">
        <f>IFERROR((Table35[[#This Row],[Hispanic]]/Table35[[#This Row],[Total]]), "")</f>
        <v/>
      </c>
      <c r="AE81" s="8" t="str">
        <f>IFERROR((Table35[[#This Row],[Black]]/Table35[[#This Row],[Total]]), "")</f>
        <v/>
      </c>
      <c r="AF81" s="8" t="str">
        <f>IFERROR((Table35[[#This Row],[White]]/Table35[[#This Row],[Total]]), "")</f>
        <v/>
      </c>
      <c r="AG81" s="8" t="str">
        <f>IFERROR((Table35[[#This Row],[H/PI]]/Table35[[#This Row],[Total]]), "")</f>
        <v/>
      </c>
      <c r="AH81" s="8" t="str">
        <f>IFERROR((Table35[[#This Row],[Multi]]/Table35[[#This Row],[Total]]), "")</f>
        <v/>
      </c>
      <c r="AI81" s="8" t="str">
        <f>IFERROR((Table35[[#This Row],[Unknown]]/Table35[[#This Row],[Total]]), "")</f>
        <v/>
      </c>
      <c r="AJ81" s="8" t="str">
        <f>IFERROR((Table35[[#This Row],[Dis]]/Table35[[#This Row],[Total]]), "")</f>
        <v/>
      </c>
      <c r="AK81" s="8" t="str">
        <f>IFERROR((Table35[[#This Row],[ED]]/Table35[[#This Row],[Total]]), "")</f>
        <v/>
      </c>
      <c r="AL81" s="8" t="str">
        <f>IFERROR((Table35[[#This Row],[Non-trad]]/Table35[[#This Row],[Total]]), "")</f>
        <v/>
      </c>
      <c r="AM81" s="8" t="str">
        <f>IFERROR((Table35[[#This Row],[SP]]/Table35[[#This Row],[Total]]), "")</f>
        <v/>
      </c>
      <c r="AN81" s="8" t="str">
        <f>IFERROR((Table35[[#This Row],[OOW]]/Table35[[#This Row],[Total]]), "")</f>
        <v/>
      </c>
      <c r="AO81" s="8" t="str">
        <f>IFERROR((Table35[[#This Row],[EL]]/Table35[[#This Row],[Total]]), "")</f>
        <v/>
      </c>
      <c r="AP81" s="8" t="str">
        <f>IFERROR((Table35[[#This Row],[Homeless]]/Table35[[#This Row],[Total]]), "")</f>
        <v/>
      </c>
      <c r="AQ81" s="8" t="str">
        <f>IFERROR((Table35[[#This Row],[Foster]]/Table35[[#This Row],[Total]]), "")</f>
        <v/>
      </c>
      <c r="AR81" s="8" t="str">
        <f>IFERROR((Table35[[#This Row],[AD]]/Table35[[#This Row],[Total]]), "")</f>
        <v/>
      </c>
    </row>
    <row r="82" spans="1:44" x14ac:dyDescent="0.25">
      <c r="A82" s="35"/>
      <c r="B82" s="35"/>
      <c r="C82" s="35"/>
      <c r="D82" s="9"/>
      <c r="E82" s="9"/>
      <c r="F82" s="9"/>
      <c r="G82" s="9"/>
      <c r="H82" s="9"/>
      <c r="I82" s="9"/>
      <c r="J82" s="9"/>
      <c r="K82" s="9"/>
      <c r="L82" s="9"/>
      <c r="M82" s="9"/>
      <c r="N82" s="9"/>
      <c r="O82" s="9"/>
      <c r="P82" s="9"/>
      <c r="Q82" s="9"/>
      <c r="R82" s="9"/>
      <c r="S82" s="9"/>
      <c r="T82" s="9"/>
      <c r="U82" s="9"/>
      <c r="V82" s="9"/>
      <c r="W82" s="9"/>
      <c r="X82" s="9"/>
      <c r="Y82" s="8" t="str">
        <f>IFERROR((Table35[[#This Row],[F]]/Table35[[#This Row],[Total]]), "")</f>
        <v/>
      </c>
      <c r="Z82" s="8" t="str">
        <f>IFERROR((Table35[[#This Row],[M]]/Table35[[#This Row],[Total]]), "")</f>
        <v/>
      </c>
      <c r="AA82" s="8" t="str">
        <f>IFERROR((Table35[[#This Row],[Other]]/Table35[[#This Row],[Total]]), "")</f>
        <v/>
      </c>
      <c r="AB82" s="8" t="str">
        <f>IFERROR((Table35[[#This Row],[AmInd]]/Table35[[#This Row],[Total]]), "")</f>
        <v/>
      </c>
      <c r="AC82" s="8" t="str">
        <f>IFERROR((Table35[[#This Row],[Asian]]/Table35[[#This Row],[Total]]), "")</f>
        <v/>
      </c>
      <c r="AD82" s="8" t="str">
        <f>IFERROR((Table35[[#This Row],[Hispanic]]/Table35[[#This Row],[Total]]), "")</f>
        <v/>
      </c>
      <c r="AE82" s="8" t="str">
        <f>IFERROR((Table35[[#This Row],[Black]]/Table35[[#This Row],[Total]]), "")</f>
        <v/>
      </c>
      <c r="AF82" s="8" t="str">
        <f>IFERROR((Table35[[#This Row],[White]]/Table35[[#This Row],[Total]]), "")</f>
        <v/>
      </c>
      <c r="AG82" s="8" t="str">
        <f>IFERROR((Table35[[#This Row],[H/PI]]/Table35[[#This Row],[Total]]), "")</f>
        <v/>
      </c>
      <c r="AH82" s="8" t="str">
        <f>IFERROR((Table35[[#This Row],[Multi]]/Table35[[#This Row],[Total]]), "")</f>
        <v/>
      </c>
      <c r="AI82" s="8" t="str">
        <f>IFERROR((Table35[[#This Row],[Unknown]]/Table35[[#This Row],[Total]]), "")</f>
        <v/>
      </c>
      <c r="AJ82" s="8" t="str">
        <f>IFERROR((Table35[[#This Row],[Dis]]/Table35[[#This Row],[Total]]), "")</f>
        <v/>
      </c>
      <c r="AK82" s="8" t="str">
        <f>IFERROR((Table35[[#This Row],[ED]]/Table35[[#This Row],[Total]]), "")</f>
        <v/>
      </c>
      <c r="AL82" s="8" t="str">
        <f>IFERROR((Table35[[#This Row],[Non-trad]]/Table35[[#This Row],[Total]]), "")</f>
        <v/>
      </c>
      <c r="AM82" s="8" t="str">
        <f>IFERROR((Table35[[#This Row],[SP]]/Table35[[#This Row],[Total]]), "")</f>
        <v/>
      </c>
      <c r="AN82" s="8" t="str">
        <f>IFERROR((Table35[[#This Row],[OOW]]/Table35[[#This Row],[Total]]), "")</f>
        <v/>
      </c>
      <c r="AO82" s="8" t="str">
        <f>IFERROR((Table35[[#This Row],[EL]]/Table35[[#This Row],[Total]]), "")</f>
        <v/>
      </c>
      <c r="AP82" s="8" t="str">
        <f>IFERROR((Table35[[#This Row],[Homeless]]/Table35[[#This Row],[Total]]), "")</f>
        <v/>
      </c>
      <c r="AQ82" s="8" t="str">
        <f>IFERROR((Table35[[#This Row],[Foster]]/Table35[[#This Row],[Total]]), "")</f>
        <v/>
      </c>
      <c r="AR82" s="8" t="str">
        <f>IFERROR((Table35[[#This Row],[AD]]/Table35[[#This Row],[Total]]), "")</f>
        <v/>
      </c>
    </row>
    <row r="83" spans="1:44" x14ac:dyDescent="0.25">
      <c r="A83" s="35"/>
      <c r="B83" s="35"/>
      <c r="C83" s="35"/>
      <c r="D83" s="9"/>
      <c r="E83" s="9"/>
      <c r="F83" s="9"/>
      <c r="G83" s="9"/>
      <c r="H83" s="9"/>
      <c r="I83" s="9"/>
      <c r="J83" s="9"/>
      <c r="K83" s="9"/>
      <c r="L83" s="9"/>
      <c r="M83" s="9"/>
      <c r="N83" s="9"/>
      <c r="O83" s="9"/>
      <c r="P83" s="9"/>
      <c r="Q83" s="9"/>
      <c r="R83" s="9"/>
      <c r="S83" s="9"/>
      <c r="T83" s="9"/>
      <c r="U83" s="9"/>
      <c r="V83" s="9"/>
      <c r="W83" s="9"/>
      <c r="X83" s="9"/>
      <c r="Y83" s="8" t="str">
        <f>IFERROR((Table35[[#This Row],[F]]/Table35[[#This Row],[Total]]), "")</f>
        <v/>
      </c>
      <c r="Z83" s="8" t="str">
        <f>IFERROR((Table35[[#This Row],[M]]/Table35[[#This Row],[Total]]), "")</f>
        <v/>
      </c>
      <c r="AA83" s="8" t="str">
        <f>IFERROR((Table35[[#This Row],[Other]]/Table35[[#This Row],[Total]]), "")</f>
        <v/>
      </c>
      <c r="AB83" s="8" t="str">
        <f>IFERROR((Table35[[#This Row],[AmInd]]/Table35[[#This Row],[Total]]), "")</f>
        <v/>
      </c>
      <c r="AC83" s="8" t="str">
        <f>IFERROR((Table35[[#This Row],[Asian]]/Table35[[#This Row],[Total]]), "")</f>
        <v/>
      </c>
      <c r="AD83" s="8" t="str">
        <f>IFERROR((Table35[[#This Row],[Hispanic]]/Table35[[#This Row],[Total]]), "")</f>
        <v/>
      </c>
      <c r="AE83" s="8" t="str">
        <f>IFERROR((Table35[[#This Row],[Black]]/Table35[[#This Row],[Total]]), "")</f>
        <v/>
      </c>
      <c r="AF83" s="8" t="str">
        <f>IFERROR((Table35[[#This Row],[White]]/Table35[[#This Row],[Total]]), "")</f>
        <v/>
      </c>
      <c r="AG83" s="8" t="str">
        <f>IFERROR((Table35[[#This Row],[H/PI]]/Table35[[#This Row],[Total]]), "")</f>
        <v/>
      </c>
      <c r="AH83" s="8" t="str">
        <f>IFERROR((Table35[[#This Row],[Multi]]/Table35[[#This Row],[Total]]), "")</f>
        <v/>
      </c>
      <c r="AI83" s="8" t="str">
        <f>IFERROR((Table35[[#This Row],[Unknown]]/Table35[[#This Row],[Total]]), "")</f>
        <v/>
      </c>
      <c r="AJ83" s="8" t="str">
        <f>IFERROR((Table35[[#This Row],[Dis]]/Table35[[#This Row],[Total]]), "")</f>
        <v/>
      </c>
      <c r="AK83" s="8" t="str">
        <f>IFERROR((Table35[[#This Row],[ED]]/Table35[[#This Row],[Total]]), "")</f>
        <v/>
      </c>
      <c r="AL83" s="8" t="str">
        <f>IFERROR((Table35[[#This Row],[Non-trad]]/Table35[[#This Row],[Total]]), "")</f>
        <v/>
      </c>
      <c r="AM83" s="8" t="str">
        <f>IFERROR((Table35[[#This Row],[SP]]/Table35[[#This Row],[Total]]), "")</f>
        <v/>
      </c>
      <c r="AN83" s="8" t="str">
        <f>IFERROR((Table35[[#This Row],[OOW]]/Table35[[#This Row],[Total]]), "")</f>
        <v/>
      </c>
      <c r="AO83" s="8" t="str">
        <f>IFERROR((Table35[[#This Row],[EL]]/Table35[[#This Row],[Total]]), "")</f>
        <v/>
      </c>
      <c r="AP83" s="8" t="str">
        <f>IFERROR((Table35[[#This Row],[Homeless]]/Table35[[#This Row],[Total]]), "")</f>
        <v/>
      </c>
      <c r="AQ83" s="8" t="str">
        <f>IFERROR((Table35[[#This Row],[Foster]]/Table35[[#This Row],[Total]]), "")</f>
        <v/>
      </c>
      <c r="AR83" s="8" t="str">
        <f>IFERROR((Table35[[#This Row],[AD]]/Table35[[#This Row],[Total]]), "")</f>
        <v/>
      </c>
    </row>
    <row r="84" spans="1:44" x14ac:dyDescent="0.25">
      <c r="A84" s="35"/>
      <c r="B84" s="35"/>
      <c r="C84" s="35"/>
      <c r="D84" s="9"/>
      <c r="E84" s="9"/>
      <c r="F84" s="9"/>
      <c r="G84" s="9"/>
      <c r="H84" s="9"/>
      <c r="I84" s="9"/>
      <c r="J84" s="9"/>
      <c r="K84" s="9"/>
      <c r="L84" s="9"/>
      <c r="M84" s="9"/>
      <c r="N84" s="9"/>
      <c r="O84" s="9"/>
      <c r="P84" s="9"/>
      <c r="Q84" s="9"/>
      <c r="R84" s="9"/>
      <c r="S84" s="9"/>
      <c r="T84" s="9"/>
      <c r="U84" s="9"/>
      <c r="V84" s="9"/>
      <c r="W84" s="9"/>
      <c r="X84" s="9"/>
      <c r="Y84" s="8" t="str">
        <f>IFERROR((Table35[[#This Row],[F]]/Table35[[#This Row],[Total]]), "")</f>
        <v/>
      </c>
      <c r="Z84" s="8" t="str">
        <f>IFERROR((Table35[[#This Row],[M]]/Table35[[#This Row],[Total]]), "")</f>
        <v/>
      </c>
      <c r="AA84" s="8" t="str">
        <f>IFERROR((Table35[[#This Row],[Other]]/Table35[[#This Row],[Total]]), "")</f>
        <v/>
      </c>
      <c r="AB84" s="8" t="str">
        <f>IFERROR((Table35[[#This Row],[AmInd]]/Table35[[#This Row],[Total]]), "")</f>
        <v/>
      </c>
      <c r="AC84" s="8" t="str">
        <f>IFERROR((Table35[[#This Row],[Asian]]/Table35[[#This Row],[Total]]), "")</f>
        <v/>
      </c>
      <c r="AD84" s="8" t="str">
        <f>IFERROR((Table35[[#This Row],[Hispanic]]/Table35[[#This Row],[Total]]), "")</f>
        <v/>
      </c>
      <c r="AE84" s="8" t="str">
        <f>IFERROR((Table35[[#This Row],[Black]]/Table35[[#This Row],[Total]]), "")</f>
        <v/>
      </c>
      <c r="AF84" s="8" t="str">
        <f>IFERROR((Table35[[#This Row],[White]]/Table35[[#This Row],[Total]]), "")</f>
        <v/>
      </c>
      <c r="AG84" s="8" t="str">
        <f>IFERROR((Table35[[#This Row],[H/PI]]/Table35[[#This Row],[Total]]), "")</f>
        <v/>
      </c>
      <c r="AH84" s="8" t="str">
        <f>IFERROR((Table35[[#This Row],[Multi]]/Table35[[#This Row],[Total]]), "")</f>
        <v/>
      </c>
      <c r="AI84" s="8" t="str">
        <f>IFERROR((Table35[[#This Row],[Unknown]]/Table35[[#This Row],[Total]]), "")</f>
        <v/>
      </c>
      <c r="AJ84" s="8" t="str">
        <f>IFERROR((Table35[[#This Row],[Dis]]/Table35[[#This Row],[Total]]), "")</f>
        <v/>
      </c>
      <c r="AK84" s="8" t="str">
        <f>IFERROR((Table35[[#This Row],[ED]]/Table35[[#This Row],[Total]]), "")</f>
        <v/>
      </c>
      <c r="AL84" s="8" t="str">
        <f>IFERROR((Table35[[#This Row],[Non-trad]]/Table35[[#This Row],[Total]]), "")</f>
        <v/>
      </c>
      <c r="AM84" s="8" t="str">
        <f>IFERROR((Table35[[#This Row],[SP]]/Table35[[#This Row],[Total]]), "")</f>
        <v/>
      </c>
      <c r="AN84" s="8" t="str">
        <f>IFERROR((Table35[[#This Row],[OOW]]/Table35[[#This Row],[Total]]), "")</f>
        <v/>
      </c>
      <c r="AO84" s="8" t="str">
        <f>IFERROR((Table35[[#This Row],[EL]]/Table35[[#This Row],[Total]]), "")</f>
        <v/>
      </c>
      <c r="AP84" s="8" t="str">
        <f>IFERROR((Table35[[#This Row],[Homeless]]/Table35[[#This Row],[Total]]), "")</f>
        <v/>
      </c>
      <c r="AQ84" s="8" t="str">
        <f>IFERROR((Table35[[#This Row],[Foster]]/Table35[[#This Row],[Total]]), "")</f>
        <v/>
      </c>
      <c r="AR84" s="8" t="str">
        <f>IFERROR((Table35[[#This Row],[AD]]/Table35[[#This Row],[Total]]), "")</f>
        <v/>
      </c>
    </row>
    <row r="85" spans="1:44" x14ac:dyDescent="0.25">
      <c r="A85" s="35"/>
      <c r="B85" s="35"/>
      <c r="C85" s="35"/>
      <c r="D85" s="9"/>
      <c r="E85" s="9"/>
      <c r="F85" s="9"/>
      <c r="G85" s="9"/>
      <c r="H85" s="9"/>
      <c r="I85" s="9"/>
      <c r="J85" s="9"/>
      <c r="K85" s="9"/>
      <c r="L85" s="9"/>
      <c r="M85" s="9"/>
      <c r="N85" s="9"/>
      <c r="O85" s="9"/>
      <c r="P85" s="9"/>
      <c r="Q85" s="9"/>
      <c r="R85" s="9"/>
      <c r="S85" s="9"/>
      <c r="T85" s="9"/>
      <c r="U85" s="9"/>
      <c r="V85" s="9"/>
      <c r="W85" s="9"/>
      <c r="X85" s="9"/>
      <c r="Y85" s="8" t="str">
        <f>IFERROR((Table35[[#This Row],[F]]/Table35[[#This Row],[Total]]), "")</f>
        <v/>
      </c>
      <c r="Z85" s="8" t="str">
        <f>IFERROR((Table35[[#This Row],[M]]/Table35[[#This Row],[Total]]), "")</f>
        <v/>
      </c>
      <c r="AA85" s="8" t="str">
        <f>IFERROR((Table35[[#This Row],[Other]]/Table35[[#This Row],[Total]]), "")</f>
        <v/>
      </c>
      <c r="AB85" s="8" t="str">
        <f>IFERROR((Table35[[#This Row],[AmInd]]/Table35[[#This Row],[Total]]), "")</f>
        <v/>
      </c>
      <c r="AC85" s="8" t="str">
        <f>IFERROR((Table35[[#This Row],[Asian]]/Table35[[#This Row],[Total]]), "")</f>
        <v/>
      </c>
      <c r="AD85" s="8" t="str">
        <f>IFERROR((Table35[[#This Row],[Hispanic]]/Table35[[#This Row],[Total]]), "")</f>
        <v/>
      </c>
      <c r="AE85" s="8" t="str">
        <f>IFERROR((Table35[[#This Row],[Black]]/Table35[[#This Row],[Total]]), "")</f>
        <v/>
      </c>
      <c r="AF85" s="8" t="str">
        <f>IFERROR((Table35[[#This Row],[White]]/Table35[[#This Row],[Total]]), "")</f>
        <v/>
      </c>
      <c r="AG85" s="8" t="str">
        <f>IFERROR((Table35[[#This Row],[H/PI]]/Table35[[#This Row],[Total]]), "")</f>
        <v/>
      </c>
      <c r="AH85" s="8" t="str">
        <f>IFERROR((Table35[[#This Row],[Multi]]/Table35[[#This Row],[Total]]), "")</f>
        <v/>
      </c>
      <c r="AI85" s="8" t="str">
        <f>IFERROR((Table35[[#This Row],[Unknown]]/Table35[[#This Row],[Total]]), "")</f>
        <v/>
      </c>
      <c r="AJ85" s="8" t="str">
        <f>IFERROR((Table35[[#This Row],[Dis]]/Table35[[#This Row],[Total]]), "")</f>
        <v/>
      </c>
      <c r="AK85" s="8" t="str">
        <f>IFERROR((Table35[[#This Row],[ED]]/Table35[[#This Row],[Total]]), "")</f>
        <v/>
      </c>
      <c r="AL85" s="8" t="str">
        <f>IFERROR((Table35[[#This Row],[Non-trad]]/Table35[[#This Row],[Total]]), "")</f>
        <v/>
      </c>
      <c r="AM85" s="8" t="str">
        <f>IFERROR((Table35[[#This Row],[SP]]/Table35[[#This Row],[Total]]), "")</f>
        <v/>
      </c>
      <c r="AN85" s="8" t="str">
        <f>IFERROR((Table35[[#This Row],[OOW]]/Table35[[#This Row],[Total]]), "")</f>
        <v/>
      </c>
      <c r="AO85" s="8" t="str">
        <f>IFERROR((Table35[[#This Row],[EL]]/Table35[[#This Row],[Total]]), "")</f>
        <v/>
      </c>
      <c r="AP85" s="8" t="str">
        <f>IFERROR((Table35[[#This Row],[Homeless]]/Table35[[#This Row],[Total]]), "")</f>
        <v/>
      </c>
      <c r="AQ85" s="8" t="str">
        <f>IFERROR((Table35[[#This Row],[Foster]]/Table35[[#This Row],[Total]]), "")</f>
        <v/>
      </c>
      <c r="AR85" s="8" t="str">
        <f>IFERROR((Table35[[#This Row],[AD]]/Table35[[#This Row],[Total]]), "")</f>
        <v/>
      </c>
    </row>
    <row r="86" spans="1:44" x14ac:dyDescent="0.25">
      <c r="A86" s="35"/>
      <c r="B86" s="35"/>
      <c r="C86" s="35"/>
      <c r="D86" s="9"/>
      <c r="E86" s="9"/>
      <c r="F86" s="9"/>
      <c r="G86" s="9"/>
      <c r="H86" s="9"/>
      <c r="I86" s="9"/>
      <c r="J86" s="9"/>
      <c r="K86" s="9"/>
      <c r="L86" s="9"/>
      <c r="M86" s="9"/>
      <c r="N86" s="9"/>
      <c r="O86" s="9"/>
      <c r="P86" s="9"/>
      <c r="Q86" s="9"/>
      <c r="R86" s="9"/>
      <c r="S86" s="9"/>
      <c r="T86" s="9"/>
      <c r="U86" s="9"/>
      <c r="V86" s="9"/>
      <c r="W86" s="9"/>
      <c r="X86" s="9"/>
      <c r="Y86" s="8" t="str">
        <f>IFERROR((Table35[[#This Row],[F]]/Table35[[#This Row],[Total]]), "")</f>
        <v/>
      </c>
      <c r="Z86" s="8" t="str">
        <f>IFERROR((Table35[[#This Row],[M]]/Table35[[#This Row],[Total]]), "")</f>
        <v/>
      </c>
      <c r="AA86" s="8" t="str">
        <f>IFERROR((Table35[[#This Row],[Other]]/Table35[[#This Row],[Total]]), "")</f>
        <v/>
      </c>
      <c r="AB86" s="8" t="str">
        <f>IFERROR((Table35[[#This Row],[AmInd]]/Table35[[#This Row],[Total]]), "")</f>
        <v/>
      </c>
      <c r="AC86" s="8" t="str">
        <f>IFERROR((Table35[[#This Row],[Asian]]/Table35[[#This Row],[Total]]), "")</f>
        <v/>
      </c>
      <c r="AD86" s="8" t="str">
        <f>IFERROR((Table35[[#This Row],[Hispanic]]/Table35[[#This Row],[Total]]), "")</f>
        <v/>
      </c>
      <c r="AE86" s="8" t="str">
        <f>IFERROR((Table35[[#This Row],[Black]]/Table35[[#This Row],[Total]]), "")</f>
        <v/>
      </c>
      <c r="AF86" s="8" t="str">
        <f>IFERROR((Table35[[#This Row],[White]]/Table35[[#This Row],[Total]]), "")</f>
        <v/>
      </c>
      <c r="AG86" s="8" t="str">
        <f>IFERROR((Table35[[#This Row],[H/PI]]/Table35[[#This Row],[Total]]), "")</f>
        <v/>
      </c>
      <c r="AH86" s="8" t="str">
        <f>IFERROR((Table35[[#This Row],[Multi]]/Table35[[#This Row],[Total]]), "")</f>
        <v/>
      </c>
      <c r="AI86" s="8" t="str">
        <f>IFERROR((Table35[[#This Row],[Unknown]]/Table35[[#This Row],[Total]]), "")</f>
        <v/>
      </c>
      <c r="AJ86" s="8" t="str">
        <f>IFERROR((Table35[[#This Row],[Dis]]/Table35[[#This Row],[Total]]), "")</f>
        <v/>
      </c>
      <c r="AK86" s="8" t="str">
        <f>IFERROR((Table35[[#This Row],[ED]]/Table35[[#This Row],[Total]]), "")</f>
        <v/>
      </c>
      <c r="AL86" s="8" t="str">
        <f>IFERROR((Table35[[#This Row],[Non-trad]]/Table35[[#This Row],[Total]]), "")</f>
        <v/>
      </c>
      <c r="AM86" s="8" t="str">
        <f>IFERROR((Table35[[#This Row],[SP]]/Table35[[#This Row],[Total]]), "")</f>
        <v/>
      </c>
      <c r="AN86" s="8" t="str">
        <f>IFERROR((Table35[[#This Row],[OOW]]/Table35[[#This Row],[Total]]), "")</f>
        <v/>
      </c>
      <c r="AO86" s="8" t="str">
        <f>IFERROR((Table35[[#This Row],[EL]]/Table35[[#This Row],[Total]]), "")</f>
        <v/>
      </c>
      <c r="AP86" s="8" t="str">
        <f>IFERROR((Table35[[#This Row],[Homeless]]/Table35[[#This Row],[Total]]), "")</f>
        <v/>
      </c>
      <c r="AQ86" s="8" t="str">
        <f>IFERROR((Table35[[#This Row],[Foster]]/Table35[[#This Row],[Total]]), "")</f>
        <v/>
      </c>
      <c r="AR86" s="8" t="str">
        <f>IFERROR((Table35[[#This Row],[AD]]/Table35[[#This Row],[Total]]), "")</f>
        <v/>
      </c>
    </row>
    <row r="87" spans="1:44" x14ac:dyDescent="0.25">
      <c r="A87" s="35"/>
      <c r="B87" s="35"/>
      <c r="C87" s="35"/>
      <c r="D87" s="9"/>
      <c r="E87" s="9"/>
      <c r="F87" s="9"/>
      <c r="G87" s="9"/>
      <c r="H87" s="9"/>
      <c r="I87" s="9"/>
      <c r="J87" s="9"/>
      <c r="K87" s="9"/>
      <c r="L87" s="9"/>
      <c r="M87" s="9"/>
      <c r="N87" s="9"/>
      <c r="O87" s="9"/>
      <c r="P87" s="9"/>
      <c r="Q87" s="9"/>
      <c r="R87" s="9"/>
      <c r="S87" s="9"/>
      <c r="T87" s="9"/>
      <c r="U87" s="9"/>
      <c r="V87" s="9"/>
      <c r="W87" s="9"/>
      <c r="X87" s="9"/>
      <c r="Y87" s="8" t="str">
        <f>IFERROR((Table35[[#This Row],[F]]/Table35[[#This Row],[Total]]), "")</f>
        <v/>
      </c>
      <c r="Z87" s="8" t="str">
        <f>IFERROR((Table35[[#This Row],[M]]/Table35[[#This Row],[Total]]), "")</f>
        <v/>
      </c>
      <c r="AA87" s="8" t="str">
        <f>IFERROR((Table35[[#This Row],[Other]]/Table35[[#This Row],[Total]]), "")</f>
        <v/>
      </c>
      <c r="AB87" s="8" t="str">
        <f>IFERROR((Table35[[#This Row],[AmInd]]/Table35[[#This Row],[Total]]), "")</f>
        <v/>
      </c>
      <c r="AC87" s="8" t="str">
        <f>IFERROR((Table35[[#This Row],[Asian]]/Table35[[#This Row],[Total]]), "")</f>
        <v/>
      </c>
      <c r="AD87" s="8" t="str">
        <f>IFERROR((Table35[[#This Row],[Hispanic]]/Table35[[#This Row],[Total]]), "")</f>
        <v/>
      </c>
      <c r="AE87" s="8" t="str">
        <f>IFERROR((Table35[[#This Row],[Black]]/Table35[[#This Row],[Total]]), "")</f>
        <v/>
      </c>
      <c r="AF87" s="8" t="str">
        <f>IFERROR((Table35[[#This Row],[White]]/Table35[[#This Row],[Total]]), "")</f>
        <v/>
      </c>
      <c r="AG87" s="8" t="str">
        <f>IFERROR((Table35[[#This Row],[H/PI]]/Table35[[#This Row],[Total]]), "")</f>
        <v/>
      </c>
      <c r="AH87" s="8" t="str">
        <f>IFERROR((Table35[[#This Row],[Multi]]/Table35[[#This Row],[Total]]), "")</f>
        <v/>
      </c>
      <c r="AI87" s="8" t="str">
        <f>IFERROR((Table35[[#This Row],[Unknown]]/Table35[[#This Row],[Total]]), "")</f>
        <v/>
      </c>
      <c r="AJ87" s="8" t="str">
        <f>IFERROR((Table35[[#This Row],[Dis]]/Table35[[#This Row],[Total]]), "")</f>
        <v/>
      </c>
      <c r="AK87" s="8" t="str">
        <f>IFERROR((Table35[[#This Row],[ED]]/Table35[[#This Row],[Total]]), "")</f>
        <v/>
      </c>
      <c r="AL87" s="8" t="str">
        <f>IFERROR((Table35[[#This Row],[Non-trad]]/Table35[[#This Row],[Total]]), "")</f>
        <v/>
      </c>
      <c r="AM87" s="8" t="str">
        <f>IFERROR((Table35[[#This Row],[SP]]/Table35[[#This Row],[Total]]), "")</f>
        <v/>
      </c>
      <c r="AN87" s="8" t="str">
        <f>IFERROR((Table35[[#This Row],[OOW]]/Table35[[#This Row],[Total]]), "")</f>
        <v/>
      </c>
      <c r="AO87" s="8" t="str">
        <f>IFERROR((Table35[[#This Row],[EL]]/Table35[[#This Row],[Total]]), "")</f>
        <v/>
      </c>
      <c r="AP87" s="8" t="str">
        <f>IFERROR((Table35[[#This Row],[Homeless]]/Table35[[#This Row],[Total]]), "")</f>
        <v/>
      </c>
      <c r="AQ87" s="8" t="str">
        <f>IFERROR((Table35[[#This Row],[Foster]]/Table35[[#This Row],[Total]]), "")</f>
        <v/>
      </c>
      <c r="AR87" s="8" t="str">
        <f>IFERROR((Table35[[#This Row],[AD]]/Table35[[#This Row],[Total]]), "")</f>
        <v/>
      </c>
    </row>
    <row r="88" spans="1:44" x14ac:dyDescent="0.25">
      <c r="A88" s="35"/>
      <c r="B88" s="35"/>
      <c r="C88" s="35"/>
      <c r="D88" s="9"/>
      <c r="E88" s="9"/>
      <c r="F88" s="9"/>
      <c r="G88" s="9"/>
      <c r="H88" s="9"/>
      <c r="I88" s="9"/>
      <c r="J88" s="9"/>
      <c r="K88" s="9"/>
      <c r="L88" s="9"/>
      <c r="M88" s="9"/>
      <c r="N88" s="9"/>
      <c r="O88" s="9"/>
      <c r="P88" s="9"/>
      <c r="Q88" s="9"/>
      <c r="R88" s="9"/>
      <c r="S88" s="9"/>
      <c r="T88" s="9"/>
      <c r="U88" s="9"/>
      <c r="V88" s="9"/>
      <c r="W88" s="9"/>
      <c r="X88" s="9"/>
      <c r="Y88" s="8" t="str">
        <f>IFERROR((Table35[[#This Row],[F]]/Table35[[#This Row],[Total]]), "")</f>
        <v/>
      </c>
      <c r="Z88" s="8" t="str">
        <f>IFERROR((Table35[[#This Row],[M]]/Table35[[#This Row],[Total]]), "")</f>
        <v/>
      </c>
      <c r="AA88" s="8" t="str">
        <f>IFERROR((Table35[[#This Row],[Other]]/Table35[[#This Row],[Total]]), "")</f>
        <v/>
      </c>
      <c r="AB88" s="8" t="str">
        <f>IFERROR((Table35[[#This Row],[AmInd]]/Table35[[#This Row],[Total]]), "")</f>
        <v/>
      </c>
      <c r="AC88" s="8" t="str">
        <f>IFERROR((Table35[[#This Row],[Asian]]/Table35[[#This Row],[Total]]), "")</f>
        <v/>
      </c>
      <c r="AD88" s="8" t="str">
        <f>IFERROR((Table35[[#This Row],[Hispanic]]/Table35[[#This Row],[Total]]), "")</f>
        <v/>
      </c>
      <c r="AE88" s="8" t="str">
        <f>IFERROR((Table35[[#This Row],[Black]]/Table35[[#This Row],[Total]]), "")</f>
        <v/>
      </c>
      <c r="AF88" s="8" t="str">
        <f>IFERROR((Table35[[#This Row],[White]]/Table35[[#This Row],[Total]]), "")</f>
        <v/>
      </c>
      <c r="AG88" s="8" t="str">
        <f>IFERROR((Table35[[#This Row],[H/PI]]/Table35[[#This Row],[Total]]), "")</f>
        <v/>
      </c>
      <c r="AH88" s="8" t="str">
        <f>IFERROR((Table35[[#This Row],[Multi]]/Table35[[#This Row],[Total]]), "")</f>
        <v/>
      </c>
      <c r="AI88" s="8" t="str">
        <f>IFERROR((Table35[[#This Row],[Unknown]]/Table35[[#This Row],[Total]]), "")</f>
        <v/>
      </c>
      <c r="AJ88" s="8" t="str">
        <f>IFERROR((Table35[[#This Row],[Dis]]/Table35[[#This Row],[Total]]), "")</f>
        <v/>
      </c>
      <c r="AK88" s="8" t="str">
        <f>IFERROR((Table35[[#This Row],[ED]]/Table35[[#This Row],[Total]]), "")</f>
        <v/>
      </c>
      <c r="AL88" s="8" t="str">
        <f>IFERROR((Table35[[#This Row],[Non-trad]]/Table35[[#This Row],[Total]]), "")</f>
        <v/>
      </c>
      <c r="AM88" s="8" t="str">
        <f>IFERROR((Table35[[#This Row],[SP]]/Table35[[#This Row],[Total]]), "")</f>
        <v/>
      </c>
      <c r="AN88" s="8" t="str">
        <f>IFERROR((Table35[[#This Row],[OOW]]/Table35[[#This Row],[Total]]), "")</f>
        <v/>
      </c>
      <c r="AO88" s="8" t="str">
        <f>IFERROR((Table35[[#This Row],[EL]]/Table35[[#This Row],[Total]]), "")</f>
        <v/>
      </c>
      <c r="AP88" s="8" t="str">
        <f>IFERROR((Table35[[#This Row],[Homeless]]/Table35[[#This Row],[Total]]), "")</f>
        <v/>
      </c>
      <c r="AQ88" s="8" t="str">
        <f>IFERROR((Table35[[#This Row],[Foster]]/Table35[[#This Row],[Total]]), "")</f>
        <v/>
      </c>
      <c r="AR88" s="8" t="str">
        <f>IFERROR((Table35[[#This Row],[AD]]/Table35[[#This Row],[Total]]), "")</f>
        <v/>
      </c>
    </row>
    <row r="89" spans="1:44" x14ac:dyDescent="0.25">
      <c r="A89" s="35"/>
      <c r="B89" s="35"/>
      <c r="C89" s="35"/>
      <c r="D89" s="9"/>
      <c r="E89" s="9"/>
      <c r="F89" s="9"/>
      <c r="G89" s="9"/>
      <c r="H89" s="9"/>
      <c r="I89" s="9"/>
      <c r="J89" s="9"/>
      <c r="K89" s="9"/>
      <c r="L89" s="9"/>
      <c r="M89" s="9"/>
      <c r="N89" s="9"/>
      <c r="O89" s="9"/>
      <c r="P89" s="9"/>
      <c r="Q89" s="9"/>
      <c r="R89" s="9"/>
      <c r="S89" s="9"/>
      <c r="T89" s="9"/>
      <c r="U89" s="9"/>
      <c r="V89" s="9"/>
      <c r="W89" s="9"/>
      <c r="X89" s="9"/>
      <c r="Y89" s="8" t="str">
        <f>IFERROR((Table35[[#This Row],[F]]/Table35[[#This Row],[Total]]), "")</f>
        <v/>
      </c>
      <c r="Z89" s="8" t="str">
        <f>IFERROR((Table35[[#This Row],[M]]/Table35[[#This Row],[Total]]), "")</f>
        <v/>
      </c>
      <c r="AA89" s="8" t="str">
        <f>IFERROR((Table35[[#This Row],[Other]]/Table35[[#This Row],[Total]]), "")</f>
        <v/>
      </c>
      <c r="AB89" s="8" t="str">
        <f>IFERROR((Table35[[#This Row],[AmInd]]/Table35[[#This Row],[Total]]), "")</f>
        <v/>
      </c>
      <c r="AC89" s="8" t="str">
        <f>IFERROR((Table35[[#This Row],[Asian]]/Table35[[#This Row],[Total]]), "")</f>
        <v/>
      </c>
      <c r="AD89" s="8" t="str">
        <f>IFERROR((Table35[[#This Row],[Hispanic]]/Table35[[#This Row],[Total]]), "")</f>
        <v/>
      </c>
      <c r="AE89" s="8" t="str">
        <f>IFERROR((Table35[[#This Row],[Black]]/Table35[[#This Row],[Total]]), "")</f>
        <v/>
      </c>
      <c r="AF89" s="8" t="str">
        <f>IFERROR((Table35[[#This Row],[White]]/Table35[[#This Row],[Total]]), "")</f>
        <v/>
      </c>
      <c r="AG89" s="8" t="str">
        <f>IFERROR((Table35[[#This Row],[H/PI]]/Table35[[#This Row],[Total]]), "")</f>
        <v/>
      </c>
      <c r="AH89" s="8" t="str">
        <f>IFERROR((Table35[[#This Row],[Multi]]/Table35[[#This Row],[Total]]), "")</f>
        <v/>
      </c>
      <c r="AI89" s="8" t="str">
        <f>IFERROR((Table35[[#This Row],[Unknown]]/Table35[[#This Row],[Total]]), "")</f>
        <v/>
      </c>
      <c r="AJ89" s="8" t="str">
        <f>IFERROR((Table35[[#This Row],[Dis]]/Table35[[#This Row],[Total]]), "")</f>
        <v/>
      </c>
      <c r="AK89" s="8" t="str">
        <f>IFERROR((Table35[[#This Row],[ED]]/Table35[[#This Row],[Total]]), "")</f>
        <v/>
      </c>
      <c r="AL89" s="8" t="str">
        <f>IFERROR((Table35[[#This Row],[Non-trad]]/Table35[[#This Row],[Total]]), "")</f>
        <v/>
      </c>
      <c r="AM89" s="8" t="str">
        <f>IFERROR((Table35[[#This Row],[SP]]/Table35[[#This Row],[Total]]), "")</f>
        <v/>
      </c>
      <c r="AN89" s="8" t="str">
        <f>IFERROR((Table35[[#This Row],[OOW]]/Table35[[#This Row],[Total]]), "")</f>
        <v/>
      </c>
      <c r="AO89" s="8" t="str">
        <f>IFERROR((Table35[[#This Row],[EL]]/Table35[[#This Row],[Total]]), "")</f>
        <v/>
      </c>
      <c r="AP89" s="8" t="str">
        <f>IFERROR((Table35[[#This Row],[Homeless]]/Table35[[#This Row],[Total]]), "")</f>
        <v/>
      </c>
      <c r="AQ89" s="8" t="str">
        <f>IFERROR((Table35[[#This Row],[Foster]]/Table35[[#This Row],[Total]]), "")</f>
        <v/>
      </c>
      <c r="AR89" s="8" t="str">
        <f>IFERROR((Table35[[#This Row],[AD]]/Table35[[#This Row],[Total]]), "")</f>
        <v/>
      </c>
    </row>
    <row r="90" spans="1:44" x14ac:dyDescent="0.25">
      <c r="A90" s="35"/>
      <c r="B90" s="35"/>
      <c r="C90" s="35"/>
      <c r="D90" s="9"/>
      <c r="E90" s="9"/>
      <c r="F90" s="9"/>
      <c r="G90" s="9"/>
      <c r="H90" s="9"/>
      <c r="I90" s="9"/>
      <c r="J90" s="9"/>
      <c r="K90" s="9"/>
      <c r="L90" s="9"/>
      <c r="M90" s="9"/>
      <c r="N90" s="9"/>
      <c r="O90" s="9"/>
      <c r="P90" s="9"/>
      <c r="Q90" s="9"/>
      <c r="R90" s="9"/>
      <c r="S90" s="9"/>
      <c r="T90" s="9"/>
      <c r="U90" s="9"/>
      <c r="V90" s="9"/>
      <c r="W90" s="9"/>
      <c r="X90" s="9"/>
      <c r="Y90" s="8" t="str">
        <f>IFERROR((Table35[[#This Row],[F]]/Table35[[#This Row],[Total]]), "")</f>
        <v/>
      </c>
      <c r="Z90" s="8" t="str">
        <f>IFERROR((Table35[[#This Row],[M]]/Table35[[#This Row],[Total]]), "")</f>
        <v/>
      </c>
      <c r="AA90" s="8" t="str">
        <f>IFERROR((Table35[[#This Row],[Other]]/Table35[[#This Row],[Total]]), "")</f>
        <v/>
      </c>
      <c r="AB90" s="8" t="str">
        <f>IFERROR((Table35[[#This Row],[AmInd]]/Table35[[#This Row],[Total]]), "")</f>
        <v/>
      </c>
      <c r="AC90" s="8" t="str">
        <f>IFERROR((Table35[[#This Row],[Asian]]/Table35[[#This Row],[Total]]), "")</f>
        <v/>
      </c>
      <c r="AD90" s="8" t="str">
        <f>IFERROR((Table35[[#This Row],[Hispanic]]/Table35[[#This Row],[Total]]), "")</f>
        <v/>
      </c>
      <c r="AE90" s="8" t="str">
        <f>IFERROR((Table35[[#This Row],[Black]]/Table35[[#This Row],[Total]]), "")</f>
        <v/>
      </c>
      <c r="AF90" s="8" t="str">
        <f>IFERROR((Table35[[#This Row],[White]]/Table35[[#This Row],[Total]]), "")</f>
        <v/>
      </c>
      <c r="AG90" s="8" t="str">
        <f>IFERROR((Table35[[#This Row],[H/PI]]/Table35[[#This Row],[Total]]), "")</f>
        <v/>
      </c>
      <c r="AH90" s="8" t="str">
        <f>IFERROR((Table35[[#This Row],[Multi]]/Table35[[#This Row],[Total]]), "")</f>
        <v/>
      </c>
      <c r="AI90" s="8" t="str">
        <f>IFERROR((Table35[[#This Row],[Unknown]]/Table35[[#This Row],[Total]]), "")</f>
        <v/>
      </c>
      <c r="AJ90" s="8" t="str">
        <f>IFERROR((Table35[[#This Row],[Dis]]/Table35[[#This Row],[Total]]), "")</f>
        <v/>
      </c>
      <c r="AK90" s="8" t="str">
        <f>IFERROR((Table35[[#This Row],[ED]]/Table35[[#This Row],[Total]]), "")</f>
        <v/>
      </c>
      <c r="AL90" s="8" t="str">
        <f>IFERROR((Table35[[#This Row],[Non-trad]]/Table35[[#This Row],[Total]]), "")</f>
        <v/>
      </c>
      <c r="AM90" s="8" t="str">
        <f>IFERROR((Table35[[#This Row],[SP]]/Table35[[#This Row],[Total]]), "")</f>
        <v/>
      </c>
      <c r="AN90" s="8" t="str">
        <f>IFERROR((Table35[[#This Row],[OOW]]/Table35[[#This Row],[Total]]), "")</f>
        <v/>
      </c>
      <c r="AO90" s="8" t="str">
        <f>IFERROR((Table35[[#This Row],[EL]]/Table35[[#This Row],[Total]]), "")</f>
        <v/>
      </c>
      <c r="AP90" s="8" t="str">
        <f>IFERROR((Table35[[#This Row],[Homeless]]/Table35[[#This Row],[Total]]), "")</f>
        <v/>
      </c>
      <c r="AQ90" s="8" t="str">
        <f>IFERROR((Table35[[#This Row],[Foster]]/Table35[[#This Row],[Total]]), "")</f>
        <v/>
      </c>
      <c r="AR90" s="8" t="str">
        <f>IFERROR((Table35[[#This Row],[AD]]/Table35[[#This Row],[Total]]), "")</f>
        <v/>
      </c>
    </row>
    <row r="91" spans="1:44" x14ac:dyDescent="0.25">
      <c r="A91" s="35"/>
      <c r="B91" s="35"/>
      <c r="C91" s="35"/>
      <c r="D91" s="9"/>
      <c r="E91" s="9"/>
      <c r="F91" s="9"/>
      <c r="G91" s="9"/>
      <c r="H91" s="9"/>
      <c r="I91" s="9"/>
      <c r="J91" s="9"/>
      <c r="K91" s="9"/>
      <c r="L91" s="9"/>
      <c r="M91" s="9"/>
      <c r="N91" s="9"/>
      <c r="O91" s="9"/>
      <c r="P91" s="9"/>
      <c r="Q91" s="9"/>
      <c r="R91" s="9"/>
      <c r="S91" s="9"/>
      <c r="T91" s="9"/>
      <c r="U91" s="9"/>
      <c r="V91" s="9"/>
      <c r="W91" s="9"/>
      <c r="X91" s="9"/>
      <c r="Y91" s="8" t="str">
        <f>IFERROR((Table35[[#This Row],[F]]/Table35[[#This Row],[Total]]), "")</f>
        <v/>
      </c>
      <c r="Z91" s="8" t="str">
        <f>IFERROR((Table35[[#This Row],[M]]/Table35[[#This Row],[Total]]), "")</f>
        <v/>
      </c>
      <c r="AA91" s="8" t="str">
        <f>IFERROR((Table35[[#This Row],[Other]]/Table35[[#This Row],[Total]]), "")</f>
        <v/>
      </c>
      <c r="AB91" s="8" t="str">
        <f>IFERROR((Table35[[#This Row],[AmInd]]/Table35[[#This Row],[Total]]), "")</f>
        <v/>
      </c>
      <c r="AC91" s="8" t="str">
        <f>IFERROR((Table35[[#This Row],[Asian]]/Table35[[#This Row],[Total]]), "")</f>
        <v/>
      </c>
      <c r="AD91" s="8" t="str">
        <f>IFERROR((Table35[[#This Row],[Hispanic]]/Table35[[#This Row],[Total]]), "")</f>
        <v/>
      </c>
      <c r="AE91" s="8" t="str">
        <f>IFERROR((Table35[[#This Row],[Black]]/Table35[[#This Row],[Total]]), "")</f>
        <v/>
      </c>
      <c r="AF91" s="8" t="str">
        <f>IFERROR((Table35[[#This Row],[White]]/Table35[[#This Row],[Total]]), "")</f>
        <v/>
      </c>
      <c r="AG91" s="8" t="str">
        <f>IFERROR((Table35[[#This Row],[H/PI]]/Table35[[#This Row],[Total]]), "")</f>
        <v/>
      </c>
      <c r="AH91" s="8" t="str">
        <f>IFERROR((Table35[[#This Row],[Multi]]/Table35[[#This Row],[Total]]), "")</f>
        <v/>
      </c>
      <c r="AI91" s="8" t="str">
        <f>IFERROR((Table35[[#This Row],[Unknown]]/Table35[[#This Row],[Total]]), "")</f>
        <v/>
      </c>
      <c r="AJ91" s="8" t="str">
        <f>IFERROR((Table35[[#This Row],[Dis]]/Table35[[#This Row],[Total]]), "")</f>
        <v/>
      </c>
      <c r="AK91" s="8" t="str">
        <f>IFERROR((Table35[[#This Row],[ED]]/Table35[[#This Row],[Total]]), "")</f>
        <v/>
      </c>
      <c r="AL91" s="8" t="str">
        <f>IFERROR((Table35[[#This Row],[Non-trad]]/Table35[[#This Row],[Total]]), "")</f>
        <v/>
      </c>
      <c r="AM91" s="8" t="str">
        <f>IFERROR((Table35[[#This Row],[SP]]/Table35[[#This Row],[Total]]), "")</f>
        <v/>
      </c>
      <c r="AN91" s="8" t="str">
        <f>IFERROR((Table35[[#This Row],[OOW]]/Table35[[#This Row],[Total]]), "")</f>
        <v/>
      </c>
      <c r="AO91" s="8" t="str">
        <f>IFERROR((Table35[[#This Row],[EL]]/Table35[[#This Row],[Total]]), "")</f>
        <v/>
      </c>
      <c r="AP91" s="8" t="str">
        <f>IFERROR((Table35[[#This Row],[Homeless]]/Table35[[#This Row],[Total]]), "")</f>
        <v/>
      </c>
      <c r="AQ91" s="8" t="str">
        <f>IFERROR((Table35[[#This Row],[Foster]]/Table35[[#This Row],[Total]]), "")</f>
        <v/>
      </c>
      <c r="AR91" s="8" t="str">
        <f>IFERROR((Table35[[#This Row],[AD]]/Table35[[#This Row],[Total]]), "")</f>
        <v/>
      </c>
    </row>
    <row r="92" spans="1:44" x14ac:dyDescent="0.25">
      <c r="A92" s="35"/>
      <c r="B92" s="35"/>
      <c r="C92" s="35"/>
      <c r="D92" s="9"/>
      <c r="E92" s="9"/>
      <c r="F92" s="9"/>
      <c r="G92" s="9"/>
      <c r="H92" s="9"/>
      <c r="I92" s="9"/>
      <c r="J92" s="9"/>
      <c r="K92" s="9"/>
      <c r="L92" s="9"/>
      <c r="M92" s="9"/>
      <c r="N92" s="9"/>
      <c r="O92" s="9"/>
      <c r="P92" s="9"/>
      <c r="Q92" s="9"/>
      <c r="R92" s="9"/>
      <c r="S92" s="9"/>
      <c r="T92" s="9"/>
      <c r="U92" s="9"/>
      <c r="V92" s="9"/>
      <c r="W92" s="9"/>
      <c r="X92" s="9"/>
      <c r="Y92" s="8" t="str">
        <f>IFERROR((Table35[[#This Row],[F]]/Table35[[#This Row],[Total]]), "")</f>
        <v/>
      </c>
      <c r="Z92" s="8" t="str">
        <f>IFERROR((Table35[[#This Row],[M]]/Table35[[#This Row],[Total]]), "")</f>
        <v/>
      </c>
      <c r="AA92" s="8" t="str">
        <f>IFERROR((Table35[[#This Row],[Other]]/Table35[[#This Row],[Total]]), "")</f>
        <v/>
      </c>
      <c r="AB92" s="8" t="str">
        <f>IFERROR((Table35[[#This Row],[AmInd]]/Table35[[#This Row],[Total]]), "")</f>
        <v/>
      </c>
      <c r="AC92" s="8" t="str">
        <f>IFERROR((Table35[[#This Row],[Asian]]/Table35[[#This Row],[Total]]), "")</f>
        <v/>
      </c>
      <c r="AD92" s="8" t="str">
        <f>IFERROR((Table35[[#This Row],[Hispanic]]/Table35[[#This Row],[Total]]), "")</f>
        <v/>
      </c>
      <c r="AE92" s="8" t="str">
        <f>IFERROR((Table35[[#This Row],[Black]]/Table35[[#This Row],[Total]]), "")</f>
        <v/>
      </c>
      <c r="AF92" s="8" t="str">
        <f>IFERROR((Table35[[#This Row],[White]]/Table35[[#This Row],[Total]]), "")</f>
        <v/>
      </c>
      <c r="AG92" s="8" t="str">
        <f>IFERROR((Table35[[#This Row],[H/PI]]/Table35[[#This Row],[Total]]), "")</f>
        <v/>
      </c>
      <c r="AH92" s="8" t="str">
        <f>IFERROR((Table35[[#This Row],[Multi]]/Table35[[#This Row],[Total]]), "")</f>
        <v/>
      </c>
      <c r="AI92" s="8" t="str">
        <f>IFERROR((Table35[[#This Row],[Unknown]]/Table35[[#This Row],[Total]]), "")</f>
        <v/>
      </c>
      <c r="AJ92" s="8" t="str">
        <f>IFERROR((Table35[[#This Row],[Dis]]/Table35[[#This Row],[Total]]), "")</f>
        <v/>
      </c>
      <c r="AK92" s="8" t="str">
        <f>IFERROR((Table35[[#This Row],[ED]]/Table35[[#This Row],[Total]]), "")</f>
        <v/>
      </c>
      <c r="AL92" s="8" t="str">
        <f>IFERROR((Table35[[#This Row],[Non-trad]]/Table35[[#This Row],[Total]]), "")</f>
        <v/>
      </c>
      <c r="AM92" s="8" t="str">
        <f>IFERROR((Table35[[#This Row],[SP]]/Table35[[#This Row],[Total]]), "")</f>
        <v/>
      </c>
      <c r="AN92" s="8" t="str">
        <f>IFERROR((Table35[[#This Row],[OOW]]/Table35[[#This Row],[Total]]), "")</f>
        <v/>
      </c>
      <c r="AO92" s="8" t="str">
        <f>IFERROR((Table35[[#This Row],[EL]]/Table35[[#This Row],[Total]]), "")</f>
        <v/>
      </c>
      <c r="AP92" s="8" t="str">
        <f>IFERROR((Table35[[#This Row],[Homeless]]/Table35[[#This Row],[Total]]), "")</f>
        <v/>
      </c>
      <c r="AQ92" s="8" t="str">
        <f>IFERROR((Table35[[#This Row],[Foster]]/Table35[[#This Row],[Total]]), "")</f>
        <v/>
      </c>
      <c r="AR92" s="8" t="str">
        <f>IFERROR((Table35[[#This Row],[AD]]/Table35[[#This Row],[Total]]), "")</f>
        <v/>
      </c>
    </row>
    <row r="93" spans="1:44" x14ac:dyDescent="0.25">
      <c r="A93" s="35"/>
      <c r="B93" s="35"/>
      <c r="C93" s="35"/>
      <c r="D93" s="9"/>
      <c r="E93" s="9"/>
      <c r="F93" s="9"/>
      <c r="G93" s="9"/>
      <c r="H93" s="9"/>
      <c r="I93" s="9"/>
      <c r="J93" s="9"/>
      <c r="K93" s="9"/>
      <c r="L93" s="9"/>
      <c r="M93" s="9"/>
      <c r="N93" s="9"/>
      <c r="O93" s="9"/>
      <c r="P93" s="9"/>
      <c r="Q93" s="9"/>
      <c r="R93" s="9"/>
      <c r="S93" s="9"/>
      <c r="T93" s="9"/>
      <c r="U93" s="9"/>
      <c r="V93" s="9"/>
      <c r="W93" s="9"/>
      <c r="X93" s="9"/>
      <c r="Y93" s="8" t="str">
        <f>IFERROR((Table35[[#This Row],[F]]/Table35[[#This Row],[Total]]), "")</f>
        <v/>
      </c>
      <c r="Z93" s="8" t="str">
        <f>IFERROR((Table35[[#This Row],[M]]/Table35[[#This Row],[Total]]), "")</f>
        <v/>
      </c>
      <c r="AA93" s="8" t="str">
        <f>IFERROR((Table35[[#This Row],[Other]]/Table35[[#This Row],[Total]]), "")</f>
        <v/>
      </c>
      <c r="AB93" s="8" t="str">
        <f>IFERROR((Table35[[#This Row],[AmInd]]/Table35[[#This Row],[Total]]), "")</f>
        <v/>
      </c>
      <c r="AC93" s="8" t="str">
        <f>IFERROR((Table35[[#This Row],[Asian]]/Table35[[#This Row],[Total]]), "")</f>
        <v/>
      </c>
      <c r="AD93" s="8" t="str">
        <f>IFERROR((Table35[[#This Row],[Hispanic]]/Table35[[#This Row],[Total]]), "")</f>
        <v/>
      </c>
      <c r="AE93" s="8" t="str">
        <f>IFERROR((Table35[[#This Row],[Black]]/Table35[[#This Row],[Total]]), "")</f>
        <v/>
      </c>
      <c r="AF93" s="8" t="str">
        <f>IFERROR((Table35[[#This Row],[White]]/Table35[[#This Row],[Total]]), "")</f>
        <v/>
      </c>
      <c r="AG93" s="8" t="str">
        <f>IFERROR((Table35[[#This Row],[H/PI]]/Table35[[#This Row],[Total]]), "")</f>
        <v/>
      </c>
      <c r="AH93" s="8" t="str">
        <f>IFERROR((Table35[[#This Row],[Multi]]/Table35[[#This Row],[Total]]), "")</f>
        <v/>
      </c>
      <c r="AI93" s="8" t="str">
        <f>IFERROR((Table35[[#This Row],[Unknown]]/Table35[[#This Row],[Total]]), "")</f>
        <v/>
      </c>
      <c r="AJ93" s="8" t="str">
        <f>IFERROR((Table35[[#This Row],[Dis]]/Table35[[#This Row],[Total]]), "")</f>
        <v/>
      </c>
      <c r="AK93" s="8" t="str">
        <f>IFERROR((Table35[[#This Row],[ED]]/Table35[[#This Row],[Total]]), "")</f>
        <v/>
      </c>
      <c r="AL93" s="8" t="str">
        <f>IFERROR((Table35[[#This Row],[Non-trad]]/Table35[[#This Row],[Total]]), "")</f>
        <v/>
      </c>
      <c r="AM93" s="8" t="str">
        <f>IFERROR((Table35[[#This Row],[SP]]/Table35[[#This Row],[Total]]), "")</f>
        <v/>
      </c>
      <c r="AN93" s="8" t="str">
        <f>IFERROR((Table35[[#This Row],[OOW]]/Table35[[#This Row],[Total]]), "")</f>
        <v/>
      </c>
      <c r="AO93" s="8" t="str">
        <f>IFERROR((Table35[[#This Row],[EL]]/Table35[[#This Row],[Total]]), "")</f>
        <v/>
      </c>
      <c r="AP93" s="8" t="str">
        <f>IFERROR((Table35[[#This Row],[Homeless]]/Table35[[#This Row],[Total]]), "")</f>
        <v/>
      </c>
      <c r="AQ93" s="8" t="str">
        <f>IFERROR((Table35[[#This Row],[Foster]]/Table35[[#This Row],[Total]]), "")</f>
        <v/>
      </c>
      <c r="AR93" s="8" t="str">
        <f>IFERROR((Table35[[#This Row],[AD]]/Table35[[#This Row],[Total]]), "")</f>
        <v/>
      </c>
    </row>
    <row r="94" spans="1:44" x14ac:dyDescent="0.25">
      <c r="A94" s="35"/>
      <c r="B94" s="35"/>
      <c r="C94" s="35"/>
      <c r="D94" s="9"/>
      <c r="E94" s="9"/>
      <c r="F94" s="9"/>
      <c r="G94" s="9"/>
      <c r="H94" s="9"/>
      <c r="I94" s="9"/>
      <c r="J94" s="9"/>
      <c r="K94" s="9"/>
      <c r="L94" s="9"/>
      <c r="M94" s="9"/>
      <c r="N94" s="9"/>
      <c r="O94" s="9"/>
      <c r="P94" s="9"/>
      <c r="Q94" s="9"/>
      <c r="R94" s="9"/>
      <c r="S94" s="9"/>
      <c r="T94" s="9"/>
      <c r="U94" s="9"/>
      <c r="V94" s="9"/>
      <c r="W94" s="9"/>
      <c r="X94" s="9"/>
      <c r="Y94" s="8" t="str">
        <f>IFERROR((Table35[[#This Row],[F]]/Table35[[#This Row],[Total]]), "")</f>
        <v/>
      </c>
      <c r="Z94" s="8" t="str">
        <f>IFERROR((Table35[[#This Row],[M]]/Table35[[#This Row],[Total]]), "")</f>
        <v/>
      </c>
      <c r="AA94" s="8" t="str">
        <f>IFERROR((Table35[[#This Row],[Other]]/Table35[[#This Row],[Total]]), "")</f>
        <v/>
      </c>
      <c r="AB94" s="8" t="str">
        <f>IFERROR((Table35[[#This Row],[AmInd]]/Table35[[#This Row],[Total]]), "")</f>
        <v/>
      </c>
      <c r="AC94" s="8" t="str">
        <f>IFERROR((Table35[[#This Row],[Asian]]/Table35[[#This Row],[Total]]), "")</f>
        <v/>
      </c>
      <c r="AD94" s="8" t="str">
        <f>IFERROR((Table35[[#This Row],[Hispanic]]/Table35[[#This Row],[Total]]), "")</f>
        <v/>
      </c>
      <c r="AE94" s="8" t="str">
        <f>IFERROR((Table35[[#This Row],[Black]]/Table35[[#This Row],[Total]]), "")</f>
        <v/>
      </c>
      <c r="AF94" s="8" t="str">
        <f>IFERROR((Table35[[#This Row],[White]]/Table35[[#This Row],[Total]]), "")</f>
        <v/>
      </c>
      <c r="AG94" s="8" t="str">
        <f>IFERROR((Table35[[#This Row],[H/PI]]/Table35[[#This Row],[Total]]), "")</f>
        <v/>
      </c>
      <c r="AH94" s="8" t="str">
        <f>IFERROR((Table35[[#This Row],[Multi]]/Table35[[#This Row],[Total]]), "")</f>
        <v/>
      </c>
      <c r="AI94" s="8" t="str">
        <f>IFERROR((Table35[[#This Row],[Unknown]]/Table35[[#This Row],[Total]]), "")</f>
        <v/>
      </c>
      <c r="AJ94" s="8" t="str">
        <f>IFERROR((Table35[[#This Row],[Dis]]/Table35[[#This Row],[Total]]), "")</f>
        <v/>
      </c>
      <c r="AK94" s="8" t="str">
        <f>IFERROR((Table35[[#This Row],[ED]]/Table35[[#This Row],[Total]]), "")</f>
        <v/>
      </c>
      <c r="AL94" s="8" t="str">
        <f>IFERROR((Table35[[#This Row],[Non-trad]]/Table35[[#This Row],[Total]]), "")</f>
        <v/>
      </c>
      <c r="AM94" s="8" t="str">
        <f>IFERROR((Table35[[#This Row],[SP]]/Table35[[#This Row],[Total]]), "")</f>
        <v/>
      </c>
      <c r="AN94" s="8" t="str">
        <f>IFERROR((Table35[[#This Row],[OOW]]/Table35[[#This Row],[Total]]), "")</f>
        <v/>
      </c>
      <c r="AO94" s="8" t="str">
        <f>IFERROR((Table35[[#This Row],[EL]]/Table35[[#This Row],[Total]]), "")</f>
        <v/>
      </c>
      <c r="AP94" s="8" t="str">
        <f>IFERROR((Table35[[#This Row],[Homeless]]/Table35[[#This Row],[Total]]), "")</f>
        <v/>
      </c>
      <c r="AQ94" s="8" t="str">
        <f>IFERROR((Table35[[#This Row],[Foster]]/Table35[[#This Row],[Total]]), "")</f>
        <v/>
      </c>
      <c r="AR94" s="8" t="str">
        <f>IFERROR((Table35[[#This Row],[AD]]/Table35[[#This Row],[Total]]), "")</f>
        <v/>
      </c>
    </row>
    <row r="95" spans="1:44" x14ac:dyDescent="0.25">
      <c r="A95" s="35"/>
      <c r="B95" s="35"/>
      <c r="C95" s="35"/>
      <c r="D95" s="9"/>
      <c r="E95" s="9"/>
      <c r="F95" s="9"/>
      <c r="G95" s="9"/>
      <c r="H95" s="9"/>
      <c r="I95" s="9"/>
      <c r="J95" s="9"/>
      <c r="K95" s="9"/>
      <c r="L95" s="9"/>
      <c r="M95" s="9"/>
      <c r="N95" s="9"/>
      <c r="O95" s="9"/>
      <c r="P95" s="9"/>
      <c r="Q95" s="9"/>
      <c r="R95" s="9"/>
      <c r="S95" s="9"/>
      <c r="T95" s="9"/>
      <c r="U95" s="9"/>
      <c r="V95" s="9"/>
      <c r="W95" s="9"/>
      <c r="X95" s="9"/>
      <c r="Y95" s="8" t="str">
        <f>IFERROR((Table35[[#This Row],[F]]/Table35[[#This Row],[Total]]), "")</f>
        <v/>
      </c>
      <c r="Z95" s="8" t="str">
        <f>IFERROR((Table35[[#This Row],[M]]/Table35[[#This Row],[Total]]), "")</f>
        <v/>
      </c>
      <c r="AA95" s="8" t="str">
        <f>IFERROR((Table35[[#This Row],[Other]]/Table35[[#This Row],[Total]]), "")</f>
        <v/>
      </c>
      <c r="AB95" s="8" t="str">
        <f>IFERROR((Table35[[#This Row],[AmInd]]/Table35[[#This Row],[Total]]), "")</f>
        <v/>
      </c>
      <c r="AC95" s="8" t="str">
        <f>IFERROR((Table35[[#This Row],[Asian]]/Table35[[#This Row],[Total]]), "")</f>
        <v/>
      </c>
      <c r="AD95" s="8" t="str">
        <f>IFERROR((Table35[[#This Row],[Hispanic]]/Table35[[#This Row],[Total]]), "")</f>
        <v/>
      </c>
      <c r="AE95" s="8" t="str">
        <f>IFERROR((Table35[[#This Row],[Black]]/Table35[[#This Row],[Total]]), "")</f>
        <v/>
      </c>
      <c r="AF95" s="8" t="str">
        <f>IFERROR((Table35[[#This Row],[White]]/Table35[[#This Row],[Total]]), "")</f>
        <v/>
      </c>
      <c r="AG95" s="8" t="str">
        <f>IFERROR((Table35[[#This Row],[H/PI]]/Table35[[#This Row],[Total]]), "")</f>
        <v/>
      </c>
      <c r="AH95" s="8" t="str">
        <f>IFERROR((Table35[[#This Row],[Multi]]/Table35[[#This Row],[Total]]), "")</f>
        <v/>
      </c>
      <c r="AI95" s="8" t="str">
        <f>IFERROR((Table35[[#This Row],[Unknown]]/Table35[[#This Row],[Total]]), "")</f>
        <v/>
      </c>
      <c r="AJ95" s="8" t="str">
        <f>IFERROR((Table35[[#This Row],[Dis]]/Table35[[#This Row],[Total]]), "")</f>
        <v/>
      </c>
      <c r="AK95" s="8" t="str">
        <f>IFERROR((Table35[[#This Row],[ED]]/Table35[[#This Row],[Total]]), "")</f>
        <v/>
      </c>
      <c r="AL95" s="8" t="str">
        <f>IFERROR((Table35[[#This Row],[Non-trad]]/Table35[[#This Row],[Total]]), "")</f>
        <v/>
      </c>
      <c r="AM95" s="8" t="str">
        <f>IFERROR((Table35[[#This Row],[SP]]/Table35[[#This Row],[Total]]), "")</f>
        <v/>
      </c>
      <c r="AN95" s="8" t="str">
        <f>IFERROR((Table35[[#This Row],[OOW]]/Table35[[#This Row],[Total]]), "")</f>
        <v/>
      </c>
      <c r="AO95" s="8" t="str">
        <f>IFERROR((Table35[[#This Row],[EL]]/Table35[[#This Row],[Total]]), "")</f>
        <v/>
      </c>
      <c r="AP95" s="8" t="str">
        <f>IFERROR((Table35[[#This Row],[Homeless]]/Table35[[#This Row],[Total]]), "")</f>
        <v/>
      </c>
      <c r="AQ95" s="8" t="str">
        <f>IFERROR((Table35[[#This Row],[Foster]]/Table35[[#This Row],[Total]]), "")</f>
        <v/>
      </c>
      <c r="AR95" s="8" t="str">
        <f>IFERROR((Table35[[#This Row],[AD]]/Table35[[#This Row],[Total]]), "")</f>
        <v/>
      </c>
    </row>
    <row r="96" spans="1:44" x14ac:dyDescent="0.25">
      <c r="A96" s="35"/>
      <c r="B96" s="35"/>
      <c r="C96" s="35"/>
      <c r="D96" s="9"/>
      <c r="E96" s="9"/>
      <c r="F96" s="9"/>
      <c r="G96" s="9"/>
      <c r="H96" s="9"/>
      <c r="I96" s="9"/>
      <c r="J96" s="9"/>
      <c r="K96" s="9"/>
      <c r="L96" s="9"/>
      <c r="M96" s="9"/>
      <c r="N96" s="9"/>
      <c r="O96" s="9"/>
      <c r="P96" s="9"/>
      <c r="Q96" s="9"/>
      <c r="R96" s="9"/>
      <c r="S96" s="9"/>
      <c r="T96" s="9"/>
      <c r="U96" s="9"/>
      <c r="V96" s="9"/>
      <c r="W96" s="9"/>
      <c r="X96" s="9"/>
      <c r="Y96" s="8" t="str">
        <f>IFERROR((Table35[[#This Row],[F]]/Table35[[#This Row],[Total]]), "")</f>
        <v/>
      </c>
      <c r="Z96" s="8" t="str">
        <f>IFERROR((Table35[[#This Row],[M]]/Table35[[#This Row],[Total]]), "")</f>
        <v/>
      </c>
      <c r="AA96" s="8" t="str">
        <f>IFERROR((Table35[[#This Row],[Other]]/Table35[[#This Row],[Total]]), "")</f>
        <v/>
      </c>
      <c r="AB96" s="8" t="str">
        <f>IFERROR((Table35[[#This Row],[AmInd]]/Table35[[#This Row],[Total]]), "")</f>
        <v/>
      </c>
      <c r="AC96" s="8" t="str">
        <f>IFERROR((Table35[[#This Row],[Asian]]/Table35[[#This Row],[Total]]), "")</f>
        <v/>
      </c>
      <c r="AD96" s="8" t="str">
        <f>IFERROR((Table35[[#This Row],[Hispanic]]/Table35[[#This Row],[Total]]), "")</f>
        <v/>
      </c>
      <c r="AE96" s="8" t="str">
        <f>IFERROR((Table35[[#This Row],[Black]]/Table35[[#This Row],[Total]]), "")</f>
        <v/>
      </c>
      <c r="AF96" s="8" t="str">
        <f>IFERROR((Table35[[#This Row],[White]]/Table35[[#This Row],[Total]]), "")</f>
        <v/>
      </c>
      <c r="AG96" s="8" t="str">
        <f>IFERROR((Table35[[#This Row],[H/PI]]/Table35[[#This Row],[Total]]), "")</f>
        <v/>
      </c>
      <c r="AH96" s="8" t="str">
        <f>IFERROR((Table35[[#This Row],[Multi]]/Table35[[#This Row],[Total]]), "")</f>
        <v/>
      </c>
      <c r="AI96" s="8" t="str">
        <f>IFERROR((Table35[[#This Row],[Unknown]]/Table35[[#This Row],[Total]]), "")</f>
        <v/>
      </c>
      <c r="AJ96" s="8" t="str">
        <f>IFERROR((Table35[[#This Row],[Dis]]/Table35[[#This Row],[Total]]), "")</f>
        <v/>
      </c>
      <c r="AK96" s="8" t="str">
        <f>IFERROR((Table35[[#This Row],[ED]]/Table35[[#This Row],[Total]]), "")</f>
        <v/>
      </c>
      <c r="AL96" s="8" t="str">
        <f>IFERROR((Table35[[#This Row],[Non-trad]]/Table35[[#This Row],[Total]]), "")</f>
        <v/>
      </c>
      <c r="AM96" s="8" t="str">
        <f>IFERROR((Table35[[#This Row],[SP]]/Table35[[#This Row],[Total]]), "")</f>
        <v/>
      </c>
      <c r="AN96" s="8" t="str">
        <f>IFERROR((Table35[[#This Row],[OOW]]/Table35[[#This Row],[Total]]), "")</f>
        <v/>
      </c>
      <c r="AO96" s="8" t="str">
        <f>IFERROR((Table35[[#This Row],[EL]]/Table35[[#This Row],[Total]]), "")</f>
        <v/>
      </c>
      <c r="AP96" s="8" t="str">
        <f>IFERROR((Table35[[#This Row],[Homeless]]/Table35[[#This Row],[Total]]), "")</f>
        <v/>
      </c>
      <c r="AQ96" s="8" t="str">
        <f>IFERROR((Table35[[#This Row],[Foster]]/Table35[[#This Row],[Total]]), "")</f>
        <v/>
      </c>
      <c r="AR96" s="8" t="str">
        <f>IFERROR((Table35[[#This Row],[AD]]/Table35[[#This Row],[Total]]), "")</f>
        <v/>
      </c>
    </row>
    <row r="97" spans="1:44" x14ac:dyDescent="0.25">
      <c r="A97" s="35"/>
      <c r="B97" s="35"/>
      <c r="C97" s="35"/>
      <c r="D97" s="9"/>
      <c r="E97" s="9"/>
      <c r="F97" s="9"/>
      <c r="G97" s="9"/>
      <c r="H97" s="9"/>
      <c r="I97" s="9"/>
      <c r="J97" s="9"/>
      <c r="K97" s="9"/>
      <c r="L97" s="9"/>
      <c r="M97" s="9"/>
      <c r="N97" s="9"/>
      <c r="O97" s="9"/>
      <c r="P97" s="9"/>
      <c r="Q97" s="9"/>
      <c r="R97" s="9"/>
      <c r="S97" s="9"/>
      <c r="T97" s="9"/>
      <c r="U97" s="9"/>
      <c r="V97" s="9"/>
      <c r="W97" s="9"/>
      <c r="X97" s="9"/>
      <c r="Y97" s="8" t="str">
        <f>IFERROR((Table35[[#This Row],[F]]/Table35[[#This Row],[Total]]), "")</f>
        <v/>
      </c>
      <c r="Z97" s="8" t="str">
        <f>IFERROR((Table35[[#This Row],[M]]/Table35[[#This Row],[Total]]), "")</f>
        <v/>
      </c>
      <c r="AA97" s="8" t="str">
        <f>IFERROR((Table35[[#This Row],[Other]]/Table35[[#This Row],[Total]]), "")</f>
        <v/>
      </c>
      <c r="AB97" s="8" t="str">
        <f>IFERROR((Table35[[#This Row],[AmInd]]/Table35[[#This Row],[Total]]), "")</f>
        <v/>
      </c>
      <c r="AC97" s="8" t="str">
        <f>IFERROR((Table35[[#This Row],[Asian]]/Table35[[#This Row],[Total]]), "")</f>
        <v/>
      </c>
      <c r="AD97" s="8" t="str">
        <f>IFERROR((Table35[[#This Row],[Hispanic]]/Table35[[#This Row],[Total]]), "")</f>
        <v/>
      </c>
      <c r="AE97" s="8" t="str">
        <f>IFERROR((Table35[[#This Row],[Black]]/Table35[[#This Row],[Total]]), "")</f>
        <v/>
      </c>
      <c r="AF97" s="8" t="str">
        <f>IFERROR((Table35[[#This Row],[White]]/Table35[[#This Row],[Total]]), "")</f>
        <v/>
      </c>
      <c r="AG97" s="8" t="str">
        <f>IFERROR((Table35[[#This Row],[H/PI]]/Table35[[#This Row],[Total]]), "")</f>
        <v/>
      </c>
      <c r="AH97" s="8" t="str">
        <f>IFERROR((Table35[[#This Row],[Multi]]/Table35[[#This Row],[Total]]), "")</f>
        <v/>
      </c>
      <c r="AI97" s="8" t="str">
        <f>IFERROR((Table35[[#This Row],[Unknown]]/Table35[[#This Row],[Total]]), "")</f>
        <v/>
      </c>
      <c r="AJ97" s="8" t="str">
        <f>IFERROR((Table35[[#This Row],[Dis]]/Table35[[#This Row],[Total]]), "")</f>
        <v/>
      </c>
      <c r="AK97" s="8" t="str">
        <f>IFERROR((Table35[[#This Row],[ED]]/Table35[[#This Row],[Total]]), "")</f>
        <v/>
      </c>
      <c r="AL97" s="8" t="str">
        <f>IFERROR((Table35[[#This Row],[Non-trad]]/Table35[[#This Row],[Total]]), "")</f>
        <v/>
      </c>
      <c r="AM97" s="8" t="str">
        <f>IFERROR((Table35[[#This Row],[SP]]/Table35[[#This Row],[Total]]), "")</f>
        <v/>
      </c>
      <c r="AN97" s="8" t="str">
        <f>IFERROR((Table35[[#This Row],[OOW]]/Table35[[#This Row],[Total]]), "")</f>
        <v/>
      </c>
      <c r="AO97" s="8" t="str">
        <f>IFERROR((Table35[[#This Row],[EL]]/Table35[[#This Row],[Total]]), "")</f>
        <v/>
      </c>
      <c r="AP97" s="8" t="str">
        <f>IFERROR((Table35[[#This Row],[Homeless]]/Table35[[#This Row],[Total]]), "")</f>
        <v/>
      </c>
      <c r="AQ97" s="8" t="str">
        <f>IFERROR((Table35[[#This Row],[Foster]]/Table35[[#This Row],[Total]]), "")</f>
        <v/>
      </c>
      <c r="AR97" s="8" t="str">
        <f>IFERROR((Table35[[#This Row],[AD]]/Table35[[#This Row],[Total]]), "")</f>
        <v/>
      </c>
    </row>
    <row r="98" spans="1:44" x14ac:dyDescent="0.25">
      <c r="A98" s="35"/>
      <c r="B98" s="35"/>
      <c r="C98" s="35"/>
      <c r="D98" s="9"/>
      <c r="E98" s="9"/>
      <c r="F98" s="9"/>
      <c r="G98" s="9"/>
      <c r="H98" s="9"/>
      <c r="I98" s="9"/>
      <c r="J98" s="9"/>
      <c r="K98" s="9"/>
      <c r="L98" s="9"/>
      <c r="M98" s="9"/>
      <c r="N98" s="9"/>
      <c r="O98" s="9"/>
      <c r="P98" s="9"/>
      <c r="Q98" s="9"/>
      <c r="R98" s="9"/>
      <c r="S98" s="9"/>
      <c r="T98" s="9"/>
      <c r="U98" s="9"/>
      <c r="V98" s="9"/>
      <c r="W98" s="9"/>
      <c r="X98" s="9"/>
      <c r="Y98" s="8" t="str">
        <f>IFERROR((Table35[[#This Row],[F]]/Table35[[#This Row],[Total]]), "")</f>
        <v/>
      </c>
      <c r="Z98" s="8" t="str">
        <f>IFERROR((Table35[[#This Row],[M]]/Table35[[#This Row],[Total]]), "")</f>
        <v/>
      </c>
      <c r="AA98" s="8" t="str">
        <f>IFERROR((Table35[[#This Row],[Other]]/Table35[[#This Row],[Total]]), "")</f>
        <v/>
      </c>
      <c r="AB98" s="8" t="str">
        <f>IFERROR((Table35[[#This Row],[AmInd]]/Table35[[#This Row],[Total]]), "")</f>
        <v/>
      </c>
      <c r="AC98" s="8" t="str">
        <f>IFERROR((Table35[[#This Row],[Asian]]/Table35[[#This Row],[Total]]), "")</f>
        <v/>
      </c>
      <c r="AD98" s="8" t="str">
        <f>IFERROR((Table35[[#This Row],[Hispanic]]/Table35[[#This Row],[Total]]), "")</f>
        <v/>
      </c>
      <c r="AE98" s="8" t="str">
        <f>IFERROR((Table35[[#This Row],[Black]]/Table35[[#This Row],[Total]]), "")</f>
        <v/>
      </c>
      <c r="AF98" s="8" t="str">
        <f>IFERROR((Table35[[#This Row],[White]]/Table35[[#This Row],[Total]]), "")</f>
        <v/>
      </c>
      <c r="AG98" s="8" t="str">
        <f>IFERROR((Table35[[#This Row],[H/PI]]/Table35[[#This Row],[Total]]), "")</f>
        <v/>
      </c>
      <c r="AH98" s="8" t="str">
        <f>IFERROR((Table35[[#This Row],[Multi]]/Table35[[#This Row],[Total]]), "")</f>
        <v/>
      </c>
      <c r="AI98" s="8" t="str">
        <f>IFERROR((Table35[[#This Row],[Unknown]]/Table35[[#This Row],[Total]]), "")</f>
        <v/>
      </c>
      <c r="AJ98" s="8" t="str">
        <f>IFERROR((Table35[[#This Row],[Dis]]/Table35[[#This Row],[Total]]), "")</f>
        <v/>
      </c>
      <c r="AK98" s="8" t="str">
        <f>IFERROR((Table35[[#This Row],[ED]]/Table35[[#This Row],[Total]]), "")</f>
        <v/>
      </c>
      <c r="AL98" s="8" t="str">
        <f>IFERROR((Table35[[#This Row],[Non-trad]]/Table35[[#This Row],[Total]]), "")</f>
        <v/>
      </c>
      <c r="AM98" s="8" t="str">
        <f>IFERROR((Table35[[#This Row],[SP]]/Table35[[#This Row],[Total]]), "")</f>
        <v/>
      </c>
      <c r="AN98" s="8" t="str">
        <f>IFERROR((Table35[[#This Row],[OOW]]/Table35[[#This Row],[Total]]), "")</f>
        <v/>
      </c>
      <c r="AO98" s="8" t="str">
        <f>IFERROR((Table35[[#This Row],[EL]]/Table35[[#This Row],[Total]]), "")</f>
        <v/>
      </c>
      <c r="AP98" s="8" t="str">
        <f>IFERROR((Table35[[#This Row],[Homeless]]/Table35[[#This Row],[Total]]), "")</f>
        <v/>
      </c>
      <c r="AQ98" s="8" t="str">
        <f>IFERROR((Table35[[#This Row],[Foster]]/Table35[[#This Row],[Total]]), "")</f>
        <v/>
      </c>
      <c r="AR98" s="8" t="str">
        <f>IFERROR((Table35[[#This Row],[AD]]/Table35[[#This Row],[Total]]), "")</f>
        <v/>
      </c>
    </row>
    <row r="99" spans="1:44" x14ac:dyDescent="0.25">
      <c r="A99" s="35"/>
      <c r="B99" s="35"/>
      <c r="C99" s="35"/>
      <c r="D99" s="9"/>
      <c r="E99" s="9"/>
      <c r="F99" s="9"/>
      <c r="G99" s="9"/>
      <c r="H99" s="9"/>
      <c r="I99" s="9"/>
      <c r="J99" s="9"/>
      <c r="K99" s="9"/>
      <c r="L99" s="9"/>
      <c r="M99" s="9"/>
      <c r="N99" s="9"/>
      <c r="O99" s="9"/>
      <c r="P99" s="9"/>
      <c r="Q99" s="9"/>
      <c r="R99" s="9"/>
      <c r="S99" s="9"/>
      <c r="T99" s="9"/>
      <c r="U99" s="9"/>
      <c r="V99" s="9"/>
      <c r="W99" s="9"/>
      <c r="X99" s="9"/>
      <c r="Y99" s="8" t="str">
        <f>IFERROR((Table35[[#This Row],[F]]/Table35[[#This Row],[Total]]), "")</f>
        <v/>
      </c>
      <c r="Z99" s="8" t="str">
        <f>IFERROR((Table35[[#This Row],[M]]/Table35[[#This Row],[Total]]), "")</f>
        <v/>
      </c>
      <c r="AA99" s="8" t="str">
        <f>IFERROR((Table35[[#This Row],[Other]]/Table35[[#This Row],[Total]]), "")</f>
        <v/>
      </c>
      <c r="AB99" s="8" t="str">
        <f>IFERROR((Table35[[#This Row],[AmInd]]/Table35[[#This Row],[Total]]), "")</f>
        <v/>
      </c>
      <c r="AC99" s="8" t="str">
        <f>IFERROR((Table35[[#This Row],[Asian]]/Table35[[#This Row],[Total]]), "")</f>
        <v/>
      </c>
      <c r="AD99" s="8" t="str">
        <f>IFERROR((Table35[[#This Row],[Hispanic]]/Table35[[#This Row],[Total]]), "")</f>
        <v/>
      </c>
      <c r="AE99" s="8" t="str">
        <f>IFERROR((Table35[[#This Row],[Black]]/Table35[[#This Row],[Total]]), "")</f>
        <v/>
      </c>
      <c r="AF99" s="8" t="str">
        <f>IFERROR((Table35[[#This Row],[White]]/Table35[[#This Row],[Total]]), "")</f>
        <v/>
      </c>
      <c r="AG99" s="8" t="str">
        <f>IFERROR((Table35[[#This Row],[H/PI]]/Table35[[#This Row],[Total]]), "")</f>
        <v/>
      </c>
      <c r="AH99" s="8" t="str">
        <f>IFERROR((Table35[[#This Row],[Multi]]/Table35[[#This Row],[Total]]), "")</f>
        <v/>
      </c>
      <c r="AI99" s="8" t="str">
        <f>IFERROR((Table35[[#This Row],[Unknown]]/Table35[[#This Row],[Total]]), "")</f>
        <v/>
      </c>
      <c r="AJ99" s="8" t="str">
        <f>IFERROR((Table35[[#This Row],[Dis]]/Table35[[#This Row],[Total]]), "")</f>
        <v/>
      </c>
      <c r="AK99" s="8" t="str">
        <f>IFERROR((Table35[[#This Row],[ED]]/Table35[[#This Row],[Total]]), "")</f>
        <v/>
      </c>
      <c r="AL99" s="8" t="str">
        <f>IFERROR((Table35[[#This Row],[Non-trad]]/Table35[[#This Row],[Total]]), "")</f>
        <v/>
      </c>
      <c r="AM99" s="8" t="str">
        <f>IFERROR((Table35[[#This Row],[SP]]/Table35[[#This Row],[Total]]), "")</f>
        <v/>
      </c>
      <c r="AN99" s="8" t="str">
        <f>IFERROR((Table35[[#This Row],[OOW]]/Table35[[#This Row],[Total]]), "")</f>
        <v/>
      </c>
      <c r="AO99" s="8" t="str">
        <f>IFERROR((Table35[[#This Row],[EL]]/Table35[[#This Row],[Total]]), "")</f>
        <v/>
      </c>
      <c r="AP99" s="8" t="str">
        <f>IFERROR((Table35[[#This Row],[Homeless]]/Table35[[#This Row],[Total]]), "")</f>
        <v/>
      </c>
      <c r="AQ99" s="8" t="str">
        <f>IFERROR((Table35[[#This Row],[Foster]]/Table35[[#This Row],[Total]]), "")</f>
        <v/>
      </c>
      <c r="AR99" s="8" t="str">
        <f>IFERROR((Table35[[#This Row],[AD]]/Table35[[#This Row],[Total]]), "")</f>
        <v/>
      </c>
    </row>
    <row r="100" spans="1:44" x14ac:dyDescent="0.25">
      <c r="A100" s="35"/>
      <c r="B100" s="35"/>
      <c r="C100" s="35"/>
      <c r="D100" s="9"/>
      <c r="E100" s="9"/>
      <c r="F100" s="9"/>
      <c r="G100" s="9"/>
      <c r="H100" s="9"/>
      <c r="I100" s="9"/>
      <c r="J100" s="9"/>
      <c r="K100" s="9"/>
      <c r="L100" s="9"/>
      <c r="M100" s="9"/>
      <c r="N100" s="9"/>
      <c r="O100" s="9"/>
      <c r="P100" s="9"/>
      <c r="Q100" s="9"/>
      <c r="R100" s="9"/>
      <c r="S100" s="9"/>
      <c r="T100" s="9"/>
      <c r="U100" s="9"/>
      <c r="V100" s="9"/>
      <c r="W100" s="9"/>
      <c r="X100" s="9"/>
      <c r="Y100" s="8" t="str">
        <f>IFERROR((Table35[[#This Row],[F]]/Table35[[#This Row],[Total]]), "")</f>
        <v/>
      </c>
      <c r="Z100" s="8" t="str">
        <f>IFERROR((Table35[[#This Row],[M]]/Table35[[#This Row],[Total]]), "")</f>
        <v/>
      </c>
      <c r="AA100" s="8" t="str">
        <f>IFERROR((Table35[[#This Row],[Other]]/Table35[[#This Row],[Total]]), "")</f>
        <v/>
      </c>
      <c r="AB100" s="8" t="str">
        <f>IFERROR((Table35[[#This Row],[AmInd]]/Table35[[#This Row],[Total]]), "")</f>
        <v/>
      </c>
      <c r="AC100" s="8" t="str">
        <f>IFERROR((Table35[[#This Row],[Asian]]/Table35[[#This Row],[Total]]), "")</f>
        <v/>
      </c>
      <c r="AD100" s="8" t="str">
        <f>IFERROR((Table35[[#This Row],[Hispanic]]/Table35[[#This Row],[Total]]), "")</f>
        <v/>
      </c>
      <c r="AE100" s="8" t="str">
        <f>IFERROR((Table35[[#This Row],[Black]]/Table35[[#This Row],[Total]]), "")</f>
        <v/>
      </c>
      <c r="AF100" s="8" t="str">
        <f>IFERROR((Table35[[#This Row],[White]]/Table35[[#This Row],[Total]]), "")</f>
        <v/>
      </c>
      <c r="AG100" s="8" t="str">
        <f>IFERROR((Table35[[#This Row],[H/PI]]/Table35[[#This Row],[Total]]), "")</f>
        <v/>
      </c>
      <c r="AH100" s="8" t="str">
        <f>IFERROR((Table35[[#This Row],[Multi]]/Table35[[#This Row],[Total]]), "")</f>
        <v/>
      </c>
      <c r="AI100" s="8" t="str">
        <f>IFERROR((Table35[[#This Row],[Unknown]]/Table35[[#This Row],[Total]]), "")</f>
        <v/>
      </c>
      <c r="AJ100" s="8" t="str">
        <f>IFERROR((Table35[[#This Row],[Dis]]/Table35[[#This Row],[Total]]), "")</f>
        <v/>
      </c>
      <c r="AK100" s="8" t="str">
        <f>IFERROR((Table35[[#This Row],[ED]]/Table35[[#This Row],[Total]]), "")</f>
        <v/>
      </c>
      <c r="AL100" s="8" t="str">
        <f>IFERROR((Table35[[#This Row],[Non-trad]]/Table35[[#This Row],[Total]]), "")</f>
        <v/>
      </c>
      <c r="AM100" s="8" t="str">
        <f>IFERROR((Table35[[#This Row],[SP]]/Table35[[#This Row],[Total]]), "")</f>
        <v/>
      </c>
      <c r="AN100" s="8" t="str">
        <f>IFERROR((Table35[[#This Row],[OOW]]/Table35[[#This Row],[Total]]), "")</f>
        <v/>
      </c>
      <c r="AO100" s="8" t="str">
        <f>IFERROR((Table35[[#This Row],[EL]]/Table35[[#This Row],[Total]]), "")</f>
        <v/>
      </c>
      <c r="AP100" s="8" t="str">
        <f>IFERROR((Table35[[#This Row],[Homeless]]/Table35[[#This Row],[Total]]), "")</f>
        <v/>
      </c>
      <c r="AQ100" s="8" t="str">
        <f>IFERROR((Table35[[#This Row],[Foster]]/Table35[[#This Row],[Total]]), "")</f>
        <v/>
      </c>
      <c r="AR100" s="8" t="str">
        <f>IFERROR((Table35[[#This Row],[AD]]/Table35[[#This Row],[Total]]), "")</f>
        <v/>
      </c>
    </row>
    <row r="101" spans="1:44" x14ac:dyDescent="0.25">
      <c r="A101" s="35"/>
      <c r="B101" s="35"/>
      <c r="C101" s="35"/>
      <c r="D101" s="9"/>
      <c r="E101" s="9"/>
      <c r="F101" s="9"/>
      <c r="G101" s="9"/>
      <c r="H101" s="9"/>
      <c r="I101" s="9"/>
      <c r="J101" s="9"/>
      <c r="K101" s="9"/>
      <c r="L101" s="9"/>
      <c r="M101" s="9"/>
      <c r="N101" s="9"/>
      <c r="O101" s="9"/>
      <c r="P101" s="9"/>
      <c r="Q101" s="9"/>
      <c r="R101" s="9"/>
      <c r="S101" s="9"/>
      <c r="T101" s="9"/>
      <c r="U101" s="9"/>
      <c r="V101" s="9"/>
      <c r="W101" s="9"/>
      <c r="X101" s="9"/>
      <c r="Y101" s="8" t="str">
        <f>IFERROR((Table35[[#This Row],[F]]/Table35[[#This Row],[Total]]), "")</f>
        <v/>
      </c>
      <c r="Z101" s="8" t="str">
        <f>IFERROR((Table35[[#This Row],[M]]/Table35[[#This Row],[Total]]), "")</f>
        <v/>
      </c>
      <c r="AA101" s="8" t="str">
        <f>IFERROR((Table35[[#This Row],[Other]]/Table35[[#This Row],[Total]]), "")</f>
        <v/>
      </c>
      <c r="AB101" s="8" t="str">
        <f>IFERROR((Table35[[#This Row],[AmInd]]/Table35[[#This Row],[Total]]), "")</f>
        <v/>
      </c>
      <c r="AC101" s="8" t="str">
        <f>IFERROR((Table35[[#This Row],[Asian]]/Table35[[#This Row],[Total]]), "")</f>
        <v/>
      </c>
      <c r="AD101" s="8" t="str">
        <f>IFERROR((Table35[[#This Row],[Hispanic]]/Table35[[#This Row],[Total]]), "")</f>
        <v/>
      </c>
      <c r="AE101" s="8" t="str">
        <f>IFERROR((Table35[[#This Row],[Black]]/Table35[[#This Row],[Total]]), "")</f>
        <v/>
      </c>
      <c r="AF101" s="8" t="str">
        <f>IFERROR((Table35[[#This Row],[White]]/Table35[[#This Row],[Total]]), "")</f>
        <v/>
      </c>
      <c r="AG101" s="8" t="str">
        <f>IFERROR((Table35[[#This Row],[H/PI]]/Table35[[#This Row],[Total]]), "")</f>
        <v/>
      </c>
      <c r="AH101" s="8" t="str">
        <f>IFERROR((Table35[[#This Row],[Multi]]/Table35[[#This Row],[Total]]), "")</f>
        <v/>
      </c>
      <c r="AI101" s="8" t="str">
        <f>IFERROR((Table35[[#This Row],[Unknown]]/Table35[[#This Row],[Total]]), "")</f>
        <v/>
      </c>
      <c r="AJ101" s="8" t="str">
        <f>IFERROR((Table35[[#This Row],[Dis]]/Table35[[#This Row],[Total]]), "")</f>
        <v/>
      </c>
      <c r="AK101" s="8" t="str">
        <f>IFERROR((Table35[[#This Row],[ED]]/Table35[[#This Row],[Total]]), "")</f>
        <v/>
      </c>
      <c r="AL101" s="8" t="str">
        <f>IFERROR((Table35[[#This Row],[Non-trad]]/Table35[[#This Row],[Total]]), "")</f>
        <v/>
      </c>
      <c r="AM101" s="8" t="str">
        <f>IFERROR((Table35[[#This Row],[SP]]/Table35[[#This Row],[Total]]), "")</f>
        <v/>
      </c>
      <c r="AN101" s="8" t="str">
        <f>IFERROR((Table35[[#This Row],[OOW]]/Table35[[#This Row],[Total]]), "")</f>
        <v/>
      </c>
      <c r="AO101" s="8" t="str">
        <f>IFERROR((Table35[[#This Row],[EL]]/Table35[[#This Row],[Total]]), "")</f>
        <v/>
      </c>
      <c r="AP101" s="8" t="str">
        <f>IFERROR((Table35[[#This Row],[Homeless]]/Table35[[#This Row],[Total]]), "")</f>
        <v/>
      </c>
      <c r="AQ101" s="8" t="str">
        <f>IFERROR((Table35[[#This Row],[Foster]]/Table35[[#This Row],[Total]]), "")</f>
        <v/>
      </c>
      <c r="AR101" s="8" t="str">
        <f>IFERROR((Table35[[#This Row],[AD]]/Table35[[#This Row],[Total]]), "")</f>
        <v/>
      </c>
    </row>
    <row r="102" spans="1:44" x14ac:dyDescent="0.25">
      <c r="A102" s="35"/>
      <c r="B102" s="35"/>
      <c r="C102" s="35"/>
      <c r="D102" s="9"/>
      <c r="E102" s="9"/>
      <c r="F102" s="9"/>
      <c r="G102" s="9"/>
      <c r="H102" s="9"/>
      <c r="I102" s="9"/>
      <c r="J102" s="9"/>
      <c r="K102" s="9"/>
      <c r="L102" s="9"/>
      <c r="M102" s="9"/>
      <c r="N102" s="9"/>
      <c r="O102" s="9"/>
      <c r="P102" s="9"/>
      <c r="Q102" s="9"/>
      <c r="R102" s="9"/>
      <c r="S102" s="9"/>
      <c r="T102" s="9"/>
      <c r="U102" s="9"/>
      <c r="V102" s="9"/>
      <c r="W102" s="9"/>
      <c r="X102" s="9"/>
      <c r="Y102" s="8" t="str">
        <f>IFERROR((Table35[[#This Row],[F]]/Table35[[#This Row],[Total]]), "")</f>
        <v/>
      </c>
      <c r="Z102" s="8" t="str">
        <f>IFERROR((Table35[[#This Row],[M]]/Table35[[#This Row],[Total]]), "")</f>
        <v/>
      </c>
      <c r="AA102" s="8" t="str">
        <f>IFERROR((Table35[[#This Row],[Other]]/Table35[[#This Row],[Total]]), "")</f>
        <v/>
      </c>
      <c r="AB102" s="8" t="str">
        <f>IFERROR((Table35[[#This Row],[AmInd]]/Table35[[#This Row],[Total]]), "")</f>
        <v/>
      </c>
      <c r="AC102" s="8" t="str">
        <f>IFERROR((Table35[[#This Row],[Asian]]/Table35[[#This Row],[Total]]), "")</f>
        <v/>
      </c>
      <c r="AD102" s="8" t="str">
        <f>IFERROR((Table35[[#This Row],[Hispanic]]/Table35[[#This Row],[Total]]), "")</f>
        <v/>
      </c>
      <c r="AE102" s="8" t="str">
        <f>IFERROR((Table35[[#This Row],[Black]]/Table35[[#This Row],[Total]]), "")</f>
        <v/>
      </c>
      <c r="AF102" s="8" t="str">
        <f>IFERROR((Table35[[#This Row],[White]]/Table35[[#This Row],[Total]]), "")</f>
        <v/>
      </c>
      <c r="AG102" s="8" t="str">
        <f>IFERROR((Table35[[#This Row],[H/PI]]/Table35[[#This Row],[Total]]), "")</f>
        <v/>
      </c>
      <c r="AH102" s="8" t="str">
        <f>IFERROR((Table35[[#This Row],[Multi]]/Table35[[#This Row],[Total]]), "")</f>
        <v/>
      </c>
      <c r="AI102" s="8" t="str">
        <f>IFERROR((Table35[[#This Row],[Unknown]]/Table35[[#This Row],[Total]]), "")</f>
        <v/>
      </c>
      <c r="AJ102" s="8" t="str">
        <f>IFERROR((Table35[[#This Row],[Dis]]/Table35[[#This Row],[Total]]), "")</f>
        <v/>
      </c>
      <c r="AK102" s="8" t="str">
        <f>IFERROR((Table35[[#This Row],[ED]]/Table35[[#This Row],[Total]]), "")</f>
        <v/>
      </c>
      <c r="AL102" s="8" t="str">
        <f>IFERROR((Table35[[#This Row],[Non-trad]]/Table35[[#This Row],[Total]]), "")</f>
        <v/>
      </c>
      <c r="AM102" s="8" t="str">
        <f>IFERROR((Table35[[#This Row],[SP]]/Table35[[#This Row],[Total]]), "")</f>
        <v/>
      </c>
      <c r="AN102" s="8" t="str">
        <f>IFERROR((Table35[[#This Row],[OOW]]/Table35[[#This Row],[Total]]), "")</f>
        <v/>
      </c>
      <c r="AO102" s="8" t="str">
        <f>IFERROR((Table35[[#This Row],[EL]]/Table35[[#This Row],[Total]]), "")</f>
        <v/>
      </c>
      <c r="AP102" s="8" t="str">
        <f>IFERROR((Table35[[#This Row],[Homeless]]/Table35[[#This Row],[Total]]), "")</f>
        <v/>
      </c>
      <c r="AQ102" s="8" t="str">
        <f>IFERROR((Table35[[#This Row],[Foster]]/Table35[[#This Row],[Total]]), "")</f>
        <v/>
      </c>
      <c r="AR102" s="8" t="str">
        <f>IFERROR((Table35[[#This Row],[AD]]/Table35[[#This Row],[Total]]), "")</f>
        <v/>
      </c>
    </row>
    <row r="103" spans="1:44" x14ac:dyDescent="0.25">
      <c r="A103" s="35"/>
      <c r="B103" s="35"/>
      <c r="C103" s="35"/>
      <c r="D103" s="9"/>
      <c r="E103" s="9"/>
      <c r="F103" s="9"/>
      <c r="G103" s="9"/>
      <c r="H103" s="9"/>
      <c r="I103" s="9"/>
      <c r="J103" s="9"/>
      <c r="K103" s="9"/>
      <c r="L103" s="9"/>
      <c r="M103" s="9"/>
      <c r="N103" s="9"/>
      <c r="O103" s="9"/>
      <c r="P103" s="9"/>
      <c r="Q103" s="9"/>
      <c r="R103" s="9"/>
      <c r="S103" s="9"/>
      <c r="T103" s="9"/>
      <c r="U103" s="9"/>
      <c r="V103" s="9"/>
      <c r="W103" s="9"/>
      <c r="X103" s="9"/>
      <c r="Y103" s="8" t="str">
        <f>IFERROR((Table35[[#This Row],[F]]/Table35[[#This Row],[Total]]), "")</f>
        <v/>
      </c>
      <c r="Z103" s="8" t="str">
        <f>IFERROR((Table35[[#This Row],[M]]/Table35[[#This Row],[Total]]), "")</f>
        <v/>
      </c>
      <c r="AA103" s="8" t="str">
        <f>IFERROR((Table35[[#This Row],[Other]]/Table35[[#This Row],[Total]]), "")</f>
        <v/>
      </c>
      <c r="AB103" s="8" t="str">
        <f>IFERROR((Table35[[#This Row],[AmInd]]/Table35[[#This Row],[Total]]), "")</f>
        <v/>
      </c>
      <c r="AC103" s="8" t="str">
        <f>IFERROR((Table35[[#This Row],[Asian]]/Table35[[#This Row],[Total]]), "")</f>
        <v/>
      </c>
      <c r="AD103" s="8" t="str">
        <f>IFERROR((Table35[[#This Row],[Hispanic]]/Table35[[#This Row],[Total]]), "")</f>
        <v/>
      </c>
      <c r="AE103" s="8" t="str">
        <f>IFERROR((Table35[[#This Row],[Black]]/Table35[[#This Row],[Total]]), "")</f>
        <v/>
      </c>
      <c r="AF103" s="8" t="str">
        <f>IFERROR((Table35[[#This Row],[White]]/Table35[[#This Row],[Total]]), "")</f>
        <v/>
      </c>
      <c r="AG103" s="8" t="str">
        <f>IFERROR((Table35[[#This Row],[H/PI]]/Table35[[#This Row],[Total]]), "")</f>
        <v/>
      </c>
      <c r="AH103" s="8" t="str">
        <f>IFERROR((Table35[[#This Row],[Multi]]/Table35[[#This Row],[Total]]), "")</f>
        <v/>
      </c>
      <c r="AI103" s="8" t="str">
        <f>IFERROR((Table35[[#This Row],[Unknown]]/Table35[[#This Row],[Total]]), "")</f>
        <v/>
      </c>
      <c r="AJ103" s="8" t="str">
        <f>IFERROR((Table35[[#This Row],[Dis]]/Table35[[#This Row],[Total]]), "")</f>
        <v/>
      </c>
      <c r="AK103" s="8" t="str">
        <f>IFERROR((Table35[[#This Row],[ED]]/Table35[[#This Row],[Total]]), "")</f>
        <v/>
      </c>
      <c r="AL103" s="8" t="str">
        <f>IFERROR((Table35[[#This Row],[Non-trad]]/Table35[[#This Row],[Total]]), "")</f>
        <v/>
      </c>
      <c r="AM103" s="8" t="str">
        <f>IFERROR((Table35[[#This Row],[SP]]/Table35[[#This Row],[Total]]), "")</f>
        <v/>
      </c>
      <c r="AN103" s="8" t="str">
        <f>IFERROR((Table35[[#This Row],[OOW]]/Table35[[#This Row],[Total]]), "")</f>
        <v/>
      </c>
      <c r="AO103" s="8" t="str">
        <f>IFERROR((Table35[[#This Row],[EL]]/Table35[[#This Row],[Total]]), "")</f>
        <v/>
      </c>
      <c r="AP103" s="8" t="str">
        <f>IFERROR((Table35[[#This Row],[Homeless]]/Table35[[#This Row],[Total]]), "")</f>
        <v/>
      </c>
      <c r="AQ103" s="8" t="str">
        <f>IFERROR((Table35[[#This Row],[Foster]]/Table35[[#This Row],[Total]]), "")</f>
        <v/>
      </c>
      <c r="AR103" s="8" t="str">
        <f>IFERROR((Table35[[#This Row],[AD]]/Table35[[#This Row],[Total]]), "")</f>
        <v/>
      </c>
    </row>
    <row r="104" spans="1:44" x14ac:dyDescent="0.25">
      <c r="A104" s="35"/>
      <c r="B104" s="35"/>
      <c r="C104" s="35"/>
      <c r="D104" s="9"/>
      <c r="E104" s="9"/>
      <c r="F104" s="9"/>
      <c r="G104" s="9"/>
      <c r="H104" s="9"/>
      <c r="I104" s="9"/>
      <c r="J104" s="9"/>
      <c r="K104" s="9"/>
      <c r="L104" s="9"/>
      <c r="M104" s="9"/>
      <c r="N104" s="9"/>
      <c r="O104" s="9"/>
      <c r="P104" s="9"/>
      <c r="Q104" s="9"/>
      <c r="R104" s="9"/>
      <c r="S104" s="9"/>
      <c r="T104" s="9"/>
      <c r="U104" s="9"/>
      <c r="V104" s="9"/>
      <c r="W104" s="9"/>
      <c r="X104" s="9"/>
      <c r="Y104" s="8" t="str">
        <f>IFERROR((Table35[[#This Row],[F]]/Table35[[#This Row],[Total]]), "")</f>
        <v/>
      </c>
      <c r="Z104" s="8" t="str">
        <f>IFERROR((Table35[[#This Row],[M]]/Table35[[#This Row],[Total]]), "")</f>
        <v/>
      </c>
      <c r="AA104" s="8" t="str">
        <f>IFERROR((Table35[[#This Row],[Other]]/Table35[[#This Row],[Total]]), "")</f>
        <v/>
      </c>
      <c r="AB104" s="8" t="str">
        <f>IFERROR((Table35[[#This Row],[AmInd]]/Table35[[#This Row],[Total]]), "")</f>
        <v/>
      </c>
      <c r="AC104" s="8" t="str">
        <f>IFERROR((Table35[[#This Row],[Asian]]/Table35[[#This Row],[Total]]), "")</f>
        <v/>
      </c>
      <c r="AD104" s="8" t="str">
        <f>IFERROR((Table35[[#This Row],[Hispanic]]/Table35[[#This Row],[Total]]), "")</f>
        <v/>
      </c>
      <c r="AE104" s="8" t="str">
        <f>IFERROR((Table35[[#This Row],[Black]]/Table35[[#This Row],[Total]]), "")</f>
        <v/>
      </c>
      <c r="AF104" s="8" t="str">
        <f>IFERROR((Table35[[#This Row],[White]]/Table35[[#This Row],[Total]]), "")</f>
        <v/>
      </c>
      <c r="AG104" s="8" t="str">
        <f>IFERROR((Table35[[#This Row],[H/PI]]/Table35[[#This Row],[Total]]), "")</f>
        <v/>
      </c>
      <c r="AH104" s="8" t="str">
        <f>IFERROR((Table35[[#This Row],[Multi]]/Table35[[#This Row],[Total]]), "")</f>
        <v/>
      </c>
      <c r="AI104" s="8" t="str">
        <f>IFERROR((Table35[[#This Row],[Unknown]]/Table35[[#This Row],[Total]]), "")</f>
        <v/>
      </c>
      <c r="AJ104" s="8" t="str">
        <f>IFERROR((Table35[[#This Row],[Dis]]/Table35[[#This Row],[Total]]), "")</f>
        <v/>
      </c>
      <c r="AK104" s="8" t="str">
        <f>IFERROR((Table35[[#This Row],[ED]]/Table35[[#This Row],[Total]]), "")</f>
        <v/>
      </c>
      <c r="AL104" s="8" t="str">
        <f>IFERROR((Table35[[#This Row],[Non-trad]]/Table35[[#This Row],[Total]]), "")</f>
        <v/>
      </c>
      <c r="AM104" s="8" t="str">
        <f>IFERROR((Table35[[#This Row],[SP]]/Table35[[#This Row],[Total]]), "")</f>
        <v/>
      </c>
      <c r="AN104" s="8" t="str">
        <f>IFERROR((Table35[[#This Row],[OOW]]/Table35[[#This Row],[Total]]), "")</f>
        <v/>
      </c>
      <c r="AO104" s="8" t="str">
        <f>IFERROR((Table35[[#This Row],[EL]]/Table35[[#This Row],[Total]]), "")</f>
        <v/>
      </c>
      <c r="AP104" s="8" t="str">
        <f>IFERROR((Table35[[#This Row],[Homeless]]/Table35[[#This Row],[Total]]), "")</f>
        <v/>
      </c>
      <c r="AQ104" s="8" t="str">
        <f>IFERROR((Table35[[#This Row],[Foster]]/Table35[[#This Row],[Total]]), "")</f>
        <v/>
      </c>
      <c r="AR104" s="8" t="str">
        <f>IFERROR((Table35[[#This Row],[AD]]/Table35[[#This Row],[Total]]), "")</f>
        <v/>
      </c>
    </row>
    <row r="105" spans="1:44" x14ac:dyDescent="0.25">
      <c r="A105" s="35"/>
      <c r="B105" s="35"/>
      <c r="C105" s="35"/>
      <c r="D105" s="9"/>
      <c r="E105" s="9"/>
      <c r="F105" s="9"/>
      <c r="G105" s="9"/>
      <c r="H105" s="9"/>
      <c r="I105" s="9"/>
      <c r="J105" s="9"/>
      <c r="K105" s="9"/>
      <c r="L105" s="9"/>
      <c r="M105" s="9"/>
      <c r="N105" s="9"/>
      <c r="O105" s="9"/>
      <c r="P105" s="9"/>
      <c r="Q105" s="9"/>
      <c r="R105" s="9"/>
      <c r="S105" s="9"/>
      <c r="T105" s="9"/>
      <c r="U105" s="9"/>
      <c r="V105" s="9"/>
      <c r="W105" s="9"/>
      <c r="X105" s="9"/>
      <c r="Y105" s="8" t="str">
        <f>IFERROR((Table35[[#This Row],[F]]/Table35[[#This Row],[Total]]), "")</f>
        <v/>
      </c>
      <c r="Z105" s="8" t="str">
        <f>IFERROR((Table35[[#This Row],[M]]/Table35[[#This Row],[Total]]), "")</f>
        <v/>
      </c>
      <c r="AA105" s="8" t="str">
        <f>IFERROR((Table35[[#This Row],[Other]]/Table35[[#This Row],[Total]]), "")</f>
        <v/>
      </c>
      <c r="AB105" s="8" t="str">
        <f>IFERROR((Table35[[#This Row],[AmInd]]/Table35[[#This Row],[Total]]), "")</f>
        <v/>
      </c>
      <c r="AC105" s="8" t="str">
        <f>IFERROR((Table35[[#This Row],[Asian]]/Table35[[#This Row],[Total]]), "")</f>
        <v/>
      </c>
      <c r="AD105" s="8" t="str">
        <f>IFERROR((Table35[[#This Row],[Hispanic]]/Table35[[#This Row],[Total]]), "")</f>
        <v/>
      </c>
      <c r="AE105" s="8" t="str">
        <f>IFERROR((Table35[[#This Row],[Black]]/Table35[[#This Row],[Total]]), "")</f>
        <v/>
      </c>
      <c r="AF105" s="8" t="str">
        <f>IFERROR((Table35[[#This Row],[White]]/Table35[[#This Row],[Total]]), "")</f>
        <v/>
      </c>
      <c r="AG105" s="8" t="str">
        <f>IFERROR((Table35[[#This Row],[H/PI]]/Table35[[#This Row],[Total]]), "")</f>
        <v/>
      </c>
      <c r="AH105" s="8" t="str">
        <f>IFERROR((Table35[[#This Row],[Multi]]/Table35[[#This Row],[Total]]), "")</f>
        <v/>
      </c>
      <c r="AI105" s="8" t="str">
        <f>IFERROR((Table35[[#This Row],[Unknown]]/Table35[[#This Row],[Total]]), "")</f>
        <v/>
      </c>
      <c r="AJ105" s="8" t="str">
        <f>IFERROR((Table35[[#This Row],[Dis]]/Table35[[#This Row],[Total]]), "")</f>
        <v/>
      </c>
      <c r="AK105" s="8" t="str">
        <f>IFERROR((Table35[[#This Row],[ED]]/Table35[[#This Row],[Total]]), "")</f>
        <v/>
      </c>
      <c r="AL105" s="8" t="str">
        <f>IFERROR((Table35[[#This Row],[Non-trad]]/Table35[[#This Row],[Total]]), "")</f>
        <v/>
      </c>
      <c r="AM105" s="8" t="str">
        <f>IFERROR((Table35[[#This Row],[SP]]/Table35[[#This Row],[Total]]), "")</f>
        <v/>
      </c>
      <c r="AN105" s="8" t="str">
        <f>IFERROR((Table35[[#This Row],[OOW]]/Table35[[#This Row],[Total]]), "")</f>
        <v/>
      </c>
      <c r="AO105" s="8" t="str">
        <f>IFERROR((Table35[[#This Row],[EL]]/Table35[[#This Row],[Total]]), "")</f>
        <v/>
      </c>
      <c r="AP105" s="8" t="str">
        <f>IFERROR((Table35[[#This Row],[Homeless]]/Table35[[#This Row],[Total]]), "")</f>
        <v/>
      </c>
      <c r="AQ105" s="8" t="str">
        <f>IFERROR((Table35[[#This Row],[Foster]]/Table35[[#This Row],[Total]]), "")</f>
        <v/>
      </c>
      <c r="AR105" s="8" t="str">
        <f>IFERROR((Table35[[#This Row],[AD]]/Table35[[#This Row],[Total]]), "")</f>
        <v/>
      </c>
    </row>
    <row r="106" spans="1:44" x14ac:dyDescent="0.25">
      <c r="A106" s="36" t="s">
        <v>7</v>
      </c>
      <c r="B106" s="36"/>
      <c r="C106" s="36"/>
      <c r="D106" s="10">
        <f>SUBTOTAL(109,Table35[Total])</f>
        <v>0</v>
      </c>
      <c r="E106" s="10">
        <f>SUBTOTAL(109,Table35[F])</f>
        <v>0</v>
      </c>
      <c r="F106" s="10">
        <f>SUBTOTAL(109,Table35[M])</f>
        <v>0</v>
      </c>
      <c r="G106" s="10">
        <f>SUBTOTAL(109,Table35[Other])</f>
        <v>0</v>
      </c>
      <c r="H106" s="10">
        <f>SUBTOTAL(109,Table35[AmInd])</f>
        <v>0</v>
      </c>
      <c r="I106" s="10">
        <f>SUBTOTAL(109,Table35[Asian])</f>
        <v>0</v>
      </c>
      <c r="J106" s="10">
        <f>SUBTOTAL(109,Table35[Hispanic])</f>
        <v>0</v>
      </c>
      <c r="K106" s="10">
        <f>SUBTOTAL(109,Table35[Black])</f>
        <v>0</v>
      </c>
      <c r="L106" s="10">
        <f>SUBTOTAL(109,Table35[White])</f>
        <v>0</v>
      </c>
      <c r="M106" s="10">
        <f>SUBTOTAL(109,Table35[H/PI])</f>
        <v>0</v>
      </c>
      <c r="N106" s="10">
        <f>SUBTOTAL(109,Table35[Multi])</f>
        <v>0</v>
      </c>
      <c r="O106" s="10"/>
      <c r="P106" s="10">
        <f>SUBTOTAL(109,Table35[Dis])</f>
        <v>0</v>
      </c>
      <c r="Q106" s="10">
        <f>SUBTOTAL(109,Table35[ED])</f>
        <v>0</v>
      </c>
      <c r="R106" s="10">
        <f>SUBTOTAL(109,Table35[Non-trad])</f>
        <v>0</v>
      </c>
      <c r="S106" s="10">
        <f>SUBTOTAL(109,Table35[SP])</f>
        <v>0</v>
      </c>
      <c r="T106" s="10">
        <f>SUBTOTAL(109,Table35[OOW])</f>
        <v>0</v>
      </c>
      <c r="U106" s="10">
        <f>SUBTOTAL(109,Table35[EL])</f>
        <v>0</v>
      </c>
      <c r="V106" s="10">
        <f>SUBTOTAL(109,Table35[Homeless])</f>
        <v>0</v>
      </c>
      <c r="W106" s="10">
        <f>SUBTOTAL(109,Table35[Foster])</f>
        <v>0</v>
      </c>
      <c r="X106" s="10">
        <f>SUBTOTAL(109,Table35[AD])</f>
        <v>0</v>
      </c>
      <c r="Y106" s="17" t="str">
        <f>IFERROR(E108/$D$108, "")</f>
        <v/>
      </c>
      <c r="Z106" s="17" t="str">
        <f t="shared" ref="Z106:AQ106" si="0">IFERROR(F108/$D$108, "")</f>
        <v/>
      </c>
      <c r="AA106" s="17" t="str">
        <f t="shared" si="0"/>
        <v/>
      </c>
      <c r="AB106" s="17" t="str">
        <f t="shared" si="0"/>
        <v/>
      </c>
      <c r="AC106" s="17" t="str">
        <f t="shared" si="0"/>
        <v/>
      </c>
      <c r="AD106" s="17" t="str">
        <f t="shared" si="0"/>
        <v/>
      </c>
      <c r="AE106" s="17" t="str">
        <f t="shared" si="0"/>
        <v/>
      </c>
      <c r="AF106" s="17" t="str">
        <f t="shared" si="0"/>
        <v/>
      </c>
      <c r="AG106" s="17" t="str">
        <f t="shared" si="0"/>
        <v/>
      </c>
      <c r="AH106" s="17" t="str">
        <f t="shared" si="0"/>
        <v/>
      </c>
      <c r="AI106" s="17" t="str">
        <f t="shared" si="0"/>
        <v/>
      </c>
      <c r="AJ106" s="17" t="str">
        <f t="shared" si="0"/>
        <v/>
      </c>
      <c r="AK106" s="17" t="str">
        <f t="shared" si="0"/>
        <v/>
      </c>
      <c r="AL106" s="17" t="str">
        <f t="shared" si="0"/>
        <v/>
      </c>
      <c r="AM106" s="17" t="str">
        <f t="shared" si="0"/>
        <v/>
      </c>
      <c r="AN106" s="17" t="str">
        <f t="shared" si="0"/>
        <v/>
      </c>
      <c r="AO106" s="17" t="str">
        <f t="shared" si="0"/>
        <v/>
      </c>
      <c r="AP106" s="17" t="str">
        <f t="shared" si="0"/>
        <v/>
      </c>
      <c r="AQ106" s="17" t="str">
        <f t="shared" si="0"/>
        <v/>
      </c>
      <c r="AR106" s="17" t="str">
        <f>IFERROR(X108/$D$108, "")</f>
        <v/>
      </c>
    </row>
    <row r="107" spans="1:44" ht="6.75" customHeight="1" thickBot="1" x14ac:dyDescent="0.3"/>
    <row r="108" spans="1:44" ht="19.5" thickBot="1" x14ac:dyDescent="0.35">
      <c r="B108" s="7" t="s">
        <v>31</v>
      </c>
      <c r="C108" s="37"/>
      <c r="D108" s="38"/>
      <c r="E108" s="38"/>
      <c r="F108" s="38"/>
      <c r="G108" s="38"/>
      <c r="H108" s="38"/>
      <c r="I108" s="38"/>
      <c r="J108" s="38"/>
      <c r="K108" s="38"/>
      <c r="L108" s="38"/>
      <c r="M108" s="38"/>
      <c r="N108" s="38"/>
      <c r="O108" s="38"/>
      <c r="P108" s="38"/>
      <c r="Q108" s="39"/>
      <c r="R108" s="39"/>
      <c r="S108" s="39"/>
      <c r="T108" s="39"/>
      <c r="U108" s="39"/>
      <c r="V108" s="39"/>
      <c r="W108" s="39"/>
      <c r="X108" s="39"/>
    </row>
  </sheetData>
  <sheetProtection algorithmName="SHA-512" hashValue="JfPzrbHCMnrsYAu+yuPHheSMlHcnnHCWYIzTuafe1uFKEUxxvEwhHEanzjhMEwRUuUzFw/6z9MtPmQ28YcXK2Q==" saltValue="55AX2hdd6ymRVbXCxjXLlQ==" spinCount="100000" sheet="1" objects="1" scenarios="1"/>
  <mergeCells count="8">
    <mergeCell ref="AB4:AI4"/>
    <mergeCell ref="AJ4:AR4"/>
    <mergeCell ref="A1:D1"/>
    <mergeCell ref="A2:D2"/>
    <mergeCell ref="E4:G4"/>
    <mergeCell ref="H4:O4"/>
    <mergeCell ref="P4:X4"/>
    <mergeCell ref="Y4:AA4"/>
  </mergeCells>
  <conditionalFormatting sqref="D106:X106">
    <cfRule type="cellIs" dxfId="8" priority="2" operator="equal">
      <formula>0</formula>
    </cfRule>
  </conditionalFormatting>
  <pageMargins left="0.75" right="0.75" top="1" bottom="1" header="0.5" footer="0.5"/>
  <pageSetup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2B468707-6AF3-48CC-BCE3-A4EC31152305}">
            <xm:f>'Heatmap (Sec)'!$D$6*$D$108&gt;10</xm:f>
            <x14:dxf/>
          </x14:cfRule>
          <xm:sqref>D6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F13BD5B-CDF9-44BD-90D5-EAEAEEB44884}">
          <x14:formula1>
            <xm:f>'Dashboard Data'!$M$3:$AB$3</xm:f>
          </x14:formula1>
          <xm:sqref>C6:C105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A8A6C-31F0-48FD-908C-D262FD3ACFC8}">
  <dimension ref="A1:Y34"/>
  <sheetViews>
    <sheetView zoomScale="90" zoomScaleNormal="90" workbookViewId="0">
      <pane ySplit="5" topLeftCell="A6" activePane="bottomLeft" state="frozen"/>
      <selection activeCell="A3" sqref="A3"/>
      <selection pane="bottomLeft" activeCell="C17" sqref="C17"/>
    </sheetView>
  </sheetViews>
  <sheetFormatPr defaultRowHeight="15" x14ac:dyDescent="0.25"/>
  <cols>
    <col min="1" max="1" width="15.5703125" style="116" customWidth="1"/>
    <col min="2" max="3" width="44.85546875" style="116" customWidth="1"/>
    <col min="4" max="4" width="11.140625" style="116" bestFit="1" customWidth="1"/>
    <col min="5" max="5" width="11.140625" style="116" hidden="1" customWidth="1"/>
    <col min="6" max="6" width="9" style="116" bestFit="1" customWidth="1"/>
    <col min="7" max="7" width="10.42578125" style="116" bestFit="1" customWidth="1"/>
    <col min="8" max="8" width="9.28515625" style="116" hidden="1" customWidth="1"/>
    <col min="9" max="9" width="11.85546875" style="116" hidden="1" customWidth="1"/>
    <col min="10" max="10" width="9" style="116" bestFit="1" customWidth="1"/>
    <col min="11" max="11" width="10.140625" style="116" bestFit="1" customWidth="1"/>
    <col min="12" max="12" width="8.5703125" style="116" bestFit="1" customWidth="1"/>
    <col min="13" max="13" width="9.28515625" style="116" bestFit="1" customWidth="1"/>
    <col min="14" max="14" width="9.7109375" style="116" hidden="1" customWidth="1"/>
    <col min="15" max="16" width="11.28515625" style="116" hidden="1" customWidth="1"/>
    <col min="17" max="17" width="6.7109375" style="116" bestFit="1" customWidth="1"/>
    <col min="18" max="18" width="9.140625" style="116"/>
    <col min="19" max="21" width="0" style="116" hidden="1" customWidth="1"/>
    <col min="22" max="22" width="10.28515625" style="116" customWidth="1"/>
    <col min="23" max="25" width="0" style="116" hidden="1" customWidth="1"/>
    <col min="26" max="16384" width="9.140625" style="116"/>
  </cols>
  <sheetData>
    <row r="1" spans="1:25" ht="18.75" customHeight="1" x14ac:dyDescent="0.3">
      <c r="A1" s="174" t="s">
        <v>29</v>
      </c>
      <c r="B1" s="174"/>
      <c r="C1" s="174"/>
      <c r="D1" s="174"/>
      <c r="E1" s="115"/>
      <c r="W1" s="116" t="s">
        <v>274</v>
      </c>
    </row>
    <row r="2" spans="1:25" ht="90.75" customHeight="1" x14ac:dyDescent="0.25">
      <c r="A2" s="175" t="s">
        <v>97</v>
      </c>
      <c r="B2" s="175"/>
      <c r="C2" s="175"/>
      <c r="D2" s="175"/>
      <c r="E2" s="117"/>
    </row>
    <row r="3" spans="1:25" ht="5.25" customHeight="1" x14ac:dyDescent="0.25">
      <c r="A3" s="117"/>
      <c r="B3" s="117"/>
      <c r="C3" s="117"/>
      <c r="D3" s="117"/>
      <c r="E3" s="117"/>
    </row>
    <row r="4" spans="1:25" ht="18" customHeight="1" x14ac:dyDescent="0.25">
      <c r="A4" s="118"/>
      <c r="B4" s="118"/>
      <c r="C4" s="118"/>
      <c r="D4" s="118"/>
      <c r="E4" s="118"/>
      <c r="F4" s="176" t="s">
        <v>51</v>
      </c>
      <c r="G4" s="176"/>
      <c r="H4" s="176"/>
      <c r="I4" s="177" t="s">
        <v>52</v>
      </c>
      <c r="J4" s="177"/>
      <c r="K4" s="177"/>
      <c r="L4" s="177"/>
      <c r="M4" s="177"/>
      <c r="N4" s="177"/>
      <c r="O4" s="177"/>
      <c r="P4" s="119"/>
      <c r="Q4" s="178" t="s">
        <v>53</v>
      </c>
      <c r="R4" s="178"/>
      <c r="S4" s="178"/>
      <c r="T4" s="178"/>
      <c r="U4" s="178"/>
      <c r="V4" s="178"/>
      <c r="W4" s="178"/>
      <c r="X4" s="178"/>
      <c r="Y4" s="178"/>
    </row>
    <row r="5" spans="1:25" ht="30" x14ac:dyDescent="0.25">
      <c r="A5" s="116" t="s">
        <v>30</v>
      </c>
      <c r="B5" s="116" t="s">
        <v>19</v>
      </c>
      <c r="C5" s="116" t="s">
        <v>10</v>
      </c>
      <c r="D5" s="120" t="s">
        <v>91</v>
      </c>
      <c r="E5" s="120" t="s">
        <v>96</v>
      </c>
      <c r="F5" s="121" t="s">
        <v>55</v>
      </c>
      <c r="G5" s="122" t="s">
        <v>56</v>
      </c>
      <c r="H5" s="122" t="s">
        <v>50</v>
      </c>
      <c r="I5" s="184" t="s">
        <v>122</v>
      </c>
      <c r="J5" s="185" t="s">
        <v>3</v>
      </c>
      <c r="K5" s="185" t="s">
        <v>123</v>
      </c>
      <c r="L5" s="185" t="s">
        <v>124</v>
      </c>
      <c r="M5" s="185" t="s">
        <v>9</v>
      </c>
      <c r="N5" s="185" t="s">
        <v>125</v>
      </c>
      <c r="O5" s="184" t="s">
        <v>126</v>
      </c>
      <c r="P5" s="184" t="s">
        <v>17</v>
      </c>
      <c r="Q5" s="123" t="s">
        <v>54</v>
      </c>
      <c r="R5" s="123" t="s">
        <v>57</v>
      </c>
      <c r="S5" s="123" t="s">
        <v>58</v>
      </c>
      <c r="T5" s="123" t="s">
        <v>85</v>
      </c>
      <c r="U5" s="123" t="s">
        <v>59</v>
      </c>
      <c r="V5" s="123" t="s">
        <v>74</v>
      </c>
      <c r="W5" s="123" t="s">
        <v>60</v>
      </c>
      <c r="X5" s="123" t="s">
        <v>61</v>
      </c>
      <c r="Y5" s="123" t="s">
        <v>62</v>
      </c>
    </row>
    <row r="6" spans="1:25" x14ac:dyDescent="0.25">
      <c r="A6" s="124">
        <f>'Sec Enrollment'!$A$13</f>
        <v>0</v>
      </c>
      <c r="B6" s="124" t="str">
        <f>'Sec Enrollment'!$B$13</f>
        <v>Administrative Assistant and Secretarial Science, General</v>
      </c>
      <c r="C6" s="124" t="str">
        <f>'Sec Enrollment'!$C$13</f>
        <v>Business, Management &amp; Administration</v>
      </c>
      <c r="D6" s="125">
        <f>IFERROR('Sec Enrollment'!$D$13/'Sec Enrollment'!$D$35, "")</f>
        <v>2.2606382978723406E-2</v>
      </c>
      <c r="E6" s="126">
        <f>'Sec Enrollment'!D$13</f>
        <v>34</v>
      </c>
      <c r="F6" s="125">
        <f>IFERROR(('Sec Enrollment'!$Y$13-'Comparison Population'!$C$6), "")</f>
        <v>0.49</v>
      </c>
      <c r="G6" s="125">
        <f>IFERROR(('Sec Enrollment'!$Z$13-'Comparison Population'!$C$7), "")</f>
        <v>-0.49</v>
      </c>
      <c r="H6" s="125">
        <f>IFERROR(('Sec Enrollment'!$AA$13-'Comparison Population'!$C$8), "")</f>
        <v>0</v>
      </c>
      <c r="I6" s="125">
        <f>IFERROR(('Sec Enrollment'!$AB$13-'Comparison Population'!$C$10), "")</f>
        <v>0</v>
      </c>
      <c r="J6" s="125">
        <f>IFERROR(('Sec Enrollment'!$AC$13-'Comparison Population'!$C$11), "")</f>
        <v>-7.4999999999999997E-2</v>
      </c>
      <c r="K6" s="125">
        <f>IFERROR(('Sec Enrollment'!$AD$13-'Comparison Population'!$C$12), "")</f>
        <v>3.6274509803921606E-2</v>
      </c>
      <c r="L6" s="125">
        <f>IFERROR(('Sec Enrollment'!$AE$13-'Comparison Population'!$C$13), "")</f>
        <v>9.4607843137254899E-2</v>
      </c>
      <c r="M6" s="125">
        <f>IFERROR(('Sec Enrollment'!$AF$13-'Comparison Population'!$C$14), "")</f>
        <v>-5.5882352941176439E-2</v>
      </c>
      <c r="N6" s="125">
        <f>IFERROR(('Sec Enrollment'!$AG$13-'Comparison Population'!$C$15), "")</f>
        <v>0</v>
      </c>
      <c r="O6" s="125">
        <f>IFERROR(('Sec Enrollment'!$AH$13-'Comparison Population'!$C$16), "")</f>
        <v>0</v>
      </c>
      <c r="P6" s="125">
        <f>IFERROR(('Sec Enrollment'!$AI$13-'Comparison Population'!$C$17), "")</f>
        <v>0</v>
      </c>
      <c r="Q6" s="125">
        <f>IFERROR(('Sec Enrollment'!$AJ$13-'Comparison Population'!$C$19), "")</f>
        <v>0.5658823529411765</v>
      </c>
      <c r="R6" s="125">
        <f>IFERROR(('Sec Enrollment'!$AK$13-'Comparison Population'!$C$20), "")</f>
        <v>0.55498441760810291</v>
      </c>
      <c r="S6" s="125">
        <f>IFERROR(('Sec Enrollment'!$AL$13-'Comparison Population'!$C$21), "")</f>
        <v>0</v>
      </c>
      <c r="T6" s="125">
        <f>IFERROR(('Sec Enrollment'!$AM$13-'Comparison Population'!$C$22), "")</f>
        <v>0</v>
      </c>
      <c r="U6" s="125">
        <f>IFERROR(('Sec Enrollment'!$AN$13-'Comparison Population'!$C$23), "")</f>
        <v>0</v>
      </c>
      <c r="V6" s="125">
        <f>IFERROR(('Sec Enrollment'!$AO$13-'Comparison Population'!$C$24), "")</f>
        <v>-5.1854304635761586E-2</v>
      </c>
      <c r="W6" s="125">
        <f>IFERROR(('Sec Enrollment'!$AP$13-'Comparison Population'!$C$25), "")</f>
        <v>0</v>
      </c>
      <c r="X6" s="125">
        <f>IFERROR(('Sec Enrollment'!$AQ$13-'Comparison Population'!$C$26), "")</f>
        <v>0</v>
      </c>
      <c r="Y6" s="125">
        <f>IFERROR(('Sec Enrollment'!$AR$13-'Comparison Population'!$C$27), "")</f>
        <v>0</v>
      </c>
    </row>
    <row r="7" spans="1:25" x14ac:dyDescent="0.25">
      <c r="A7" s="124">
        <f>'Sec Enrollment'!$A$22</f>
        <v>0</v>
      </c>
      <c r="B7" s="124" t="str">
        <f>'Sec Enrollment'!$B$22</f>
        <v>Child Care Provider/Assistant</v>
      </c>
      <c r="C7" s="124" t="str">
        <f>'Sec Enrollment'!$C$22</f>
        <v>Human Services</v>
      </c>
      <c r="D7" s="125">
        <f>IFERROR('Sec Enrollment'!$D$22/'Sec Enrollment'!$D$35, "")</f>
        <v>4.1223404255319146E-2</v>
      </c>
      <c r="E7" s="126">
        <f>'Sec Enrollment'!D$22</f>
        <v>62</v>
      </c>
      <c r="F7" s="125">
        <f>IFERROR(('Sec Enrollment'!$Y$22-'Comparison Population'!$C$6), "")</f>
        <v>0.49</v>
      </c>
      <c r="G7" s="125">
        <f>IFERROR(('Sec Enrollment'!$Z$22-'Comparison Population'!$C$7), "")</f>
        <v>-0.49</v>
      </c>
      <c r="H7" s="125">
        <f>IFERROR(('Sec Enrollment'!$AA$22-'Comparison Population'!$C$8), "")</f>
        <v>0</v>
      </c>
      <c r="I7" s="125">
        <f>IFERROR(('Sec Enrollment'!$AB$22-'Comparison Population'!$C$10), "")</f>
        <v>0</v>
      </c>
      <c r="J7" s="125">
        <f>IFERROR(('Sec Enrollment'!$AC$22-'Comparison Population'!$C$11), "")</f>
        <v>-5.8870967741935482E-2</v>
      </c>
      <c r="K7" s="125">
        <f>IFERROR(('Sec Enrollment'!$AD$22-'Comparison Population'!$C$12), "")</f>
        <v>5.9139784946236618E-3</v>
      </c>
      <c r="L7" s="125">
        <f>IFERROR(('Sec Enrollment'!$AE$22-'Comparison Population'!$C$13), "")</f>
        <v>-4.8655913978494642E-2</v>
      </c>
      <c r="M7" s="125">
        <f>IFERROR(('Sec Enrollment'!$AF$22-'Comparison Population'!$C$14), "")</f>
        <v>0.10161290322580646</v>
      </c>
      <c r="N7" s="125">
        <f>IFERROR(('Sec Enrollment'!$AG$22-'Comparison Population'!$C$15), "")</f>
        <v>0</v>
      </c>
      <c r="O7" s="125">
        <f>IFERROR(('Sec Enrollment'!$AH$22-'Comparison Population'!$C$16), "")</f>
        <v>0</v>
      </c>
      <c r="P7" s="125">
        <f>IFERROR(('Sec Enrollment'!$AI$22-'Comparison Population'!$C$17), "")</f>
        <v>0</v>
      </c>
      <c r="Q7" s="125">
        <f>IFERROR(('Sec Enrollment'!$AJ$22-'Comparison Population'!$C$19), "")</f>
        <v>0.40838709677419349</v>
      </c>
      <c r="R7" s="125">
        <f>IFERROR(('Sec Enrollment'!$AK$22-'Comparison Population'!$C$20), "")</f>
        <v>0.38800149540696433</v>
      </c>
      <c r="S7" s="125">
        <f>IFERROR(('Sec Enrollment'!$AL$22-'Comparison Population'!$C$21), "")</f>
        <v>0</v>
      </c>
      <c r="T7" s="125">
        <f>IFERROR(('Sec Enrollment'!$AM$22-'Comparison Population'!$C$22), "")</f>
        <v>0</v>
      </c>
      <c r="U7" s="125">
        <f>IFERROR(('Sec Enrollment'!$AN$22-'Comparison Population'!$C$23), "")</f>
        <v>0</v>
      </c>
      <c r="V7" s="125">
        <f>IFERROR(('Sec Enrollment'!$AO$22-'Comparison Population'!$C$24), "")</f>
        <v>-3.572527237769707E-2</v>
      </c>
      <c r="W7" s="125">
        <f>IFERROR(('Sec Enrollment'!$AP$22-'Comparison Population'!$C$25), "")</f>
        <v>0</v>
      </c>
      <c r="X7" s="125">
        <f>IFERROR(('Sec Enrollment'!$AQ$22-'Comparison Population'!$C$26), "")</f>
        <v>0</v>
      </c>
      <c r="Y7" s="125">
        <f>IFERROR(('Sec Enrollment'!$AR$22-'Comparison Population'!$C$27), "")</f>
        <v>0</v>
      </c>
    </row>
    <row r="8" spans="1:25" x14ac:dyDescent="0.25">
      <c r="A8" s="124">
        <f>'Sec Enrollment'!$A$21</f>
        <v>0</v>
      </c>
      <c r="B8" s="124" t="str">
        <f>'Sec Enrollment'!$B$21</f>
        <v>Cosmetology/Cosmetologist, General</v>
      </c>
      <c r="C8" s="124" t="str">
        <f>'Sec Enrollment'!$C$21</f>
        <v>Human Services</v>
      </c>
      <c r="D8" s="125">
        <f>IFERROR('Sec Enrollment'!$D$21/'Sec Enrollment'!$D$35, "")</f>
        <v>4.6542553191489359E-2</v>
      </c>
      <c r="E8" s="126">
        <f>'Sec Enrollment'!D$21</f>
        <v>70</v>
      </c>
      <c r="F8" s="125">
        <f>IFERROR(('Sec Enrollment'!$Y$21-'Comparison Population'!$C$6), "")</f>
        <v>0.46142857142857141</v>
      </c>
      <c r="G8" s="125">
        <f>IFERROR(('Sec Enrollment'!$Z$21-'Comparison Population'!$C$7), "")</f>
        <v>-0.46142857142857141</v>
      </c>
      <c r="H8" s="125">
        <f>IFERROR(('Sec Enrollment'!$AA$21-'Comparison Population'!$C$8), "")</f>
        <v>0</v>
      </c>
      <c r="I8" s="125">
        <f>IFERROR(('Sec Enrollment'!$AB$21-'Comparison Population'!$C$10), "")</f>
        <v>0</v>
      </c>
      <c r="J8" s="125">
        <f>IFERROR(('Sec Enrollment'!$AC$21-'Comparison Population'!$C$11), "")</f>
        <v>-7.4999999999999997E-2</v>
      </c>
      <c r="K8" s="125">
        <f>IFERROR(('Sec Enrollment'!$AD$21-'Comparison Population'!$C$12), "")</f>
        <v>-3.0952380952380953E-2</v>
      </c>
      <c r="L8" s="125">
        <f>IFERROR(('Sec Enrollment'!$AE$21-'Comparison Population'!$C$13), "")</f>
        <v>-4.4047619047619085E-2</v>
      </c>
      <c r="M8" s="125">
        <f>IFERROR(('Sec Enrollment'!$AF$21-'Comparison Population'!$C$14), "")</f>
        <v>0.15000000000000002</v>
      </c>
      <c r="N8" s="125">
        <f>IFERROR(('Sec Enrollment'!$AG$21-'Comparison Population'!$C$15), "")</f>
        <v>0</v>
      </c>
      <c r="O8" s="125">
        <f>IFERROR(('Sec Enrollment'!$AH$21-'Comparison Population'!$C$16), "")</f>
        <v>0</v>
      </c>
      <c r="P8" s="125">
        <f>IFERROR(('Sec Enrollment'!$AI$21-'Comparison Population'!$C$17), "")</f>
        <v>0</v>
      </c>
      <c r="Q8" s="125">
        <f>IFERROR(('Sec Enrollment'!$AJ$21-'Comparison Population'!$C$19), "")</f>
        <v>0.15999999999999998</v>
      </c>
      <c r="R8" s="125">
        <f>IFERROR(('Sec Enrollment'!$AK$21-'Comparison Population'!$C$20), "")</f>
        <v>0.12809366130558181</v>
      </c>
      <c r="S8" s="125">
        <f>IFERROR(('Sec Enrollment'!$AL$21-'Comparison Population'!$C$21), "")</f>
        <v>0</v>
      </c>
      <c r="T8" s="125">
        <f>IFERROR(('Sec Enrollment'!$AM$21-'Comparison Population'!$C$22), "")</f>
        <v>0</v>
      </c>
      <c r="U8" s="125">
        <f>IFERROR(('Sec Enrollment'!$AN$21-'Comparison Population'!$C$23), "")</f>
        <v>0</v>
      </c>
      <c r="V8" s="125">
        <f>IFERROR(('Sec Enrollment'!$AO$21-'Comparison Population'!$C$24), "")</f>
        <v>-3.7568590350047303E-2</v>
      </c>
      <c r="W8" s="125">
        <f>IFERROR(('Sec Enrollment'!$AP$21-'Comparison Population'!$C$25), "")</f>
        <v>0</v>
      </c>
      <c r="X8" s="125">
        <f>IFERROR(('Sec Enrollment'!$AQ$21-'Comparison Population'!$C$26), "")</f>
        <v>0</v>
      </c>
      <c r="Y8" s="125">
        <f>IFERROR(('Sec Enrollment'!$AR$21-'Comparison Population'!$C$27), "")</f>
        <v>0</v>
      </c>
    </row>
    <row r="9" spans="1:25" x14ac:dyDescent="0.25">
      <c r="A9" s="124">
        <f>'Sec Enrollment'!$A$14</f>
        <v>0</v>
      </c>
      <c r="B9" s="124" t="str">
        <f>'Sec Enrollment'!$B$14</f>
        <v>Child Development</v>
      </c>
      <c r="C9" s="124" t="str">
        <f>'Sec Enrollment'!$C$14</f>
        <v>Education &amp; Training</v>
      </c>
      <c r="D9" s="125">
        <f>IFERROR('Sec Enrollment'!$D$14/'Sec Enrollment'!$D$35, "")</f>
        <v>3.2579787234042555E-2</v>
      </c>
      <c r="E9" s="126">
        <f>'Sec Enrollment'!D$14</f>
        <v>49</v>
      </c>
      <c r="F9" s="125">
        <f>IFERROR(('Sec Enrollment'!$Y$14-'Comparison Population'!$C$6), "")</f>
        <v>0.4491836734693877</v>
      </c>
      <c r="G9" s="125">
        <f>IFERROR(('Sec Enrollment'!$Z$14-'Comparison Population'!$C$7), "")</f>
        <v>-0.44918367346938776</v>
      </c>
      <c r="H9" s="125">
        <f>IFERROR(('Sec Enrollment'!$AA$14-'Comparison Population'!$C$8), "")</f>
        <v>0</v>
      </c>
      <c r="I9" s="125">
        <f>IFERROR(('Sec Enrollment'!$AB$14-'Comparison Population'!$C$10), "")</f>
        <v>0</v>
      </c>
      <c r="J9" s="125">
        <f>IFERROR(('Sec Enrollment'!$AC$14-'Comparison Population'!$C$11), "")</f>
        <v>-5.459183673469388E-2</v>
      </c>
      <c r="K9" s="125">
        <f>IFERROR(('Sec Enrollment'!$AD$14-'Comparison Population'!$C$12), "")</f>
        <v>9.1496598639455806E-2</v>
      </c>
      <c r="L9" s="125">
        <f>IFERROR(('Sec Enrollment'!$AE$14-'Comparison Population'!$C$13), "")</f>
        <v>6.8197278911564574E-2</v>
      </c>
      <c r="M9" s="125">
        <f>IFERROR(('Sec Enrollment'!$AF$14-'Comparison Population'!$C$14), "")</f>
        <v>-0.10510204081632651</v>
      </c>
      <c r="N9" s="125">
        <f>IFERROR(('Sec Enrollment'!$AG$14-'Comparison Population'!$C$15), "")</f>
        <v>0</v>
      </c>
      <c r="O9" s="125">
        <f>IFERROR(('Sec Enrollment'!$AH$14-'Comparison Population'!$C$16), "")</f>
        <v>0</v>
      </c>
      <c r="P9" s="125">
        <f>IFERROR(('Sec Enrollment'!$AI$14-'Comparison Population'!$C$17), "")</f>
        <v>0</v>
      </c>
      <c r="Q9" s="125">
        <f>IFERROR(('Sec Enrollment'!$AJ$14-'Comparison Population'!$C$19), "")</f>
        <v>0.34979591836734691</v>
      </c>
      <c r="R9" s="125">
        <f>IFERROR(('Sec Enrollment'!$AK$14-'Comparison Population'!$C$20), "")</f>
        <v>0.26686917150966344</v>
      </c>
      <c r="S9" s="125">
        <f>IFERROR(('Sec Enrollment'!$AL$14-'Comparison Population'!$C$21), "")</f>
        <v>0</v>
      </c>
      <c r="T9" s="125">
        <f>IFERROR(('Sec Enrollment'!$AM$14-'Comparison Population'!$C$22), "")</f>
        <v>0</v>
      </c>
      <c r="U9" s="125">
        <f>IFERROR(('Sec Enrollment'!$AN$14-'Comparison Population'!$C$23), "")</f>
        <v>0</v>
      </c>
      <c r="V9" s="125">
        <f>IFERROR(('Sec Enrollment'!$AO$14-'Comparison Population'!$C$24), "")</f>
        <v>-5.1854304635761586E-2</v>
      </c>
      <c r="W9" s="125">
        <f>IFERROR(('Sec Enrollment'!$AP$14-'Comparison Population'!$C$25), "")</f>
        <v>0</v>
      </c>
      <c r="X9" s="125">
        <f>IFERROR(('Sec Enrollment'!$AQ$14-'Comparison Population'!$C$26), "")</f>
        <v>0</v>
      </c>
      <c r="Y9" s="125">
        <f>IFERROR(('Sec Enrollment'!$AR$14-'Comparison Population'!$C$27), "")</f>
        <v>0</v>
      </c>
    </row>
    <row r="10" spans="1:25" x14ac:dyDescent="0.25">
      <c r="A10" s="124">
        <f>'Sec Enrollment'!$A$16</f>
        <v>0</v>
      </c>
      <c r="B10" s="124" t="str">
        <f>'Sec Enrollment'!$B$16</f>
        <v>Nursing Assistant/Aide and Patient Care Assistant/Aide</v>
      </c>
      <c r="C10" s="124" t="str">
        <f>'Sec Enrollment'!$C$16</f>
        <v>Health Science</v>
      </c>
      <c r="D10" s="125">
        <f>IFERROR('Sec Enrollment'!$D$16/'Sec Enrollment'!$D$35, "")</f>
        <v>4.1223404255319146E-2</v>
      </c>
      <c r="E10" s="126">
        <f>'Sec Enrollment'!D$16</f>
        <v>62</v>
      </c>
      <c r="F10" s="125">
        <f>IFERROR(('Sec Enrollment'!$Y$16-'Comparison Population'!$C$6), "")</f>
        <v>0.42548387096774187</v>
      </c>
      <c r="G10" s="125">
        <f>IFERROR(('Sec Enrollment'!$Z$16-'Comparison Population'!$C$7), "")</f>
        <v>-0.42548387096774193</v>
      </c>
      <c r="H10" s="125">
        <f>IFERROR(('Sec Enrollment'!$AA$16-'Comparison Population'!$C$8), "")</f>
        <v>0</v>
      </c>
      <c r="I10" s="125">
        <f>IFERROR(('Sec Enrollment'!$AB$16-'Comparison Population'!$C$10), "")</f>
        <v>0</v>
      </c>
      <c r="J10" s="125">
        <f>IFERROR(('Sec Enrollment'!$AC$16-'Comparison Population'!$C$11), "")</f>
        <v>-5.8870967741935482E-2</v>
      </c>
      <c r="K10" s="125">
        <f>IFERROR(('Sec Enrollment'!$AD$16-'Comparison Population'!$C$12), "")</f>
        <v>0.16720430107526885</v>
      </c>
      <c r="L10" s="125">
        <f>IFERROR(('Sec Enrollment'!$AE$16-'Comparison Population'!$C$13), "")</f>
        <v>4.8118279569892453E-2</v>
      </c>
      <c r="M10" s="125">
        <f>IFERROR(('Sec Enrollment'!$AF$16-'Comparison Population'!$C$14), "")</f>
        <v>-0.15645161290322579</v>
      </c>
      <c r="N10" s="125">
        <f>IFERROR(('Sec Enrollment'!$AG$16-'Comparison Population'!$C$15), "")</f>
        <v>0</v>
      </c>
      <c r="O10" s="125">
        <f>IFERROR(('Sec Enrollment'!$AH$16-'Comparison Population'!$C$16), "")</f>
        <v>0</v>
      </c>
      <c r="P10" s="125">
        <f>IFERROR(('Sec Enrollment'!$AI$16-'Comparison Population'!$C$17), "")</f>
        <v>0</v>
      </c>
      <c r="Q10" s="125">
        <f>IFERROR(('Sec Enrollment'!$AJ$16-'Comparison Population'!$C$19), "")</f>
        <v>0.36</v>
      </c>
      <c r="R10" s="125">
        <f>IFERROR(('Sec Enrollment'!$AK$16-'Comparison Population'!$C$20), "")</f>
        <v>0.37187246314889982</v>
      </c>
      <c r="S10" s="125">
        <f>IFERROR(('Sec Enrollment'!$AL$16-'Comparison Population'!$C$21), "")</f>
        <v>0</v>
      </c>
      <c r="T10" s="125">
        <f>IFERROR(('Sec Enrollment'!$AM$16-'Comparison Population'!$C$22), "")</f>
        <v>0</v>
      </c>
      <c r="U10" s="125">
        <f>IFERROR(('Sec Enrollment'!$AN$16-'Comparison Population'!$C$23), "")</f>
        <v>0</v>
      </c>
      <c r="V10" s="125">
        <f>IFERROR(('Sec Enrollment'!$AO$16-'Comparison Population'!$C$24), "")</f>
        <v>-3.572527237769707E-2</v>
      </c>
      <c r="W10" s="125">
        <f>IFERROR(('Sec Enrollment'!$AP$16-'Comparison Population'!$C$25), "")</f>
        <v>0</v>
      </c>
      <c r="X10" s="125">
        <f>IFERROR(('Sec Enrollment'!$AQ$16-'Comparison Population'!$C$26), "")</f>
        <v>0</v>
      </c>
      <c r="Y10" s="125">
        <f>IFERROR(('Sec Enrollment'!$AR$16-'Comparison Population'!$C$27), "")</f>
        <v>0</v>
      </c>
    </row>
    <row r="11" spans="1:25" x14ac:dyDescent="0.25">
      <c r="A11" s="124">
        <f>'Sec Enrollment'!$A$17</f>
        <v>0</v>
      </c>
      <c r="B11" s="124" t="str">
        <f>'Sec Enrollment'!$B$17</f>
        <v>Health Services/Allied Health/Health Sciences, General</v>
      </c>
      <c r="C11" s="124" t="str">
        <f>'Sec Enrollment'!$C$17</f>
        <v>Health Science</v>
      </c>
      <c r="D11" s="125">
        <f>IFERROR('Sec Enrollment'!$D$17/'Sec Enrollment'!$D$35, "")</f>
        <v>4.9867021276595744E-2</v>
      </c>
      <c r="E11" s="126">
        <f>'Sec Enrollment'!D$17</f>
        <v>75</v>
      </c>
      <c r="F11" s="125">
        <f>IFERROR(('Sec Enrollment'!$Y$17-'Comparison Population'!$C$6), "")</f>
        <v>0.25</v>
      </c>
      <c r="G11" s="125">
        <f>IFERROR(('Sec Enrollment'!$Z$17-'Comparison Population'!$C$7), "")</f>
        <v>-0.25</v>
      </c>
      <c r="H11" s="125">
        <f>IFERROR(('Sec Enrollment'!$AA$17-'Comparison Population'!$C$8), "")</f>
        <v>0</v>
      </c>
      <c r="I11" s="125">
        <f>IFERROR(('Sec Enrollment'!$AB$17-'Comparison Population'!$C$10), "")</f>
        <v>0</v>
      </c>
      <c r="J11" s="125">
        <f>IFERROR(('Sec Enrollment'!$AC$17-'Comparison Population'!$C$11), "")</f>
        <v>3.1666666666666676E-2</v>
      </c>
      <c r="K11" s="125">
        <f>IFERROR(('Sec Enrollment'!$AD$17-'Comparison Population'!$C$12), "")</f>
        <v>-0.18333333333333332</v>
      </c>
      <c r="L11" s="125">
        <f>IFERROR(('Sec Enrollment'!$AE$17-'Comparison Population'!$C$13), "")</f>
        <v>-9.8333333333333356E-2</v>
      </c>
      <c r="M11" s="125">
        <f>IFERROR(('Sec Enrollment'!$AF$17-'Comparison Population'!$C$14), "")</f>
        <v>0.25</v>
      </c>
      <c r="N11" s="125">
        <f>IFERROR(('Sec Enrollment'!$AG$17-'Comparison Population'!$C$15), "")</f>
        <v>0</v>
      </c>
      <c r="O11" s="125">
        <f>IFERROR(('Sec Enrollment'!$AH$17-'Comparison Population'!$C$16), "")</f>
        <v>0</v>
      </c>
      <c r="P11" s="125">
        <f>IFERROR(('Sec Enrollment'!$AI$17-'Comparison Population'!$C$17), "")</f>
        <v>0</v>
      </c>
      <c r="Q11" s="125">
        <f>IFERROR(('Sec Enrollment'!$AJ$17-'Comparison Population'!$C$19), "")</f>
        <v>-0.11333333333333334</v>
      </c>
      <c r="R11" s="125">
        <f>IFERROR(('Sec Enrollment'!$AK$17-'Comparison Population'!$C$20), "")</f>
        <v>4.7461368653423097E-4</v>
      </c>
      <c r="S11" s="125">
        <f>IFERROR(('Sec Enrollment'!$AL$17-'Comparison Population'!$C$21), "")</f>
        <v>0</v>
      </c>
      <c r="T11" s="125">
        <f>IFERROR(('Sec Enrollment'!$AM$17-'Comparison Population'!$C$22), "")</f>
        <v>0</v>
      </c>
      <c r="U11" s="125">
        <f>IFERROR(('Sec Enrollment'!$AN$17-'Comparison Population'!$C$23), "")</f>
        <v>0</v>
      </c>
      <c r="V11" s="125">
        <f>IFERROR(('Sec Enrollment'!$AO$17-'Comparison Population'!$C$24), "")</f>
        <v>-5.1854304635761586E-2</v>
      </c>
      <c r="W11" s="125">
        <f>IFERROR(('Sec Enrollment'!$AP$17-'Comparison Population'!$C$25), "")</f>
        <v>0</v>
      </c>
      <c r="X11" s="125">
        <f>IFERROR(('Sec Enrollment'!$AQ$17-'Comparison Population'!$C$26), "")</f>
        <v>0</v>
      </c>
      <c r="Y11" s="125">
        <f>IFERROR(('Sec Enrollment'!$AR$17-'Comparison Population'!$C$27), "")</f>
        <v>0</v>
      </c>
    </row>
    <row r="12" spans="1:25" x14ac:dyDescent="0.25">
      <c r="A12" s="124">
        <f>'Sec Enrollment'!$A$6</f>
        <v>0</v>
      </c>
      <c r="B12" s="124" t="str">
        <f>'Sec Enrollment'!$B$6</f>
        <v>Applied Horticulture/Horticulture Operations, General</v>
      </c>
      <c r="C12" s="124" t="str">
        <f>'Sec Enrollment'!$C$6</f>
        <v>Agriculture, Food, and Natural Resources</v>
      </c>
      <c r="D12" s="125">
        <f>IFERROR('Sec Enrollment'!$D$6/'Sec Enrollment'!$D$35, "")</f>
        <v>2.3936170212765957E-2</v>
      </c>
      <c r="E12" s="126">
        <f>'Sec Enrollment'!D$6</f>
        <v>36</v>
      </c>
      <c r="F12" s="125">
        <f>IFERROR(('Sec Enrollment'!$Y$6-'Comparison Population'!$C$6), "")</f>
        <v>0.10111111111111115</v>
      </c>
      <c r="G12" s="125">
        <f>IFERROR(('Sec Enrollment'!$Z$6-'Comparison Population'!$C$7), "")</f>
        <v>-0.15666666666666668</v>
      </c>
      <c r="H12" s="125">
        <f>IFERROR(('Sec Enrollment'!$AA$6-'Comparison Population'!$C$8), "")</f>
        <v>0</v>
      </c>
      <c r="I12" s="125">
        <f>IFERROR(('Sec Enrollment'!$AB$6-'Comparison Population'!$C$10), "")</f>
        <v>0</v>
      </c>
      <c r="J12" s="125">
        <f>IFERROR(('Sec Enrollment'!$AC$6-'Comparison Population'!$C$11), "")</f>
        <v>-7.4999999999999997E-2</v>
      </c>
      <c r="K12" s="125">
        <f>IFERROR(('Sec Enrollment'!$AD$6-'Comparison Population'!$C$12), "")</f>
        <v>7.2222222222222243E-2</v>
      </c>
      <c r="L12" s="125">
        <f>IFERROR(('Sec Enrollment'!$AE$6-'Comparison Population'!$C$13), "")</f>
        <v>7.4999999999999956E-2</v>
      </c>
      <c r="M12" s="125">
        <f>IFERROR(('Sec Enrollment'!$AF$6-'Comparison Population'!$C$14), "")</f>
        <v>-7.2222222222222188E-2</v>
      </c>
      <c r="N12" s="125">
        <f>IFERROR(('Sec Enrollment'!$AG$6-'Comparison Population'!$C$15), "")</f>
        <v>0</v>
      </c>
      <c r="O12" s="125">
        <f>IFERROR(('Sec Enrollment'!$AH$6-'Comparison Population'!$C$16), "")</f>
        <v>0</v>
      </c>
      <c r="P12" s="125">
        <f>IFERROR(('Sec Enrollment'!$AI$6-'Comparison Population'!$C$17), "")</f>
        <v>0</v>
      </c>
      <c r="Q12" s="125">
        <f>IFERROR(('Sec Enrollment'!$AJ$6-'Comparison Population'!$C$19), "")</f>
        <v>0.61</v>
      </c>
      <c r="R12" s="125">
        <f>IFERROR(('Sec Enrollment'!$AK$6-'Comparison Population'!$C$20), "")</f>
        <v>0.2804746136865342</v>
      </c>
      <c r="S12" s="125">
        <f>IFERROR(('Sec Enrollment'!$AL$6-'Comparison Population'!$C$21), "")</f>
        <v>0</v>
      </c>
      <c r="T12" s="125">
        <f>IFERROR(('Sec Enrollment'!$AM$6-'Comparison Population'!$C$22), "")</f>
        <v>0</v>
      </c>
      <c r="U12" s="125">
        <f>IFERROR(('Sec Enrollment'!$AN$6-'Comparison Population'!$C$23), "")</f>
        <v>0</v>
      </c>
      <c r="V12" s="125">
        <f>IFERROR(('Sec Enrollment'!$AO$6-'Comparison Population'!$C$24), "")</f>
        <v>-2.407652685798381E-2</v>
      </c>
      <c r="W12" s="125">
        <f>IFERROR(('Sec Enrollment'!$AP$6-'Comparison Population'!$C$25), "")</f>
        <v>0</v>
      </c>
      <c r="X12" s="125">
        <f>IFERROR(('Sec Enrollment'!$AQ$6-'Comparison Population'!$C$26), "")</f>
        <v>0</v>
      </c>
      <c r="Y12" s="125">
        <f>IFERROR(('Sec Enrollment'!$AR$6-'Comparison Population'!$C$27), "")</f>
        <v>0</v>
      </c>
    </row>
    <row r="13" spans="1:25" x14ac:dyDescent="0.25">
      <c r="A13" s="124">
        <f>'Sec Enrollment'!$A$19</f>
        <v>0</v>
      </c>
      <c r="B13" s="124" t="str">
        <f>'Sec Enrollment'!$B$19</f>
        <v>Food Preparation/Professional Cooking/Kitchen Assistant</v>
      </c>
      <c r="C13" s="124" t="str">
        <f>'Sec Enrollment'!$C$19</f>
        <v>Hospitality &amp; Tourism</v>
      </c>
      <c r="D13" s="125">
        <f>IFERROR('Sec Enrollment'!$D$19/'Sec Enrollment'!$D$35, "")</f>
        <v>2.8590425531914893E-2</v>
      </c>
      <c r="E13" s="126">
        <f>'Sec Enrollment'!D$19</f>
        <v>43</v>
      </c>
      <c r="F13" s="125">
        <f>IFERROR(('Sec Enrollment'!$Y$19-'Comparison Population'!$C$6), "")</f>
        <v>9.4651162790697629E-2</v>
      </c>
      <c r="G13" s="125">
        <f>IFERROR(('Sec Enrollment'!$Z$19-'Comparison Population'!$C$7), "")</f>
        <v>-9.4651162790697685E-2</v>
      </c>
      <c r="H13" s="125">
        <f>IFERROR(('Sec Enrollment'!$AA$19-'Comparison Population'!$C$8), "")</f>
        <v>0</v>
      </c>
      <c r="I13" s="125">
        <f>IFERROR(('Sec Enrollment'!$AB$19-'Comparison Population'!$C$10), "")</f>
        <v>0</v>
      </c>
      <c r="J13" s="125">
        <f>IFERROR(('Sec Enrollment'!$AC$19-'Comparison Population'!$C$11), "")</f>
        <v>-7.4999999999999997E-2</v>
      </c>
      <c r="K13" s="125">
        <f>IFERROR(('Sec Enrollment'!$AD$19-'Comparison Population'!$C$12), "")</f>
        <v>3.2170542635658939E-2</v>
      </c>
      <c r="L13" s="125">
        <f>IFERROR(('Sec Enrollment'!$AE$19-'Comparison Population'!$C$13), "")</f>
        <v>2.0736434108527102E-2</v>
      </c>
      <c r="M13" s="125">
        <f>IFERROR(('Sec Enrollment'!$AF$19-'Comparison Population'!$C$14), "")</f>
        <v>-1.1627906976743874E-3</v>
      </c>
      <c r="N13" s="125">
        <f>IFERROR(('Sec Enrollment'!$AG$19-'Comparison Population'!$C$15), "")</f>
        <v>0</v>
      </c>
      <c r="O13" s="125">
        <f>IFERROR(('Sec Enrollment'!$AH$19-'Comparison Population'!$C$16), "")</f>
        <v>0</v>
      </c>
      <c r="P13" s="125">
        <f>IFERROR(('Sec Enrollment'!$AI$19-'Comparison Population'!$C$17), "")</f>
        <v>0</v>
      </c>
      <c r="Q13" s="125">
        <f>IFERROR(('Sec Enrollment'!$AJ$19-'Comparison Population'!$C$19), "")</f>
        <v>0.69720930232558143</v>
      </c>
      <c r="R13" s="125">
        <f>IFERROR(('Sec Enrollment'!$AK$19-'Comparison Population'!$C$20), "")</f>
        <v>0.38124980748498388</v>
      </c>
      <c r="S13" s="125">
        <f>IFERROR(('Sec Enrollment'!$AL$19-'Comparison Population'!$C$21), "")</f>
        <v>0</v>
      </c>
      <c r="T13" s="125">
        <f>IFERROR(('Sec Enrollment'!$AM$19-'Comparison Population'!$C$22), "")</f>
        <v>0</v>
      </c>
      <c r="U13" s="125">
        <f>IFERROR(('Sec Enrollment'!$AN$19-'Comparison Population'!$C$23), "")</f>
        <v>0</v>
      </c>
      <c r="V13" s="125">
        <f>IFERROR(('Sec Enrollment'!$AO$19-'Comparison Population'!$C$24), "")</f>
        <v>-2.8598490682273214E-2</v>
      </c>
      <c r="W13" s="125">
        <f>IFERROR(('Sec Enrollment'!$AP$19-'Comparison Population'!$C$25), "")</f>
        <v>0</v>
      </c>
      <c r="X13" s="125">
        <f>IFERROR(('Sec Enrollment'!$AQ$19-'Comparison Population'!$C$26), "")</f>
        <v>0</v>
      </c>
      <c r="Y13" s="125">
        <f>IFERROR(('Sec Enrollment'!$AR$19-'Comparison Population'!$C$27), "")</f>
        <v>0</v>
      </c>
    </row>
    <row r="14" spans="1:25" x14ac:dyDescent="0.25">
      <c r="A14" s="124">
        <f>'Sec Enrollment'!$A$12</f>
        <v>0</v>
      </c>
      <c r="B14" s="124" t="str">
        <f>'Sec Enrollment'!$B$12</f>
        <v>Business Administration/Management</v>
      </c>
      <c r="C14" s="124" t="str">
        <f>'Sec Enrollment'!$C$12</f>
        <v>Business, Management &amp; Administration</v>
      </c>
      <c r="D14" s="125">
        <f>IFERROR('Sec Enrollment'!$D$12/'Sec Enrollment'!$D$35, "")</f>
        <v>4.3218085106382982E-2</v>
      </c>
      <c r="E14" s="126">
        <f>'Sec Enrollment'!D$12</f>
        <v>65</v>
      </c>
      <c r="F14" s="125">
        <f>IFERROR(('Sec Enrollment'!$Y$12-'Comparison Population'!$C$6), "")</f>
        <v>8.9999999999999969E-2</v>
      </c>
      <c r="G14" s="125">
        <f>IFERROR(('Sec Enrollment'!$Z$12-'Comparison Population'!$C$7), "")</f>
        <v>-8.9999999999999969E-2</v>
      </c>
      <c r="H14" s="125">
        <f>IFERROR(('Sec Enrollment'!$AA$12-'Comparison Population'!$C$8), "")</f>
        <v>0</v>
      </c>
      <c r="I14" s="125">
        <f>IFERROR(('Sec Enrollment'!$AB$12-'Comparison Population'!$C$10), "")</f>
        <v>0</v>
      </c>
      <c r="J14" s="125">
        <f>IFERROR(('Sec Enrollment'!$AC$12-'Comparison Population'!$C$11), "")</f>
        <v>-1.3461538461538455E-2</v>
      </c>
      <c r="K14" s="125">
        <f>IFERROR(('Sec Enrollment'!$AD$12-'Comparison Population'!$C$12), "")</f>
        <v>-0.14743589743589741</v>
      </c>
      <c r="L14" s="125">
        <f>IFERROR(('Sec Enrollment'!$AE$12-'Comparison Population'!$C$13), "")</f>
        <v>8.0128205128205121E-2</v>
      </c>
      <c r="M14" s="125">
        <f>IFERROR(('Sec Enrollment'!$AF$12-'Comparison Population'!$C$14), "")</f>
        <v>8.0769230769230815E-2</v>
      </c>
      <c r="N14" s="125">
        <f>IFERROR(('Sec Enrollment'!$AG$12-'Comparison Population'!$C$15), "")</f>
        <v>0</v>
      </c>
      <c r="O14" s="125">
        <f>IFERROR(('Sec Enrollment'!$AH$12-'Comparison Population'!$C$16), "")</f>
        <v>0</v>
      </c>
      <c r="P14" s="125">
        <f>IFERROR(('Sec Enrollment'!$AI$12-'Comparison Population'!$C$17), "")</f>
        <v>0</v>
      </c>
      <c r="Q14" s="125">
        <f>IFERROR(('Sec Enrollment'!$AJ$12-'Comparison Population'!$C$19), "")</f>
        <v>-0.10923076923076924</v>
      </c>
      <c r="R14" s="125">
        <f>IFERROR(('Sec Enrollment'!$AK$12-'Comparison Population'!$C$20), "")</f>
        <v>2.919256240448298E-2</v>
      </c>
      <c r="S14" s="125">
        <f>IFERROR(('Sec Enrollment'!$AL$12-'Comparison Population'!$C$21), "")</f>
        <v>0</v>
      </c>
      <c r="T14" s="125">
        <f>IFERROR(('Sec Enrollment'!$AM$12-'Comparison Population'!$C$22), "")</f>
        <v>0</v>
      </c>
      <c r="U14" s="125">
        <f>IFERROR(('Sec Enrollment'!$AN$12-'Comparison Population'!$C$23), "")</f>
        <v>0</v>
      </c>
      <c r="V14" s="125">
        <f>IFERROR(('Sec Enrollment'!$AO$12-'Comparison Population'!$C$24), "")</f>
        <v>-5.1854304635761586E-2</v>
      </c>
      <c r="W14" s="125">
        <f>IFERROR(('Sec Enrollment'!$AP$12-'Comparison Population'!$C$25), "")</f>
        <v>0</v>
      </c>
      <c r="X14" s="125">
        <f>IFERROR(('Sec Enrollment'!$AQ$12-'Comparison Population'!$C$26), "")</f>
        <v>0</v>
      </c>
      <c r="Y14" s="125">
        <f>IFERROR(('Sec Enrollment'!$AR$12-'Comparison Population'!$C$27), "")</f>
        <v>0</v>
      </c>
    </row>
    <row r="15" spans="1:25" x14ac:dyDescent="0.25">
      <c r="A15" s="124">
        <f>'Sec Enrollment'!$A$10</f>
        <v>0</v>
      </c>
      <c r="B15" s="124" t="str">
        <f>'Sec Enrollment'!$B$10</f>
        <v>Radio &amp; TV Broadcasting Technology/Technician</v>
      </c>
      <c r="C15" s="124" t="str">
        <f>'Sec Enrollment'!$C$10</f>
        <v>Arts, Audio/Video Technology &amp; Communications</v>
      </c>
      <c r="D15" s="125">
        <f>IFERROR('Sec Enrollment'!$D$10/'Sec Enrollment'!$D$35, "")</f>
        <v>3.7898936170212769E-2</v>
      </c>
      <c r="E15" s="126">
        <f>'Sec Enrollment'!D$10</f>
        <v>57</v>
      </c>
      <c r="F15" s="125">
        <f>IFERROR(('Sec Enrollment'!$Y$10-'Comparison Population'!$C$6), "")</f>
        <v>5.1403508771929785E-2</v>
      </c>
      <c r="G15" s="125">
        <f>IFERROR(('Sec Enrollment'!$Z$10-'Comparison Population'!$C$7), "")</f>
        <v>-5.140350877192984E-2</v>
      </c>
      <c r="H15" s="125">
        <f>IFERROR(('Sec Enrollment'!$AA$10-'Comparison Population'!$C$8), "")</f>
        <v>0</v>
      </c>
      <c r="I15" s="125">
        <f>IFERROR(('Sec Enrollment'!$AB$10-'Comparison Population'!$C$10), "")</f>
        <v>0</v>
      </c>
      <c r="J15" s="125">
        <f>IFERROR(('Sec Enrollment'!$AC$10-'Comparison Population'!$C$11), "")</f>
        <v>-3.9912280701754385E-2</v>
      </c>
      <c r="K15" s="125">
        <f>IFERROR(('Sec Enrollment'!$AD$10-'Comparison Population'!$C$12), "")</f>
        <v>-0.1587719298245614</v>
      </c>
      <c r="L15" s="125">
        <f>IFERROR(('Sec Enrollment'!$AE$10-'Comparison Population'!$C$13), "")</f>
        <v>9.2543859649122762E-2</v>
      </c>
      <c r="M15" s="125">
        <f>IFERROR(('Sec Enrollment'!$AF$10-'Comparison Population'!$C$14), "")</f>
        <v>0.10614035087719298</v>
      </c>
      <c r="N15" s="125">
        <f>IFERROR(('Sec Enrollment'!$AG$10-'Comparison Population'!$C$15), "")</f>
        <v>0</v>
      </c>
      <c r="O15" s="125">
        <f>IFERROR(('Sec Enrollment'!$AH$10-'Comparison Population'!$C$16), "")</f>
        <v>0</v>
      </c>
      <c r="P15" s="125">
        <f>IFERROR(('Sec Enrollment'!$AI$10-'Comparison Population'!$C$17), "")</f>
        <v>0</v>
      </c>
      <c r="Q15" s="125">
        <f>IFERROR(('Sec Enrollment'!$AJ$10-'Comparison Population'!$C$19), "")</f>
        <v>1.7894736842105241E-2</v>
      </c>
      <c r="R15" s="125">
        <f>IFERROR(('Sec Enrollment'!$AK$10-'Comparison Population'!$C$20), "")</f>
        <v>-3.5314859997676307E-2</v>
      </c>
      <c r="S15" s="125">
        <f>IFERROR(('Sec Enrollment'!$AL$10-'Comparison Population'!$C$21), "")</f>
        <v>0</v>
      </c>
      <c r="T15" s="125">
        <f>IFERROR(('Sec Enrollment'!$AM$10-'Comparison Population'!$C$22), "")</f>
        <v>0</v>
      </c>
      <c r="U15" s="125">
        <f>IFERROR(('Sec Enrollment'!$AN$10-'Comparison Population'!$C$23), "")</f>
        <v>0</v>
      </c>
      <c r="V15" s="125">
        <f>IFERROR(('Sec Enrollment'!$AO$10-'Comparison Population'!$C$24), "")</f>
        <v>-5.1854304635761586E-2</v>
      </c>
      <c r="W15" s="125">
        <f>IFERROR(('Sec Enrollment'!$AP$10-'Comparison Population'!$C$25), "")</f>
        <v>0</v>
      </c>
      <c r="X15" s="125">
        <f>IFERROR(('Sec Enrollment'!$AQ$10-'Comparison Population'!$C$26), "")</f>
        <v>0</v>
      </c>
      <c r="Y15" s="125">
        <f>IFERROR(('Sec Enrollment'!$AR$10-'Comparison Population'!$C$27), "")</f>
        <v>0</v>
      </c>
    </row>
    <row r="16" spans="1:25" x14ac:dyDescent="0.25">
      <c r="A16" s="124">
        <f>'Sec Enrollment'!$A$24</f>
        <v>0</v>
      </c>
      <c r="B16" s="124" t="str">
        <f>'Sec Enrollment'!$B$24</f>
        <v>Web Page, Digital/Multimedia and Information Resources Design</v>
      </c>
      <c r="C16" s="124" t="str">
        <f>'Sec Enrollment'!$C$24</f>
        <v>Information Technology</v>
      </c>
      <c r="D16" s="125">
        <f>IFERROR('Sec Enrollment'!$D$24/'Sec Enrollment'!$D$35, "")</f>
        <v>5.6515957446808512E-2</v>
      </c>
      <c r="E16" s="126">
        <f>'Sec Enrollment'!D$24</f>
        <v>85</v>
      </c>
      <c r="F16" s="125">
        <f>IFERROR(('Sec Enrollment'!$Y$24-'Comparison Population'!$C$6), "")</f>
        <v>7.6470588235294512E-3</v>
      </c>
      <c r="G16" s="125">
        <f>IFERROR(('Sec Enrollment'!$Z$24-'Comparison Population'!$C$7), "")</f>
        <v>-7.6470588235293957E-3</v>
      </c>
      <c r="H16" s="125">
        <f>IFERROR(('Sec Enrollment'!$AA$24-'Comparison Population'!$C$8), "")</f>
        <v>0</v>
      </c>
      <c r="I16" s="125">
        <f>IFERROR(('Sec Enrollment'!$AB$24-'Comparison Population'!$C$10), "")</f>
        <v>0</v>
      </c>
      <c r="J16" s="125">
        <f>IFERROR(('Sec Enrollment'!$AC$24-'Comparison Population'!$C$11), "")</f>
        <v>4.2647058823529413E-2</v>
      </c>
      <c r="K16" s="125">
        <f>IFERROR(('Sec Enrollment'!$AD$24-'Comparison Population'!$C$12), "")</f>
        <v>-0.1284313725490196</v>
      </c>
      <c r="L16" s="125">
        <f>IFERROR(('Sec Enrollment'!$AE$24-'Comparison Population'!$C$13), "")</f>
        <v>-9.3627450980392185E-2</v>
      </c>
      <c r="M16" s="125">
        <f>IFERROR(('Sec Enrollment'!$AF$24-'Comparison Population'!$C$14), "")</f>
        <v>0.17941176470588238</v>
      </c>
      <c r="N16" s="125">
        <f>IFERROR(('Sec Enrollment'!$AG$24-'Comparison Population'!$C$15), "")</f>
        <v>0</v>
      </c>
      <c r="O16" s="125">
        <f>IFERROR(('Sec Enrollment'!$AH$24-'Comparison Population'!$C$16), "")</f>
        <v>0</v>
      </c>
      <c r="P16" s="125">
        <f>IFERROR(('Sec Enrollment'!$AI$24-'Comparison Population'!$C$17), "")</f>
        <v>0</v>
      </c>
      <c r="Q16" s="125">
        <f>IFERROR(('Sec Enrollment'!$AJ$24-'Comparison Population'!$C$19), "")</f>
        <v>-0.10470588235294119</v>
      </c>
      <c r="R16" s="125">
        <f>IFERROR(('Sec Enrollment'!$AK$24-'Comparison Population'!$C$20), "")</f>
        <v>3.7337358784573449E-2</v>
      </c>
      <c r="S16" s="125">
        <f>IFERROR(('Sec Enrollment'!$AL$24-'Comparison Population'!$C$21), "")</f>
        <v>0</v>
      </c>
      <c r="T16" s="125">
        <f>IFERROR(('Sec Enrollment'!$AM$24-'Comparison Population'!$C$22), "")</f>
        <v>0</v>
      </c>
      <c r="U16" s="125">
        <f>IFERROR(('Sec Enrollment'!$AN$24-'Comparison Population'!$C$23), "")</f>
        <v>0</v>
      </c>
      <c r="V16" s="125">
        <f>IFERROR(('Sec Enrollment'!$AO$24-'Comparison Population'!$C$24), "")</f>
        <v>-5.1854304635761586E-2</v>
      </c>
      <c r="W16" s="125">
        <f>IFERROR(('Sec Enrollment'!$AP$24-'Comparison Population'!$C$25), "")</f>
        <v>0</v>
      </c>
      <c r="X16" s="125">
        <f>IFERROR(('Sec Enrollment'!$AQ$24-'Comparison Population'!$C$26), "")</f>
        <v>0</v>
      </c>
      <c r="Y16" s="125">
        <f>IFERROR(('Sec Enrollment'!$AR$24-'Comparison Population'!$C$27), "")</f>
        <v>0</v>
      </c>
    </row>
    <row r="17" spans="1:25" x14ac:dyDescent="0.25">
      <c r="A17" s="124">
        <f>'Sec Enrollment'!$A$20</f>
        <v>0</v>
      </c>
      <c r="B17" s="124" t="str">
        <f>'Sec Enrollment'!$B$20</f>
        <v>Restaurant/Food Services Management</v>
      </c>
      <c r="C17" s="124" t="str">
        <f>'Sec Enrollment'!$C$20</f>
        <v>Hospitality &amp; Tourism</v>
      </c>
      <c r="D17" s="125">
        <f>IFERROR('Sec Enrollment'!$D$20/'Sec Enrollment'!$D$35, "")</f>
        <v>3.6569148936170214E-2</v>
      </c>
      <c r="E17" s="126">
        <f>'Sec Enrollment'!D$20</f>
        <v>55</v>
      </c>
      <c r="F17" s="125">
        <f>IFERROR(('Sec Enrollment'!$Y$20-'Comparison Population'!$C$6), "")</f>
        <v>-9.0909090909097046E-4</v>
      </c>
      <c r="G17" s="125">
        <f>IFERROR(('Sec Enrollment'!$Z$20-'Comparison Population'!$C$7), "")</f>
        <v>9.0909090909091494E-4</v>
      </c>
      <c r="H17" s="125">
        <f>IFERROR(('Sec Enrollment'!$AA$20-'Comparison Population'!$C$8), "")</f>
        <v>0</v>
      </c>
      <c r="I17" s="125">
        <f>IFERROR(('Sec Enrollment'!$AB$20-'Comparison Population'!$C$10), "")</f>
        <v>0</v>
      </c>
      <c r="J17" s="125">
        <f>IFERROR(('Sec Enrollment'!$AC$20-'Comparison Population'!$C$11), "")</f>
        <v>-3.8636363636363635E-2</v>
      </c>
      <c r="K17" s="125">
        <f>IFERROR(('Sec Enrollment'!$AD$20-'Comparison Population'!$C$12), "")</f>
        <v>0.1015151515151515</v>
      </c>
      <c r="L17" s="125">
        <f>IFERROR(('Sec Enrollment'!$AE$20-'Comparison Population'!$C$13), "")</f>
        <v>-7.6515151515151536E-2</v>
      </c>
      <c r="M17" s="125">
        <f>IFERROR(('Sec Enrollment'!$AF$20-'Comparison Population'!$C$14), "")</f>
        <v>-7.7272727272727271E-2</v>
      </c>
      <c r="N17" s="125">
        <f>IFERROR(('Sec Enrollment'!$AG$20-'Comparison Population'!$C$15), "")</f>
        <v>0</v>
      </c>
      <c r="O17" s="125">
        <f>IFERROR(('Sec Enrollment'!$AH$20-'Comparison Population'!$C$16), "")</f>
        <v>0</v>
      </c>
      <c r="P17" s="125">
        <f>IFERROR(('Sec Enrollment'!$AI$20-'Comparison Population'!$C$17), "")</f>
        <v>0</v>
      </c>
      <c r="Q17" s="125">
        <f>IFERROR(('Sec Enrollment'!$AJ$20-'Comparison Population'!$C$19), "")</f>
        <v>-8.5454545454545477E-2</v>
      </c>
      <c r="R17" s="125">
        <f>IFERROR(('Sec Enrollment'!$AK$20-'Comparison Population'!$C$20), "")</f>
        <v>0.21380794701986755</v>
      </c>
      <c r="S17" s="125">
        <f>IFERROR(('Sec Enrollment'!$AL$20-'Comparison Population'!$C$21), "")</f>
        <v>0</v>
      </c>
      <c r="T17" s="125">
        <f>IFERROR(('Sec Enrollment'!$AM$20-'Comparison Population'!$C$22), "")</f>
        <v>0</v>
      </c>
      <c r="U17" s="125">
        <f>IFERROR(('Sec Enrollment'!$AN$20-'Comparison Population'!$C$23), "")</f>
        <v>0</v>
      </c>
      <c r="V17" s="125">
        <f>IFERROR(('Sec Enrollment'!$AO$20-'Comparison Population'!$C$24), "")</f>
        <v>-5.1854304635761586E-2</v>
      </c>
      <c r="W17" s="125">
        <f>IFERROR(('Sec Enrollment'!$AP$20-'Comparison Population'!$C$25), "")</f>
        <v>0</v>
      </c>
      <c r="X17" s="125">
        <f>IFERROR(('Sec Enrollment'!$AQ$20-'Comparison Population'!$C$26), "")</f>
        <v>0</v>
      </c>
      <c r="Y17" s="125">
        <f>IFERROR(('Sec Enrollment'!$AR$20-'Comparison Population'!$C$27), "")</f>
        <v>0</v>
      </c>
    </row>
    <row r="18" spans="1:25" x14ac:dyDescent="0.25">
      <c r="A18" s="124">
        <f>'Sec Enrollment'!$A$11</f>
        <v>0</v>
      </c>
      <c r="B18" s="124" t="str">
        <f>'Sec Enrollment'!$B$11</f>
        <v>Digital Communications &amp; Media/Multimedia</v>
      </c>
      <c r="C18" s="124" t="str">
        <f>'Sec Enrollment'!$C$11</f>
        <v>Arts, Audio/Video Technology &amp; Communications</v>
      </c>
      <c r="D18" s="125">
        <f>IFERROR('Sec Enrollment'!$D$11/'Sec Enrollment'!$D$35, "")</f>
        <v>4.7872340425531915E-2</v>
      </c>
      <c r="E18" s="126">
        <f>'Sec Enrollment'!D$11</f>
        <v>72</v>
      </c>
      <c r="F18" s="125">
        <f>IFERROR(('Sec Enrollment'!$Y$11-'Comparison Population'!$C$6), "")</f>
        <v>-3.7777777777777799E-2</v>
      </c>
      <c r="G18" s="125">
        <f>IFERROR(('Sec Enrollment'!$Z$11-'Comparison Population'!$C$7), "")</f>
        <v>3.7777777777777799E-2</v>
      </c>
      <c r="H18" s="125">
        <f>IFERROR(('Sec Enrollment'!$AA$11-'Comparison Population'!$C$8), "")</f>
        <v>0</v>
      </c>
      <c r="I18" s="125">
        <f>IFERROR(('Sec Enrollment'!$AB$11-'Comparison Population'!$C$10), "")</f>
        <v>0</v>
      </c>
      <c r="J18" s="125">
        <f>IFERROR(('Sec Enrollment'!$AC$11-'Comparison Population'!$C$11), "")</f>
        <v>-1.9444444444444445E-2</v>
      </c>
      <c r="K18" s="125">
        <f>IFERROR(('Sec Enrollment'!$AD$11-'Comparison Population'!$C$12), "")</f>
        <v>-0.10833333333333331</v>
      </c>
      <c r="L18" s="125">
        <f>IFERROR(('Sec Enrollment'!$AE$11-'Comparison Population'!$C$13), "")</f>
        <v>-0.16111111111111115</v>
      </c>
      <c r="M18" s="125">
        <f>IFERROR(('Sec Enrollment'!$AF$11-'Comparison Population'!$C$14), "")</f>
        <v>0.31666666666666665</v>
      </c>
      <c r="N18" s="125">
        <f>IFERROR(('Sec Enrollment'!$AG$11-'Comparison Population'!$C$15), "")</f>
        <v>0</v>
      </c>
      <c r="O18" s="125">
        <f>IFERROR(('Sec Enrollment'!$AH$11-'Comparison Population'!$C$16), "")</f>
        <v>0</v>
      </c>
      <c r="P18" s="125">
        <f>IFERROR(('Sec Enrollment'!$AI$11-'Comparison Population'!$C$17), "")</f>
        <v>0</v>
      </c>
      <c r="Q18" s="125">
        <f>IFERROR(('Sec Enrollment'!$AJ$11-'Comparison Population'!$C$19), "")</f>
        <v>-5.6666666666666685E-2</v>
      </c>
      <c r="R18" s="125">
        <f>IFERROR(('Sec Enrollment'!$AK$11-'Comparison Population'!$C$20), "")</f>
        <v>5.8252391464311992E-2</v>
      </c>
      <c r="S18" s="125">
        <f>IFERROR(('Sec Enrollment'!$AL$11-'Comparison Population'!$C$21), "")</f>
        <v>0</v>
      </c>
      <c r="T18" s="125">
        <f>IFERROR(('Sec Enrollment'!$AM$11-'Comparison Population'!$C$22), "")</f>
        <v>0</v>
      </c>
      <c r="U18" s="125">
        <f>IFERROR(('Sec Enrollment'!$AN$11-'Comparison Population'!$C$23), "")</f>
        <v>0</v>
      </c>
      <c r="V18" s="125">
        <f>IFERROR(('Sec Enrollment'!$AO$11-'Comparison Population'!$C$24), "")</f>
        <v>-5.1854304635761586E-2</v>
      </c>
      <c r="W18" s="125">
        <f>IFERROR(('Sec Enrollment'!$AP$11-'Comparison Population'!$C$25), "")</f>
        <v>0</v>
      </c>
      <c r="X18" s="125">
        <f>IFERROR(('Sec Enrollment'!$AQ$11-'Comparison Population'!$C$26), "")</f>
        <v>0</v>
      </c>
      <c r="Y18" s="125">
        <f>IFERROR(('Sec Enrollment'!$AR$11-'Comparison Population'!$C$27), "")</f>
        <v>0</v>
      </c>
    </row>
    <row r="19" spans="1:25" x14ac:dyDescent="0.25">
      <c r="A19" s="124">
        <f>'Sec Enrollment'!$A$15</f>
        <v>0</v>
      </c>
      <c r="B19" s="124" t="str">
        <f>'Sec Enrollment'!$B$15</f>
        <v>Accounting Technology/Technician &amp; Bookkeeping</v>
      </c>
      <c r="C19" s="124" t="str">
        <f>'Sec Enrollment'!$C$15</f>
        <v>Finance</v>
      </c>
      <c r="D19" s="125">
        <f>IFERROR('Sec Enrollment'!$D$15/'Sec Enrollment'!$D$35, "")</f>
        <v>3.8563829787234043E-2</v>
      </c>
      <c r="E19" s="126">
        <f>'Sec Enrollment'!D$15</f>
        <v>58</v>
      </c>
      <c r="F19" s="125">
        <f>IFERROR(('Sec Enrollment'!$Y$15-'Comparison Population'!$C$6), "")</f>
        <v>-4.4482758620689677E-2</v>
      </c>
      <c r="G19" s="125">
        <f>IFERROR(('Sec Enrollment'!$Z$15-'Comparison Population'!$C$7), "")</f>
        <v>4.4482758620689622E-2</v>
      </c>
      <c r="H19" s="125">
        <f>IFERROR(('Sec Enrollment'!$AA$15-'Comparison Population'!$C$8), "")</f>
        <v>0</v>
      </c>
      <c r="I19" s="125">
        <f>IFERROR(('Sec Enrollment'!$AB$15-'Comparison Population'!$C$10), "")</f>
        <v>0</v>
      </c>
      <c r="J19" s="125">
        <f>IFERROR(('Sec Enrollment'!$AC$15-'Comparison Population'!$C$11), "")</f>
        <v>-7.4999999999999997E-2</v>
      </c>
      <c r="K19" s="125">
        <f>IFERROR(('Sec Enrollment'!$AD$15-'Comparison Population'!$C$12), "")</f>
        <v>-2.3563218390804608E-2</v>
      </c>
      <c r="L19" s="125">
        <f>IFERROR(('Sec Enrollment'!$AE$15-'Comparison Population'!$C$13), "")</f>
        <v>-0.18936781609195405</v>
      </c>
      <c r="M19" s="125">
        <f>IFERROR(('Sec Enrollment'!$AF$15-'Comparison Population'!$C$14), "")</f>
        <v>0.2879310344827587</v>
      </c>
      <c r="N19" s="125">
        <f>IFERROR(('Sec Enrollment'!$AG$15-'Comparison Population'!$C$15), "")</f>
        <v>0</v>
      </c>
      <c r="O19" s="125">
        <f>IFERROR(('Sec Enrollment'!$AH$15-'Comparison Population'!$C$16), "")</f>
        <v>0</v>
      </c>
      <c r="P19" s="125">
        <f>IFERROR(('Sec Enrollment'!$AI$15-'Comparison Population'!$C$17), "")</f>
        <v>0</v>
      </c>
      <c r="Q19" s="125">
        <f>IFERROR(('Sec Enrollment'!$AJ$15-'Comparison Population'!$C$19), "")</f>
        <v>-8.8275862068965538E-2</v>
      </c>
      <c r="R19" s="125">
        <f>IFERROR(('Sec Enrollment'!$AK$15-'Comparison Population'!$C$20), "")</f>
        <v>0.16553208495090205</v>
      </c>
      <c r="S19" s="125">
        <f>IFERROR(('Sec Enrollment'!$AL$15-'Comparison Population'!$C$21), "")</f>
        <v>0</v>
      </c>
      <c r="T19" s="125">
        <f>IFERROR(('Sec Enrollment'!$AM$15-'Comparison Population'!$C$22), "")</f>
        <v>0</v>
      </c>
      <c r="U19" s="125">
        <f>IFERROR(('Sec Enrollment'!$AN$15-'Comparison Population'!$C$23), "")</f>
        <v>0</v>
      </c>
      <c r="V19" s="125">
        <f>IFERROR(('Sec Enrollment'!$AO$15-'Comparison Population'!$C$24), "")</f>
        <v>-5.1854304635761586E-2</v>
      </c>
      <c r="W19" s="125">
        <f>IFERROR(('Sec Enrollment'!$AP$15-'Comparison Population'!$C$25), "")</f>
        <v>0</v>
      </c>
      <c r="X19" s="125">
        <f>IFERROR(('Sec Enrollment'!$AQ$15-'Comparison Population'!$C$26), "")</f>
        <v>0</v>
      </c>
      <c r="Y19" s="125">
        <f>IFERROR(('Sec Enrollment'!$AR$15-'Comparison Population'!$C$27), "")</f>
        <v>0</v>
      </c>
    </row>
    <row r="20" spans="1:25" x14ac:dyDescent="0.25">
      <c r="A20" s="124">
        <f>'Sec Enrollment'!$A$18</f>
        <v>0</v>
      </c>
      <c r="B20" s="124" t="str">
        <f>'Sec Enrollment'!$B$18</f>
        <v>Culinary Arts/Chef Training</v>
      </c>
      <c r="C20" s="124" t="str">
        <f>'Sec Enrollment'!$C$18</f>
        <v>Hospitality &amp; Tourism</v>
      </c>
      <c r="D20" s="125">
        <f>IFERROR('Sec Enrollment'!$D$18/'Sec Enrollment'!$D$35, "")</f>
        <v>3.9228723404255317E-2</v>
      </c>
      <c r="E20" s="126">
        <f>'Sec Enrollment'!D$18</f>
        <v>59</v>
      </c>
      <c r="F20" s="125">
        <f>IFERROR(('Sec Enrollment'!$Y$18-'Comparison Population'!$C$6), "")</f>
        <v>-5.237288135593221E-2</v>
      </c>
      <c r="G20" s="125">
        <f>IFERROR(('Sec Enrollment'!$Z$18-'Comparison Population'!$C$7), "")</f>
        <v>5.237288135593221E-2</v>
      </c>
      <c r="H20" s="125">
        <f>IFERROR(('Sec Enrollment'!$AA$18-'Comparison Population'!$C$8), "")</f>
        <v>0</v>
      </c>
      <c r="I20" s="125">
        <f>IFERROR(('Sec Enrollment'!$AB$18-'Comparison Population'!$C$10), "")</f>
        <v>0</v>
      </c>
      <c r="J20" s="125">
        <f>IFERROR(('Sec Enrollment'!$AC$18-'Comparison Population'!$C$11), "")</f>
        <v>-5.8050847457627119E-2</v>
      </c>
      <c r="K20" s="125">
        <f>IFERROR(('Sec Enrollment'!$AD$18-'Comparison Population'!$C$12), "")</f>
        <v>9.0112994350282527E-2</v>
      </c>
      <c r="L20" s="125">
        <f>IFERROR(('Sec Enrollment'!$AE$18-'Comparison Population'!$C$13), "")</f>
        <v>-5.494350282485877E-2</v>
      </c>
      <c r="M20" s="125">
        <f>IFERROR(('Sec Enrollment'!$AF$18-'Comparison Population'!$C$14), "")</f>
        <v>-1.1016949152542366E-2</v>
      </c>
      <c r="N20" s="125">
        <f>IFERROR(('Sec Enrollment'!$AG$18-'Comparison Population'!$C$15), "")</f>
        <v>0</v>
      </c>
      <c r="O20" s="125">
        <f>IFERROR(('Sec Enrollment'!$AH$18-'Comparison Population'!$C$16), "")</f>
        <v>0</v>
      </c>
      <c r="P20" s="125">
        <f>IFERROR(('Sec Enrollment'!$AI$18-'Comparison Population'!$C$17), "")</f>
        <v>0</v>
      </c>
      <c r="Q20" s="125">
        <f>IFERROR(('Sec Enrollment'!$AJ$18-'Comparison Population'!$C$19), "")</f>
        <v>-7.2203389830508488E-2</v>
      </c>
      <c r="R20" s="125">
        <f>IFERROR(('Sec Enrollment'!$AK$18-'Comparison Population'!$C$20), "")</f>
        <v>0.13923167583342694</v>
      </c>
      <c r="S20" s="125">
        <f>IFERROR(('Sec Enrollment'!$AL$18-'Comparison Population'!$C$21), "")</f>
        <v>0</v>
      </c>
      <c r="T20" s="125">
        <f>IFERROR(('Sec Enrollment'!$AM$18-'Comparison Population'!$C$22), "")</f>
        <v>0</v>
      </c>
      <c r="U20" s="125">
        <f>IFERROR(('Sec Enrollment'!$AN$18-'Comparison Population'!$C$23), "")</f>
        <v>0</v>
      </c>
      <c r="V20" s="125">
        <f>IFERROR(('Sec Enrollment'!$AO$18-'Comparison Population'!$C$24), "")</f>
        <v>-5.1854304635761586E-2</v>
      </c>
      <c r="W20" s="125">
        <f>IFERROR(('Sec Enrollment'!$AP$18-'Comparison Population'!$C$25), "")</f>
        <v>0</v>
      </c>
      <c r="X20" s="125">
        <f>IFERROR(('Sec Enrollment'!$AQ$18-'Comparison Population'!$C$26), "")</f>
        <v>0</v>
      </c>
      <c r="Y20" s="125">
        <f>IFERROR(('Sec Enrollment'!$AR$18-'Comparison Population'!$C$27), "")</f>
        <v>0</v>
      </c>
    </row>
    <row r="21" spans="1:25" x14ac:dyDescent="0.25">
      <c r="A21" s="124">
        <f>'Sec Enrollment'!$A$32</f>
        <v>0</v>
      </c>
      <c r="B21" s="124" t="str">
        <f>'Sec Enrollment'!$B$32</f>
        <v>Logistics, Materials, and Supply Chain Management.</v>
      </c>
      <c r="C21" s="124" t="str">
        <f>'Sec Enrollment'!$C$32</f>
        <v>Transportation, Distribution &amp; Logistics</v>
      </c>
      <c r="D21" s="125">
        <f>IFERROR('Sec Enrollment'!$D$32/'Sec Enrollment'!$D$35, "")</f>
        <v>3.9893617021276598E-2</v>
      </c>
      <c r="E21" s="126">
        <f>'Sec Enrollment'!D$32</f>
        <v>60</v>
      </c>
      <c r="F21" s="125">
        <f>IFERROR(('Sec Enrollment'!$Y$32-'Comparison Population'!$C$6), "")</f>
        <v>-0.14333333333333337</v>
      </c>
      <c r="G21" s="125">
        <f>IFERROR(('Sec Enrollment'!$Z$32-'Comparison Population'!$C$7), "")</f>
        <v>0.14333333333333331</v>
      </c>
      <c r="H21" s="125">
        <f>IFERROR(('Sec Enrollment'!$AA$32-'Comparison Population'!$C$8), "")</f>
        <v>0</v>
      </c>
      <c r="I21" s="125">
        <f>IFERROR(('Sec Enrollment'!$AB$32-'Comparison Population'!$C$10), "")</f>
        <v>0</v>
      </c>
      <c r="J21" s="125">
        <f>IFERROR(('Sec Enrollment'!$AC$32-'Comparison Population'!$C$11), "")</f>
        <v>8.3333333333333315E-3</v>
      </c>
      <c r="K21" s="125">
        <f>IFERROR(('Sec Enrollment'!$AD$32-'Comparison Population'!$C$12), "")</f>
        <v>1.6666666666666663E-2</v>
      </c>
      <c r="L21" s="125">
        <f>IFERROR(('Sec Enrollment'!$AE$32-'Comparison Population'!$C$13), "")</f>
        <v>-8.3333333333333592E-3</v>
      </c>
      <c r="M21" s="125">
        <f>IFERROR(('Sec Enrollment'!$AF$32-'Comparison Population'!$C$14), "")</f>
        <v>-1.6666666666666663E-2</v>
      </c>
      <c r="N21" s="125">
        <f>IFERROR(('Sec Enrollment'!$AG$32-'Comparison Population'!$C$15), "")</f>
        <v>0</v>
      </c>
      <c r="O21" s="125">
        <f>IFERROR(('Sec Enrollment'!$AH$32-'Comparison Population'!$C$16), "")</f>
        <v>0</v>
      </c>
      <c r="P21" s="125">
        <f>IFERROR(('Sec Enrollment'!$AI$32-'Comparison Population'!$C$17), "")</f>
        <v>0</v>
      </c>
      <c r="Q21" s="125">
        <f>IFERROR(('Sec Enrollment'!$AJ$32-'Comparison Population'!$C$19), "")</f>
        <v>-2.3333333333333345E-2</v>
      </c>
      <c r="R21" s="125">
        <f>IFERROR(('Sec Enrollment'!$AK$32-'Comparison Population'!$C$20), "")</f>
        <v>0.18047461368653422</v>
      </c>
      <c r="S21" s="125">
        <f>IFERROR(('Sec Enrollment'!$AL$32-'Comparison Population'!$C$21), "")</f>
        <v>0</v>
      </c>
      <c r="T21" s="125">
        <f>IFERROR(('Sec Enrollment'!$AM$32-'Comparison Population'!$C$22), "")</f>
        <v>0</v>
      </c>
      <c r="U21" s="125">
        <f>IFERROR(('Sec Enrollment'!$AN$32-'Comparison Population'!$C$23), "")</f>
        <v>0</v>
      </c>
      <c r="V21" s="125">
        <f>IFERROR(('Sec Enrollment'!$AO$32-'Comparison Population'!$C$24), "")</f>
        <v>-5.1854304635761586E-2</v>
      </c>
      <c r="W21" s="125">
        <f>IFERROR(('Sec Enrollment'!$AP$32-'Comparison Population'!$C$25), "")</f>
        <v>0</v>
      </c>
      <c r="X21" s="125">
        <f>IFERROR(('Sec Enrollment'!$AQ$32-'Comparison Population'!$C$26), "")</f>
        <v>0</v>
      </c>
      <c r="Y21" s="125">
        <f>IFERROR(('Sec Enrollment'!$AR$32-'Comparison Population'!$C$27), "")</f>
        <v>0</v>
      </c>
    </row>
    <row r="22" spans="1:25" x14ac:dyDescent="0.25">
      <c r="A22" s="124">
        <f>'Sec Enrollment'!$A$9</f>
        <v>0</v>
      </c>
      <c r="B22" s="124" t="str">
        <f>'Sec Enrollment'!$B$9</f>
        <v>Architectural Technology / Technician</v>
      </c>
      <c r="C22" s="124" t="str">
        <f>'Sec Enrollment'!$C$9</f>
        <v>Architecture and Construction</v>
      </c>
      <c r="D22" s="125">
        <f>IFERROR('Sec Enrollment'!$D$9/'Sec Enrollment'!$D$35, "")</f>
        <v>2.5930851063829786E-2</v>
      </c>
      <c r="E22" s="126">
        <f>'Sec Enrollment'!D$9</f>
        <v>39</v>
      </c>
      <c r="F22" s="125">
        <f>IFERROR(('Sec Enrollment'!$Y$9-'Comparison Population'!$C$6), "")</f>
        <v>-0.2023076923076923</v>
      </c>
      <c r="G22" s="125">
        <f>IFERROR(('Sec Enrollment'!$Z$9-'Comparison Population'!$C$7), "")</f>
        <v>0.2023076923076923</v>
      </c>
      <c r="H22" s="125">
        <f>IFERROR(('Sec Enrollment'!$AA$9-'Comparison Population'!$C$8), "")</f>
        <v>0</v>
      </c>
      <c r="I22" s="125">
        <f>IFERROR(('Sec Enrollment'!$AB$9-'Comparison Population'!$C$10), "")</f>
        <v>0</v>
      </c>
      <c r="J22" s="125">
        <f>IFERROR(('Sec Enrollment'!$AC$9-'Comparison Population'!$C$11), "")</f>
        <v>7.8846153846153857E-2</v>
      </c>
      <c r="K22" s="125">
        <f>IFERROR(('Sec Enrollment'!$AD$9-'Comparison Population'!$C$12), "")</f>
        <v>-0.26538461538461539</v>
      </c>
      <c r="L22" s="125">
        <f>IFERROR(('Sec Enrollment'!$AE$9-'Comparison Population'!$C$13), "")</f>
        <v>-0.13012820512820517</v>
      </c>
      <c r="M22" s="125">
        <f>IFERROR(('Sec Enrollment'!$AF$9-'Comparison Population'!$C$14), "")</f>
        <v>0.47051282051282051</v>
      </c>
      <c r="N22" s="125">
        <f>IFERROR(('Sec Enrollment'!$AG$9-'Comparison Population'!$C$15), "")</f>
        <v>0</v>
      </c>
      <c r="O22" s="125">
        <f>IFERROR(('Sec Enrollment'!$AH$9-'Comparison Population'!$C$16), "")</f>
        <v>0</v>
      </c>
      <c r="P22" s="125">
        <f>IFERROR(('Sec Enrollment'!$AI$9-'Comparison Population'!$C$17), "")</f>
        <v>0</v>
      </c>
      <c r="Q22" s="125">
        <f>IFERROR(('Sec Enrollment'!$AJ$9-'Comparison Population'!$C$19), "")</f>
        <v>-8.8717948717948733E-2</v>
      </c>
      <c r="R22" s="125">
        <f>IFERROR(('Sec Enrollment'!$AK$9-'Comparison Population'!$C$20), "")</f>
        <v>2.4064357276277815E-2</v>
      </c>
      <c r="S22" s="125">
        <f>IFERROR(('Sec Enrollment'!$AL$9-'Comparison Population'!$C$21), "")</f>
        <v>0</v>
      </c>
      <c r="T22" s="125">
        <f>IFERROR(('Sec Enrollment'!$AM$9-'Comparison Population'!$C$22), "")</f>
        <v>0</v>
      </c>
      <c r="U22" s="125">
        <f>IFERROR(('Sec Enrollment'!$AN$9-'Comparison Population'!$C$23), "")</f>
        <v>0</v>
      </c>
      <c r="V22" s="125">
        <f>IFERROR(('Sec Enrollment'!$AO$9-'Comparison Population'!$C$24), "")</f>
        <v>-5.1854304635761586E-2</v>
      </c>
      <c r="W22" s="125">
        <f>IFERROR(('Sec Enrollment'!$AP$9-'Comparison Population'!$C$25), "")</f>
        <v>0</v>
      </c>
      <c r="X22" s="125">
        <f>IFERROR(('Sec Enrollment'!$AQ$9-'Comparison Population'!$C$26), "")</f>
        <v>0</v>
      </c>
      <c r="Y22" s="125">
        <f>IFERROR(('Sec Enrollment'!$AR$9-'Comparison Population'!$C$27), "")</f>
        <v>0</v>
      </c>
    </row>
    <row r="23" spans="1:25" x14ac:dyDescent="0.25">
      <c r="A23" s="124">
        <f>'Sec Enrollment'!$A$29</f>
        <v>0</v>
      </c>
      <c r="B23" s="124" t="str">
        <f>'Sec Enrollment'!$B$29</f>
        <v>Mechatronics, Robotics, and Automation Engineering</v>
      </c>
      <c r="C23" s="124" t="str">
        <f>'Sec Enrollment'!$C$29</f>
        <v>STEM</v>
      </c>
      <c r="D23" s="125">
        <f>IFERROR('Sec Enrollment'!$D$29/'Sec Enrollment'!$D$35, "")</f>
        <v>2.6595744680851064E-2</v>
      </c>
      <c r="E23" s="126">
        <f>'Sec Enrollment'!D$29</f>
        <v>40</v>
      </c>
      <c r="F23" s="125">
        <f>IFERROR(('Sec Enrollment'!$Y$29-'Comparison Population'!$C$6), "")</f>
        <v>-0.21000000000000002</v>
      </c>
      <c r="G23" s="125">
        <f>IFERROR(('Sec Enrollment'!$Z$29-'Comparison Population'!$C$7), "")</f>
        <v>0.20999999999999996</v>
      </c>
      <c r="H23" s="125">
        <f>IFERROR(('Sec Enrollment'!$AA$29-'Comparison Population'!$C$8), "")</f>
        <v>0</v>
      </c>
      <c r="I23" s="125">
        <f>IFERROR(('Sec Enrollment'!$AB$29-'Comparison Population'!$C$10), "")</f>
        <v>0</v>
      </c>
      <c r="J23" s="125">
        <f>IFERROR(('Sec Enrollment'!$AC$29-'Comparison Population'!$C$11), "")</f>
        <v>9.9999999999999992E-2</v>
      </c>
      <c r="K23" s="125">
        <f>IFERROR(('Sec Enrollment'!$AD$29-'Comparison Population'!$C$12), "")</f>
        <v>-0.19166666666666665</v>
      </c>
      <c r="L23" s="125">
        <f>IFERROR(('Sec Enrollment'!$AE$29-'Comparison Population'!$C$13), "")</f>
        <v>-8.3333333333333592E-3</v>
      </c>
      <c r="M23" s="125">
        <f>IFERROR(('Sec Enrollment'!$AF$29-'Comparison Population'!$C$14), "")</f>
        <v>0.10000000000000003</v>
      </c>
      <c r="N23" s="125">
        <f>IFERROR(('Sec Enrollment'!$AG$29-'Comparison Population'!$C$15), "")</f>
        <v>0</v>
      </c>
      <c r="O23" s="125">
        <f>IFERROR(('Sec Enrollment'!$AH$29-'Comparison Population'!$C$16), "")</f>
        <v>0</v>
      </c>
      <c r="P23" s="125">
        <f>IFERROR(('Sec Enrollment'!$AI$29-'Comparison Population'!$C$17), "")</f>
        <v>0</v>
      </c>
      <c r="Q23" s="125">
        <f>IFERROR(('Sec Enrollment'!$AJ$29-'Comparison Population'!$C$19), "")</f>
        <v>-9.0000000000000011E-2</v>
      </c>
      <c r="R23" s="125">
        <f>IFERROR(('Sec Enrollment'!$AK$29-'Comparison Population'!$C$20), "")</f>
        <v>0.31380794701986753</v>
      </c>
      <c r="S23" s="125">
        <f>IFERROR(('Sec Enrollment'!$AL$29-'Comparison Population'!$C$21), "")</f>
        <v>0</v>
      </c>
      <c r="T23" s="125">
        <f>IFERROR(('Sec Enrollment'!$AM$29-'Comparison Population'!$C$22), "")</f>
        <v>0</v>
      </c>
      <c r="U23" s="125">
        <f>IFERROR(('Sec Enrollment'!$AN$29-'Comparison Population'!$C$23), "")</f>
        <v>0</v>
      </c>
      <c r="V23" s="125">
        <f>IFERROR(('Sec Enrollment'!$AO$29-'Comparison Population'!$C$24), "")</f>
        <v>-5.1854304635761586E-2</v>
      </c>
      <c r="W23" s="125">
        <f>IFERROR(('Sec Enrollment'!$AP$29-'Comparison Population'!$C$25), "")</f>
        <v>0</v>
      </c>
      <c r="X23" s="125">
        <f>IFERROR(('Sec Enrollment'!$AQ$29-'Comparison Population'!$C$26), "")</f>
        <v>0</v>
      </c>
      <c r="Y23" s="125">
        <f>IFERROR(('Sec Enrollment'!$AR$29-'Comparison Population'!$C$27), "")</f>
        <v>0</v>
      </c>
    </row>
    <row r="24" spans="1:25" x14ac:dyDescent="0.25">
      <c r="A24" s="124">
        <f>'Sec Enrollment'!$A$28</f>
        <v>0</v>
      </c>
      <c r="B24" s="124" t="str">
        <f>'Sec Enrollment'!$B$28</f>
        <v>Engineering, General</v>
      </c>
      <c r="C24" s="124" t="str">
        <f>'Sec Enrollment'!$C$28</f>
        <v>STEM</v>
      </c>
      <c r="D24" s="125">
        <f>IFERROR('Sec Enrollment'!$D$28/'Sec Enrollment'!$D$35, "")</f>
        <v>4.5877659574468085E-2</v>
      </c>
      <c r="E24" s="126">
        <f>'Sec Enrollment'!D$28</f>
        <v>69</v>
      </c>
      <c r="F24" s="125">
        <f>IFERROR(('Sec Enrollment'!$Y$28-'Comparison Population'!$C$6), "")</f>
        <v>-0.2346376811594203</v>
      </c>
      <c r="G24" s="125">
        <f>IFERROR(('Sec Enrollment'!$Z$28-'Comparison Population'!$C$7), "")</f>
        <v>0.2346376811594203</v>
      </c>
      <c r="H24" s="125">
        <f>IFERROR(('Sec Enrollment'!$AA$28-'Comparison Population'!$C$8), "")</f>
        <v>0</v>
      </c>
      <c r="I24" s="125">
        <f>IFERROR(('Sec Enrollment'!$AB$28-'Comparison Population'!$C$10), "")</f>
        <v>0</v>
      </c>
      <c r="J24" s="125">
        <f>IFERROR(('Sec Enrollment'!$AC$28-'Comparison Population'!$C$11), "")</f>
        <v>0.2003623188405797</v>
      </c>
      <c r="K24" s="125">
        <f>IFERROR(('Sec Enrollment'!$AD$28-'Comparison Population'!$C$12), "")</f>
        <v>-9.9275362318840571E-2</v>
      </c>
      <c r="L24" s="125">
        <f>IFERROR(('Sec Enrollment'!$AE$28-'Comparison Population'!$C$13), "")</f>
        <v>-0.17137681159420293</v>
      </c>
      <c r="M24" s="125">
        <f>IFERROR(('Sec Enrollment'!$AF$28-'Comparison Population'!$C$14), "")</f>
        <v>0.2152173913043478</v>
      </c>
      <c r="N24" s="125">
        <f>IFERROR(('Sec Enrollment'!$AG$28-'Comparison Population'!$C$15), "")</f>
        <v>0</v>
      </c>
      <c r="O24" s="125">
        <f>IFERROR(('Sec Enrollment'!$AH$28-'Comparison Population'!$C$16), "")</f>
        <v>0</v>
      </c>
      <c r="P24" s="125">
        <f>IFERROR(('Sec Enrollment'!$AI$28-'Comparison Population'!$C$17), "")</f>
        <v>0</v>
      </c>
      <c r="Q24" s="125">
        <f>IFERROR(('Sec Enrollment'!$AJ$28-'Comparison Population'!$C$19), "")</f>
        <v>-0.1255072463768116</v>
      </c>
      <c r="R24" s="125">
        <f>IFERROR(('Sec Enrollment'!$AK$28-'Comparison Population'!$C$20), "")</f>
        <v>-3.8365966023610698E-2</v>
      </c>
      <c r="S24" s="125">
        <f>IFERROR(('Sec Enrollment'!$AL$28-'Comparison Population'!$C$21), "")</f>
        <v>0</v>
      </c>
      <c r="T24" s="125">
        <f>IFERROR(('Sec Enrollment'!$AM$28-'Comparison Population'!$C$22), "")</f>
        <v>0</v>
      </c>
      <c r="U24" s="125">
        <f>IFERROR(('Sec Enrollment'!$AN$28-'Comparison Population'!$C$23), "")</f>
        <v>0</v>
      </c>
      <c r="V24" s="125">
        <f>IFERROR(('Sec Enrollment'!$AO$28-'Comparison Population'!$C$24), "")</f>
        <v>-5.1854304635761586E-2</v>
      </c>
      <c r="W24" s="125">
        <f>IFERROR(('Sec Enrollment'!$AP$28-'Comparison Population'!$C$25), "")</f>
        <v>0</v>
      </c>
      <c r="X24" s="125">
        <f>IFERROR(('Sec Enrollment'!$AQ$28-'Comparison Population'!$C$26), "")</f>
        <v>0</v>
      </c>
      <c r="Y24" s="125">
        <f>IFERROR(('Sec Enrollment'!$AR$28-'Comparison Population'!$C$27), "")</f>
        <v>0</v>
      </c>
    </row>
    <row r="25" spans="1:25" x14ac:dyDescent="0.25">
      <c r="A25" s="124">
        <f>'Sec Enrollment'!$A$27</f>
        <v>0</v>
      </c>
      <c r="B25" s="124" t="str">
        <f>'Sec Enrollment'!$B$27</f>
        <v>Manufacturing Engineering Technology/Technician</v>
      </c>
      <c r="C25" s="124" t="str">
        <f>'Sec Enrollment'!$C$27</f>
        <v>Manufacturing</v>
      </c>
      <c r="D25" s="125">
        <f>IFERROR('Sec Enrollment'!$D$27/'Sec Enrollment'!$D$35, "")</f>
        <v>5.4521276595744683E-2</v>
      </c>
      <c r="E25" s="126">
        <f>'Sec Enrollment'!D$27</f>
        <v>82</v>
      </c>
      <c r="F25" s="125">
        <f>IFERROR(('Sec Enrollment'!$Y$27-'Comparison Population'!$C$6), "")</f>
        <v>-0.26609756097560977</v>
      </c>
      <c r="G25" s="125">
        <f>IFERROR(('Sec Enrollment'!$Z$27-'Comparison Population'!$C$7), "")</f>
        <v>0.26609756097560977</v>
      </c>
      <c r="H25" s="125">
        <f>IFERROR(('Sec Enrollment'!$AA$27-'Comparison Population'!$C$8), "")</f>
        <v>0</v>
      </c>
      <c r="I25" s="125">
        <f>IFERROR(('Sec Enrollment'!$AB$27-'Comparison Population'!$C$10), "")</f>
        <v>0</v>
      </c>
      <c r="J25" s="125">
        <f>IFERROR(('Sec Enrollment'!$AC$27-'Comparison Population'!$C$11), "")</f>
        <v>0.24207317073170731</v>
      </c>
      <c r="K25" s="125">
        <f>IFERROR(('Sec Enrollment'!$AD$27-'Comparison Population'!$C$12), "")</f>
        <v>-0.19471544715447153</v>
      </c>
      <c r="L25" s="125">
        <f>IFERROR(('Sec Enrollment'!$AE$27-'Comparison Population'!$C$13), "")</f>
        <v>-0.18516260162601628</v>
      </c>
      <c r="M25" s="125">
        <f>IFERROR(('Sec Enrollment'!$AF$27-'Comparison Population'!$C$14), "")</f>
        <v>0.1378048780487805</v>
      </c>
      <c r="N25" s="125">
        <f>IFERROR(('Sec Enrollment'!$AG$27-'Comparison Population'!$C$15), "")</f>
        <v>0</v>
      </c>
      <c r="O25" s="125">
        <f>IFERROR(('Sec Enrollment'!$AH$27-'Comparison Population'!$C$16), "")</f>
        <v>0</v>
      </c>
      <c r="P25" s="125">
        <f>IFERROR(('Sec Enrollment'!$AI$27-'Comparison Population'!$C$17), "")</f>
        <v>0</v>
      </c>
      <c r="Q25" s="125">
        <f>IFERROR(('Sec Enrollment'!$AJ$27-'Comparison Population'!$C$19), "")</f>
        <v>-0.115609756097561</v>
      </c>
      <c r="R25" s="125">
        <f>IFERROR(('Sec Enrollment'!$AK$27-'Comparison Population'!$C$20), "")</f>
        <v>-9.3509126150864152E-2</v>
      </c>
      <c r="S25" s="125">
        <f>IFERROR(('Sec Enrollment'!$AL$27-'Comparison Population'!$C$21), "")</f>
        <v>0</v>
      </c>
      <c r="T25" s="125">
        <f>IFERROR(('Sec Enrollment'!$AM$27-'Comparison Population'!$C$22), "")</f>
        <v>0</v>
      </c>
      <c r="U25" s="125">
        <f>IFERROR(('Sec Enrollment'!$AN$27-'Comparison Population'!$C$23), "")</f>
        <v>0</v>
      </c>
      <c r="V25" s="125">
        <f>IFERROR(('Sec Enrollment'!$AO$27-'Comparison Population'!$C$24), "")</f>
        <v>-5.1854304635761586E-2</v>
      </c>
      <c r="W25" s="125">
        <f>IFERROR(('Sec Enrollment'!$AP$27-'Comparison Population'!$C$25), "")</f>
        <v>0</v>
      </c>
      <c r="X25" s="125">
        <f>IFERROR(('Sec Enrollment'!$AQ$27-'Comparison Population'!$C$26), "")</f>
        <v>0</v>
      </c>
      <c r="Y25" s="125">
        <f>IFERROR(('Sec Enrollment'!$AR$27-'Comparison Population'!$C$27), "")</f>
        <v>0</v>
      </c>
    </row>
    <row r="26" spans="1:25" x14ac:dyDescent="0.25">
      <c r="A26" s="124">
        <f>'Sec Enrollment'!$A$8</f>
        <v>0</v>
      </c>
      <c r="B26" s="124" t="str">
        <f>'Sec Enrollment'!$B$8</f>
        <v>Carpentry/Carpenter</v>
      </c>
      <c r="C26" s="124" t="str">
        <f>'Sec Enrollment'!$C$8</f>
        <v>Architecture and Construction</v>
      </c>
      <c r="D26" s="125">
        <f>IFERROR('Sec Enrollment'!$D$8/'Sec Enrollment'!$D$35, "")</f>
        <v>3.8563829787234043E-2</v>
      </c>
      <c r="E26" s="126">
        <f>'Sec Enrollment'!D$8</f>
        <v>58</v>
      </c>
      <c r="F26" s="125">
        <f>IFERROR(('Sec Enrollment'!$Y$8-'Comparison Population'!$C$6), "")</f>
        <v>-0.35482758620689658</v>
      </c>
      <c r="G26" s="125">
        <f>IFERROR(('Sec Enrollment'!$Z$8-'Comparison Population'!$C$7), "")</f>
        <v>0.35482758620689658</v>
      </c>
      <c r="H26" s="125">
        <f>IFERROR(('Sec Enrollment'!$AA$8-'Comparison Population'!$C$8), "")</f>
        <v>0</v>
      </c>
      <c r="I26" s="125">
        <f>IFERROR(('Sec Enrollment'!$AB$8-'Comparison Population'!$C$10), "")</f>
        <v>0</v>
      </c>
      <c r="J26" s="125">
        <f>IFERROR(('Sec Enrollment'!$AC$8-'Comparison Population'!$C$11), "")</f>
        <v>-5.775862068965517E-2</v>
      </c>
      <c r="K26" s="125">
        <f>IFERROR(('Sec Enrollment'!$AD$8-'Comparison Population'!$C$12), "")</f>
        <v>-0.19597701149425284</v>
      </c>
      <c r="L26" s="125">
        <f>IFERROR(('Sec Enrollment'!$AE$8-'Comparison Population'!$C$13), "")</f>
        <v>6.9252873563218353E-2</v>
      </c>
      <c r="M26" s="125">
        <f>IFERROR(('Sec Enrollment'!$AF$8-'Comparison Population'!$C$14), "")</f>
        <v>2.931034482758621E-2</v>
      </c>
      <c r="N26" s="125">
        <f>IFERROR(('Sec Enrollment'!$AG$8-'Comparison Population'!$C$15), "")</f>
        <v>0</v>
      </c>
      <c r="O26" s="125">
        <f>IFERROR(('Sec Enrollment'!$AH$8-'Comparison Population'!$C$16), "")</f>
        <v>0</v>
      </c>
      <c r="P26" s="125">
        <f>IFERROR(('Sec Enrollment'!$AI$8-'Comparison Population'!$C$17), "")</f>
        <v>0</v>
      </c>
      <c r="Q26" s="125">
        <f>IFERROR(('Sec Enrollment'!$AJ$8-'Comparison Population'!$C$19), "")</f>
        <v>0.11862068965517242</v>
      </c>
      <c r="R26" s="125">
        <f>IFERROR(('Sec Enrollment'!$AK$8-'Comparison Population'!$C$20), "")</f>
        <v>-6.8817081525462398E-3</v>
      </c>
      <c r="S26" s="125">
        <f>IFERROR(('Sec Enrollment'!$AL$8-'Comparison Population'!$C$21), "")</f>
        <v>0</v>
      </c>
      <c r="T26" s="125">
        <f>IFERROR(('Sec Enrollment'!$AM$8-'Comparison Population'!$C$22), "")</f>
        <v>0</v>
      </c>
      <c r="U26" s="125">
        <f>IFERROR(('Sec Enrollment'!$AN$8-'Comparison Population'!$C$23), "")</f>
        <v>0</v>
      </c>
      <c r="V26" s="125">
        <f>IFERROR(('Sec Enrollment'!$AO$8-'Comparison Population'!$C$24), "")</f>
        <v>-5.1854304635761586E-2</v>
      </c>
      <c r="W26" s="125">
        <f>IFERROR(('Sec Enrollment'!$AP$8-'Comparison Population'!$C$25), "")</f>
        <v>0</v>
      </c>
      <c r="X26" s="125">
        <f>IFERROR(('Sec Enrollment'!$AQ$8-'Comparison Population'!$C$26), "")</f>
        <v>0</v>
      </c>
      <c r="Y26" s="125">
        <f>IFERROR(('Sec Enrollment'!$AR$8-'Comparison Population'!$C$27), "")</f>
        <v>0</v>
      </c>
    </row>
    <row r="27" spans="1:25" x14ac:dyDescent="0.25">
      <c r="A27" s="124">
        <f>'Sec Enrollment'!$A$23</f>
        <v>0</v>
      </c>
      <c r="B27" s="124" t="str">
        <f>'Sec Enrollment'!$B$23</f>
        <v>Computer Programming/Programmer, General</v>
      </c>
      <c r="C27" s="124" t="str">
        <f>'Sec Enrollment'!$C$23</f>
        <v>Information Technology</v>
      </c>
      <c r="D27" s="125">
        <f>IFERROR('Sec Enrollment'!$D$23/'Sec Enrollment'!$D$35, "")</f>
        <v>5.1861702127659573E-2</v>
      </c>
      <c r="E27" s="126">
        <f>'Sec Enrollment'!D$23</f>
        <v>78</v>
      </c>
      <c r="F27" s="125">
        <f>IFERROR(('Sec Enrollment'!$Y$23-'Comparison Population'!$C$6), "")</f>
        <v>-0.35615384615384615</v>
      </c>
      <c r="G27" s="125">
        <f>IFERROR(('Sec Enrollment'!$Z$23-'Comparison Population'!$C$7), "")</f>
        <v>0.35615384615384615</v>
      </c>
      <c r="H27" s="125">
        <f>IFERROR(('Sec Enrollment'!$AA$23-'Comparison Population'!$C$8), "")</f>
        <v>0</v>
      </c>
      <c r="I27" s="125">
        <f>IFERROR(('Sec Enrollment'!$AB$23-'Comparison Population'!$C$10), "")</f>
        <v>0</v>
      </c>
      <c r="J27" s="125">
        <f>IFERROR(('Sec Enrollment'!$AC$23-'Comparison Population'!$C$11), "")</f>
        <v>0.10448717948717949</v>
      </c>
      <c r="K27" s="125">
        <f>IFERROR(('Sec Enrollment'!$AD$23-'Comparison Population'!$C$12), "")</f>
        <v>-0.18846153846153846</v>
      </c>
      <c r="L27" s="125">
        <f>IFERROR(('Sec Enrollment'!$AE$23-'Comparison Population'!$C$13), "")</f>
        <v>-0.18141025641025643</v>
      </c>
      <c r="M27" s="125">
        <f>IFERROR(('Sec Enrollment'!$AF$23-'Comparison Population'!$C$14), "")</f>
        <v>0.26538461538461544</v>
      </c>
      <c r="N27" s="125">
        <f>IFERROR(('Sec Enrollment'!$AG$23-'Comparison Population'!$C$15), "")</f>
        <v>0</v>
      </c>
      <c r="O27" s="125">
        <f>IFERROR(('Sec Enrollment'!$AH$23-'Comparison Population'!$C$16), "")</f>
        <v>0</v>
      </c>
      <c r="P27" s="125">
        <f>IFERROR(('Sec Enrollment'!$AI$23-'Comparison Population'!$C$17), "")</f>
        <v>0</v>
      </c>
      <c r="Q27" s="125">
        <f>IFERROR(('Sec Enrollment'!$AJ$23-'Comparison Population'!$C$19), "")</f>
        <v>-0.14000000000000001</v>
      </c>
      <c r="R27" s="125">
        <f>IFERROR(('Sec Enrollment'!$AK$23-'Comparison Population'!$C$20), "")</f>
        <v>-9.1320258108337549E-2</v>
      </c>
      <c r="S27" s="125">
        <f>IFERROR(('Sec Enrollment'!$AL$23-'Comparison Population'!$C$21), "")</f>
        <v>0</v>
      </c>
      <c r="T27" s="125">
        <f>IFERROR(('Sec Enrollment'!$AM$23-'Comparison Population'!$C$22), "")</f>
        <v>0</v>
      </c>
      <c r="U27" s="125">
        <f>IFERROR(('Sec Enrollment'!$AN$23-'Comparison Population'!$C$23), "")</f>
        <v>0</v>
      </c>
      <c r="V27" s="125">
        <f>IFERROR(('Sec Enrollment'!$AO$23-'Comparison Population'!$C$24), "")</f>
        <v>-5.1854304635761586E-2</v>
      </c>
      <c r="W27" s="125">
        <f>IFERROR(('Sec Enrollment'!$AP$23-'Comparison Population'!$C$25), "")</f>
        <v>0</v>
      </c>
      <c r="X27" s="125">
        <f>IFERROR(('Sec Enrollment'!$AQ$23-'Comparison Population'!$C$26), "")</f>
        <v>0</v>
      </c>
      <c r="Y27" s="125">
        <f>IFERROR(('Sec Enrollment'!$AR$23-'Comparison Population'!$C$27), "")</f>
        <v>0</v>
      </c>
    </row>
    <row r="28" spans="1:25" x14ac:dyDescent="0.25">
      <c r="A28" s="124">
        <f>'Sec Enrollment'!$A$30</f>
        <v>0</v>
      </c>
      <c r="B28" s="124" t="str">
        <f>'Sec Enrollment'!$B$30</f>
        <v>Automobile/Automotive Mechanics Technology/Technician</v>
      </c>
      <c r="C28" s="124" t="str">
        <f>'Sec Enrollment'!$C$30</f>
        <v>Transportation, Distribution &amp; Logistics</v>
      </c>
      <c r="D28" s="125">
        <f>IFERROR('Sec Enrollment'!$D$30/'Sec Enrollment'!$D$35, "")</f>
        <v>3.9893617021276598E-2</v>
      </c>
      <c r="E28" s="126">
        <f>'Sec Enrollment'!D$30</f>
        <v>60</v>
      </c>
      <c r="F28" s="125">
        <f>IFERROR(('Sec Enrollment'!$Y$30-'Comparison Population'!$C$6), "")</f>
        <v>-0.37666666666666671</v>
      </c>
      <c r="G28" s="125">
        <f>IFERROR(('Sec Enrollment'!$Z$30-'Comparison Population'!$C$7), "")</f>
        <v>0.37666666666666671</v>
      </c>
      <c r="H28" s="125">
        <f>IFERROR(('Sec Enrollment'!$AA$30-'Comparison Population'!$C$8), "")</f>
        <v>0</v>
      </c>
      <c r="I28" s="125">
        <f>IFERROR(('Sec Enrollment'!$AB$30-'Comparison Population'!$C$10), "")</f>
        <v>0</v>
      </c>
      <c r="J28" s="125">
        <f>IFERROR(('Sec Enrollment'!$AC$30-'Comparison Population'!$C$11), "")</f>
        <v>-8.3333333333333315E-3</v>
      </c>
      <c r="K28" s="125">
        <f>IFERROR(('Sec Enrollment'!$AD$30-'Comparison Population'!$C$12), "")</f>
        <v>-0.18333333333333332</v>
      </c>
      <c r="L28" s="125">
        <f>IFERROR(('Sec Enrollment'!$AE$30-'Comparison Population'!$C$13), "")</f>
        <v>0.20833333333333331</v>
      </c>
      <c r="M28" s="125">
        <f>IFERROR(('Sec Enrollment'!$AF$30-'Comparison Population'!$C$14), "")</f>
        <v>-1.6666666666666663E-2</v>
      </c>
      <c r="N28" s="125">
        <f>IFERROR(('Sec Enrollment'!$AG$30-'Comparison Population'!$C$15), "")</f>
        <v>0</v>
      </c>
      <c r="O28" s="125">
        <f>IFERROR(('Sec Enrollment'!$AH$30-'Comparison Population'!$C$16), "")</f>
        <v>0</v>
      </c>
      <c r="P28" s="125">
        <f>IFERROR(('Sec Enrollment'!$AI$30-'Comparison Population'!$C$17), "")</f>
        <v>0</v>
      </c>
      <c r="Q28" s="125">
        <f>IFERROR(('Sec Enrollment'!$AJ$30-'Comparison Population'!$C$19), "")</f>
        <v>-2.3333333333333345E-2</v>
      </c>
      <c r="R28" s="125">
        <f>IFERROR(('Sec Enrollment'!$AK$30-'Comparison Population'!$C$20), "")</f>
        <v>-1.9525386313465787E-2</v>
      </c>
      <c r="S28" s="125">
        <f>IFERROR(('Sec Enrollment'!$AL$30-'Comparison Population'!$C$21), "")</f>
        <v>0</v>
      </c>
      <c r="T28" s="125">
        <f>IFERROR(('Sec Enrollment'!$AM$30-'Comparison Population'!$C$22), "")</f>
        <v>0</v>
      </c>
      <c r="U28" s="125">
        <f>IFERROR(('Sec Enrollment'!$AN$30-'Comparison Population'!$C$23), "")</f>
        <v>0</v>
      </c>
      <c r="V28" s="125">
        <f>IFERROR(('Sec Enrollment'!$AO$30-'Comparison Population'!$C$24), "")</f>
        <v>-5.1854304635761586E-2</v>
      </c>
      <c r="W28" s="125">
        <f>IFERROR(('Sec Enrollment'!$AP$30-'Comparison Population'!$C$25), "")</f>
        <v>0</v>
      </c>
      <c r="X28" s="125">
        <f>IFERROR(('Sec Enrollment'!$AQ$30-'Comparison Population'!$C$26), "")</f>
        <v>0</v>
      </c>
      <c r="Y28" s="125">
        <f>IFERROR(('Sec Enrollment'!$AR$30-'Comparison Population'!$C$27), "")</f>
        <v>0</v>
      </c>
    </row>
    <row r="29" spans="1:25" x14ac:dyDescent="0.25">
      <c r="A29" s="124">
        <f>'Sec Enrollment'!$A$25</f>
        <v>0</v>
      </c>
      <c r="B29" s="124" t="str">
        <f>'Sec Enrollment'!$B$25</f>
        <v>Criminal Justice/Police Science</v>
      </c>
      <c r="C29" s="124" t="str">
        <f>'Sec Enrollment'!$C$25</f>
        <v>Law &amp; Public Safety</v>
      </c>
      <c r="D29" s="125">
        <f>IFERROR('Sec Enrollment'!$D$25/'Sec Enrollment'!$D$35, "")</f>
        <v>4.1223404255319146E-2</v>
      </c>
      <c r="E29" s="126">
        <f>'Sec Enrollment'!D$25</f>
        <v>62</v>
      </c>
      <c r="F29" s="125">
        <f>IFERROR(('Sec Enrollment'!$Y$25-'Comparison Population'!$C$6), "")</f>
        <v>-0.38096774193548388</v>
      </c>
      <c r="G29" s="125">
        <f>IFERROR(('Sec Enrollment'!$Z$25-'Comparison Population'!$C$7), "")</f>
        <v>0.38096774193548388</v>
      </c>
      <c r="H29" s="125">
        <f>IFERROR(('Sec Enrollment'!$AA$25-'Comparison Population'!$C$8), "")</f>
        <v>0</v>
      </c>
      <c r="I29" s="125">
        <f>IFERROR(('Sec Enrollment'!$AB$25-'Comparison Population'!$C$10), "")</f>
        <v>0</v>
      </c>
      <c r="J29" s="125">
        <f>IFERROR(('Sec Enrollment'!$AC$25-'Comparison Population'!$C$11), "")</f>
        <v>-7.4999999999999997E-2</v>
      </c>
      <c r="K29" s="125">
        <f>IFERROR(('Sec Enrollment'!$AD$25-'Comparison Population'!$C$12), "")</f>
        <v>-0.1553763440860215</v>
      </c>
      <c r="L29" s="125">
        <f>IFERROR(('Sec Enrollment'!$AE$25-'Comparison Population'!$C$13), "")</f>
        <v>8.0376344086021456E-2</v>
      </c>
      <c r="M29" s="125">
        <f>IFERROR(('Sec Enrollment'!$AF$25-'Comparison Population'!$C$14), "")</f>
        <v>0.15000000000000002</v>
      </c>
      <c r="N29" s="125">
        <f>IFERROR(('Sec Enrollment'!$AG$25-'Comparison Population'!$C$15), "")</f>
        <v>0</v>
      </c>
      <c r="O29" s="125">
        <f>IFERROR(('Sec Enrollment'!$AH$25-'Comparison Population'!$C$16), "")</f>
        <v>0</v>
      </c>
      <c r="P29" s="125">
        <f>IFERROR(('Sec Enrollment'!$AI$25-'Comparison Population'!$C$17), "")</f>
        <v>0</v>
      </c>
      <c r="Q29" s="125">
        <f>IFERROR(('Sec Enrollment'!$AJ$25-'Comparison Population'!$C$19), "")</f>
        <v>-0.10774193548387098</v>
      </c>
      <c r="R29" s="125">
        <f>IFERROR(('Sec Enrollment'!$AK$25-'Comparison Population'!$C$20), "")</f>
        <v>0.12993697927793207</v>
      </c>
      <c r="S29" s="125">
        <f>IFERROR(('Sec Enrollment'!$AL$25-'Comparison Population'!$C$21), "")</f>
        <v>0</v>
      </c>
      <c r="T29" s="125">
        <f>IFERROR(('Sec Enrollment'!$AM$25-'Comparison Population'!$C$22), "")</f>
        <v>0</v>
      </c>
      <c r="U29" s="125">
        <f>IFERROR(('Sec Enrollment'!$AN$25-'Comparison Population'!$C$23), "")</f>
        <v>0</v>
      </c>
      <c r="V29" s="125">
        <f>IFERROR(('Sec Enrollment'!$AO$25-'Comparison Population'!$C$24), "")</f>
        <v>-3.572527237769707E-2</v>
      </c>
      <c r="W29" s="125">
        <f>IFERROR(('Sec Enrollment'!$AP$25-'Comparison Population'!$C$25), "")</f>
        <v>0</v>
      </c>
      <c r="X29" s="125">
        <f>IFERROR(('Sec Enrollment'!$AQ$25-'Comparison Population'!$C$26), "")</f>
        <v>0</v>
      </c>
      <c r="Y29" s="125">
        <f>IFERROR(('Sec Enrollment'!$AR$25-'Comparison Population'!$C$27), "")</f>
        <v>0</v>
      </c>
    </row>
    <row r="30" spans="1:25" x14ac:dyDescent="0.25">
      <c r="A30" s="124">
        <f>'Sec Enrollment'!$A$31</f>
        <v>0</v>
      </c>
      <c r="B30" s="124" t="str">
        <f>'Sec Enrollment'!$B$31</f>
        <v>Small Engine Mechanics &amp; Repair Technology/Technician</v>
      </c>
      <c r="C30" s="124" t="str">
        <f>'Sec Enrollment'!$C$31</f>
        <v>Transportation, Distribution &amp; Logistics</v>
      </c>
      <c r="D30" s="125">
        <f>IFERROR('Sec Enrollment'!$D$31/'Sec Enrollment'!$D$35, "")</f>
        <v>7.9787234042553185E-3</v>
      </c>
      <c r="E30" s="126">
        <f>'Sec Enrollment'!D$31</f>
        <v>12</v>
      </c>
      <c r="F30" s="125">
        <f>IFERROR(('Sec Enrollment'!$Y$31-'Comparison Population'!$C$6), "")</f>
        <v>-0.42666666666666669</v>
      </c>
      <c r="G30" s="125">
        <f>IFERROR(('Sec Enrollment'!$Z$31-'Comparison Population'!$C$7), "")</f>
        <v>0.42666666666666664</v>
      </c>
      <c r="H30" s="125">
        <f>IFERROR(('Sec Enrollment'!$AA$31-'Comparison Population'!$C$8), "")</f>
        <v>0</v>
      </c>
      <c r="I30" s="125">
        <f>IFERROR(('Sec Enrollment'!$AB$31-'Comparison Population'!$C$10), "")</f>
        <v>0</v>
      </c>
      <c r="J30" s="125">
        <f>IFERROR(('Sec Enrollment'!$AC$31-'Comparison Population'!$C$11), "")</f>
        <v>8.3333333333333315E-3</v>
      </c>
      <c r="K30" s="125">
        <f>IFERROR(('Sec Enrollment'!$AD$31-'Comparison Population'!$C$12), "")</f>
        <v>-6.6666666666666652E-2</v>
      </c>
      <c r="L30" s="125">
        <f>IFERROR(('Sec Enrollment'!$AE$31-'Comparison Population'!$C$13), "")</f>
        <v>-8.3333333333333592E-3</v>
      </c>
      <c r="M30" s="125">
        <f>IFERROR(('Sec Enrollment'!$AF$31-'Comparison Population'!$C$14), "")</f>
        <v>6.6666666666666707E-2</v>
      </c>
      <c r="N30" s="125">
        <f>IFERROR(('Sec Enrollment'!$AG$31-'Comparison Population'!$C$15), "")</f>
        <v>0</v>
      </c>
      <c r="O30" s="125">
        <f>IFERROR(('Sec Enrollment'!$AH$31-'Comparison Population'!$C$16), "")</f>
        <v>0</v>
      </c>
      <c r="P30" s="125">
        <f>IFERROR(('Sec Enrollment'!$AI$31-'Comparison Population'!$C$17), "")</f>
        <v>0</v>
      </c>
      <c r="Q30" s="125">
        <f>IFERROR(('Sec Enrollment'!$AJ$31-'Comparison Population'!$C$19), "")</f>
        <v>0.69333333333333336</v>
      </c>
      <c r="R30" s="125">
        <f>IFERROR(('Sec Enrollment'!$AK$31-'Comparison Population'!$C$20), "")</f>
        <v>0.53047461368653415</v>
      </c>
      <c r="S30" s="125">
        <f>IFERROR(('Sec Enrollment'!$AL$31-'Comparison Population'!$C$21), "")</f>
        <v>0</v>
      </c>
      <c r="T30" s="125">
        <f>IFERROR(('Sec Enrollment'!$AM$31-'Comparison Population'!$C$22), "")</f>
        <v>0</v>
      </c>
      <c r="U30" s="125">
        <f>IFERROR(('Sec Enrollment'!$AN$31-'Comparison Population'!$C$23), "")</f>
        <v>0</v>
      </c>
      <c r="V30" s="125">
        <f>IFERROR(('Sec Enrollment'!$AO$31-'Comparison Population'!$C$24), "")</f>
        <v>-5.1854304635761586E-2</v>
      </c>
      <c r="W30" s="125">
        <f>IFERROR(('Sec Enrollment'!$AP$31-'Comparison Population'!$C$25), "")</f>
        <v>0</v>
      </c>
      <c r="X30" s="125">
        <f>IFERROR(('Sec Enrollment'!$AQ$31-'Comparison Population'!$C$26), "")</f>
        <v>0</v>
      </c>
      <c r="Y30" s="125">
        <f>IFERROR(('Sec Enrollment'!$AR$31-'Comparison Population'!$C$27), "")</f>
        <v>0</v>
      </c>
    </row>
    <row r="31" spans="1:25" x14ac:dyDescent="0.25">
      <c r="A31" s="124">
        <f>'Sec Enrollment'!$A$7</f>
        <v>0</v>
      </c>
      <c r="B31" s="124" t="str">
        <f>'Sec Enrollment'!$B$7</f>
        <v>Landscaping &amp; Groundskeeping</v>
      </c>
      <c r="C31" s="124" t="str">
        <f>'Sec Enrollment'!$C$7</f>
        <v>Agriculture, Food, and Natural Resources</v>
      </c>
      <c r="D31" s="125">
        <f>IFERROR('Sec Enrollment'!$D$7/'Sec Enrollment'!$D$35, "")</f>
        <v>1.7287234042553192E-2</v>
      </c>
      <c r="E31" s="126">
        <f>'Sec Enrollment'!D$7</f>
        <v>26</v>
      </c>
      <c r="F31" s="125">
        <f>IFERROR(('Sec Enrollment'!$Y$7-'Comparison Population'!$C$6), "")</f>
        <v>-0.43307692307692308</v>
      </c>
      <c r="G31" s="125">
        <f>IFERROR(('Sec Enrollment'!$Z$7-'Comparison Population'!$C$7), "")</f>
        <v>0.43307692307692314</v>
      </c>
      <c r="H31" s="125">
        <f>IFERROR(('Sec Enrollment'!$AA$7-'Comparison Population'!$C$8), "")</f>
        <v>0</v>
      </c>
      <c r="I31" s="125">
        <f>IFERROR(('Sec Enrollment'!$AB$7-'Comparison Population'!$C$10), "")</f>
        <v>0</v>
      </c>
      <c r="J31" s="125">
        <f>IFERROR(('Sec Enrollment'!$AC$7-'Comparison Population'!$C$11), "")</f>
        <v>-7.4999999999999997E-2</v>
      </c>
      <c r="K31" s="125">
        <f>IFERROR(('Sec Enrollment'!$AD$7-'Comparison Population'!$C$12), "")</f>
        <v>0.14487179487179491</v>
      </c>
      <c r="L31" s="125">
        <f>IFERROR(('Sec Enrollment'!$AE$7-'Comparison Population'!$C$13), "")</f>
        <v>-2.7564102564102577E-2</v>
      </c>
      <c r="M31" s="125">
        <f>IFERROR(('Sec Enrollment'!$AF$7-'Comparison Population'!$C$14), "")</f>
        <v>-0.1192307692307692</v>
      </c>
      <c r="N31" s="125">
        <f>IFERROR(('Sec Enrollment'!$AG$7-'Comparison Population'!$C$15), "")</f>
        <v>0</v>
      </c>
      <c r="O31" s="125">
        <f>IFERROR(('Sec Enrollment'!$AH$7-'Comparison Population'!$C$16), "")</f>
        <v>0</v>
      </c>
      <c r="P31" s="125">
        <f>IFERROR(('Sec Enrollment'!$AI$7-'Comparison Population'!$C$17), "")</f>
        <v>0</v>
      </c>
      <c r="Q31" s="125">
        <f>IFERROR(('Sec Enrollment'!$AJ$7-'Comparison Population'!$C$19), "")</f>
        <v>0.51384615384615384</v>
      </c>
      <c r="R31" s="125">
        <f>IFERROR(('Sec Enrollment'!$AK$7-'Comparison Population'!$C$20), "")</f>
        <v>0.38303871625063685</v>
      </c>
      <c r="S31" s="125">
        <f>IFERROR(('Sec Enrollment'!$AL$7-'Comparison Population'!$C$21), "")</f>
        <v>0</v>
      </c>
      <c r="T31" s="125">
        <f>IFERROR(('Sec Enrollment'!$AM$7-'Comparison Population'!$C$22), "")</f>
        <v>0</v>
      </c>
      <c r="U31" s="125">
        <f>IFERROR(('Sec Enrollment'!$AN$7-'Comparison Population'!$C$23), "")</f>
        <v>0</v>
      </c>
      <c r="V31" s="125">
        <f>IFERROR(('Sec Enrollment'!$AO$7-'Comparison Population'!$C$24), "")</f>
        <v>2.5068772287315341E-2</v>
      </c>
      <c r="W31" s="125">
        <f>IFERROR(('Sec Enrollment'!$AP$7-'Comparison Population'!$C$25), "")</f>
        <v>0</v>
      </c>
      <c r="X31" s="125">
        <f>IFERROR(('Sec Enrollment'!$AQ$7-'Comparison Population'!$C$26), "")</f>
        <v>0</v>
      </c>
      <c r="Y31" s="125">
        <f>IFERROR(('Sec Enrollment'!$AR$7-'Comparison Population'!$C$27), "")</f>
        <v>0</v>
      </c>
    </row>
    <row r="32" spans="1:25" x14ac:dyDescent="0.25">
      <c r="A32" s="124">
        <f>'Sec Enrollment'!$A$26</f>
        <v>0</v>
      </c>
      <c r="B32" s="124" t="str">
        <f>'Sec Enrollment'!$B$26</f>
        <v>Welding Technology/Welder</v>
      </c>
      <c r="C32" s="124" t="str">
        <f>'Sec Enrollment'!$C$26</f>
        <v>Manufacturing</v>
      </c>
      <c r="D32" s="125">
        <f>IFERROR('Sec Enrollment'!$D$26/'Sec Enrollment'!$D$35, "")</f>
        <v>2.3936170212765957E-2</v>
      </c>
      <c r="E32" s="126">
        <f>'Sec Enrollment'!D$26</f>
        <v>36</v>
      </c>
      <c r="F32" s="125">
        <f>IFERROR(('Sec Enrollment'!$Y$26-'Comparison Population'!$C$6), "")</f>
        <v>-0.48222222222222222</v>
      </c>
      <c r="G32" s="125">
        <f>IFERROR(('Sec Enrollment'!$Z$26-'Comparison Population'!$C$7), "")</f>
        <v>0.48222222222222222</v>
      </c>
      <c r="H32" s="125">
        <f>IFERROR(('Sec Enrollment'!$AA$26-'Comparison Population'!$C$8), "")</f>
        <v>0</v>
      </c>
      <c r="I32" s="125">
        <f>IFERROR(('Sec Enrollment'!$AB$26-'Comparison Population'!$C$10), "")</f>
        <v>0</v>
      </c>
      <c r="J32" s="125">
        <f>IFERROR(('Sec Enrollment'!$AC$26-'Comparison Population'!$C$11), "")</f>
        <v>-7.4999999999999997E-2</v>
      </c>
      <c r="K32" s="125">
        <f>IFERROR(('Sec Enrollment'!$AD$26-'Comparison Population'!$C$12), "")</f>
        <v>-9.4444444444444442E-2</v>
      </c>
      <c r="L32" s="125">
        <f>IFERROR(('Sec Enrollment'!$AE$26-'Comparison Population'!$C$13), "")</f>
        <v>0.13055555555555554</v>
      </c>
      <c r="M32" s="125">
        <f>IFERROR(('Sec Enrollment'!$AF$26-'Comparison Population'!$C$14), "")</f>
        <v>3.8888888888888917E-2</v>
      </c>
      <c r="N32" s="125">
        <f>IFERROR(('Sec Enrollment'!$AG$26-'Comparison Population'!$C$15), "")</f>
        <v>0</v>
      </c>
      <c r="O32" s="125">
        <f>IFERROR(('Sec Enrollment'!$AH$26-'Comparison Population'!$C$16), "")</f>
        <v>0</v>
      </c>
      <c r="P32" s="125">
        <f>IFERROR(('Sec Enrollment'!$AI$26-'Comparison Population'!$C$17), "")</f>
        <v>0</v>
      </c>
      <c r="Q32" s="125">
        <f>IFERROR(('Sec Enrollment'!$AJ$26-'Comparison Population'!$C$19), "")</f>
        <v>-2.8888888888888908E-2</v>
      </c>
      <c r="R32" s="125">
        <f>IFERROR(('Sec Enrollment'!$AK$26-'Comparison Population'!$C$20), "")</f>
        <v>0.22491905813097873</v>
      </c>
      <c r="S32" s="125">
        <f>IFERROR(('Sec Enrollment'!$AL$26-'Comparison Population'!$C$21), "")</f>
        <v>0</v>
      </c>
      <c r="T32" s="125">
        <f>IFERROR(('Sec Enrollment'!$AM$26-'Comparison Population'!$C$22), "")</f>
        <v>0</v>
      </c>
      <c r="U32" s="125">
        <f>IFERROR(('Sec Enrollment'!$AN$26-'Comparison Population'!$C$23), "")</f>
        <v>0</v>
      </c>
      <c r="V32" s="125">
        <f>IFERROR(('Sec Enrollment'!$AO$26-'Comparison Population'!$C$24), "")</f>
        <v>-5.1854304635761586E-2</v>
      </c>
      <c r="W32" s="125">
        <f>IFERROR(('Sec Enrollment'!$AP$26-'Comparison Population'!$C$25), "")</f>
        <v>0</v>
      </c>
      <c r="X32" s="125">
        <f>IFERROR(('Sec Enrollment'!$AQ$26-'Comparison Population'!$C$26), "")</f>
        <v>0</v>
      </c>
      <c r="Y32" s="125">
        <f>IFERROR(('Sec Enrollment'!$AR$26-'Comparison Population'!$C$27), "")</f>
        <v>0</v>
      </c>
    </row>
    <row r="33" spans="1:25" x14ac:dyDescent="0.25">
      <c r="A33" s="116" t="s">
        <v>7</v>
      </c>
      <c r="D33" s="126"/>
      <c r="E33" s="126"/>
      <c r="F33" s="125">
        <f>IFERROR(('Sec Enrollment'!Y33-'Comparison Population'!$C$6), "")</f>
        <v>-2.3962765957446841E-2</v>
      </c>
      <c r="G33" s="125">
        <f>IFERROR(('Sec Enrollment'!Z33-'Comparison Population'!$C$7), "")</f>
        <v>2.2632978723404307E-2</v>
      </c>
      <c r="H33" s="125">
        <f>IFERROR(('Sec Enrollment'!AA33-'Comparison Population'!$C$8), "")</f>
        <v>0</v>
      </c>
      <c r="I33" s="125">
        <f>IFERROR(('Sec Enrollment'!AB33-'Comparison Population'!$C$10), "")</f>
        <v>0</v>
      </c>
      <c r="J33" s="125">
        <f>IFERROR(('Sec Enrollment'!AC33-'Comparison Population'!$C$11), "")</f>
        <v>2.7925531914893692E-3</v>
      </c>
      <c r="K33" s="125">
        <f>IFERROR(('Sec Enrollment'!AD33-'Comparison Population'!$C$12), "")</f>
        <v>-7.3315602836879407E-2</v>
      </c>
      <c r="L33" s="125">
        <f>IFERROR(('Sec Enrollment'!AE33-'Comparison Population'!$C$13), "")</f>
        <v>-3.2934397163120605E-2</v>
      </c>
      <c r="M33" s="125">
        <f>IFERROR(('Sec Enrollment'!AF33-'Comparison Population'!$C$14), "")</f>
        <v>0.10279255319148939</v>
      </c>
      <c r="N33" s="125">
        <f>IFERROR(('Sec Enrollment'!AG33-'Comparison Population'!$C$15), "")</f>
        <v>0</v>
      </c>
      <c r="O33" s="125">
        <f>IFERROR(('Sec Enrollment'!AH33-'Comparison Population'!$C$16), "")</f>
        <v>0</v>
      </c>
      <c r="P33" s="125">
        <f>IFERROR(('Sec Enrollment'!AI33-'Comparison Population'!$C$17), "")</f>
        <v>0</v>
      </c>
      <c r="Q33" s="125">
        <f>IFERROR(('Sec Enrollment'!AJ33-'Comparison Population'!$C$19), "")</f>
        <v>5.81382978723404E-2</v>
      </c>
      <c r="R33" s="125">
        <f>IFERROR(('Sec Enrollment'!AK33-'Comparison Population'!$C$20), "")</f>
        <v>0.1257760321262506</v>
      </c>
      <c r="S33" s="125">
        <f>IFERROR(('Sec Enrollment'!AL33-'Comparison Population'!$C$21), "")</f>
        <v>0</v>
      </c>
      <c r="T33" s="125">
        <f>IFERROR(('Sec Enrollment'!AM33-'Comparison Population'!$C$22), "")</f>
        <v>0</v>
      </c>
      <c r="U33" s="125">
        <f>IFERROR(('Sec Enrollment'!AN33-'Comparison Population'!$C$23), "")</f>
        <v>0</v>
      </c>
      <c r="V33" s="125">
        <f>IFERROR(('Sec Enrollment'!AO33-'Comparison Population'!$C$24), "")</f>
        <v>-4.6535155699591373E-2</v>
      </c>
      <c r="W33" s="125">
        <f>IFERROR(('Sec Enrollment'!AP33-'Comparison Population'!$C$25), "")</f>
        <v>0</v>
      </c>
      <c r="X33" s="125">
        <f>IFERROR(('Sec Enrollment'!AQ33-'Comparison Population'!$C$26), "")</f>
        <v>0</v>
      </c>
      <c r="Y33" s="125">
        <f>IFERROR(('Sec Enrollment'!AR33-'Comparison Population'!$C$27), "")</f>
        <v>0</v>
      </c>
    </row>
    <row r="34" spans="1:25" ht="6.75" customHeight="1" x14ac:dyDescent="0.25"/>
  </sheetData>
  <sheetProtection algorithmName="SHA-512" hashValue="I5wBk6zisH1o1lnP0TWGyLBPMel3CrA9oaJn0Z7Rt6w3Hz1V09Y6LwVbItk1XcroNJhp4T21hsyD004hZ2q+9A==" saltValue="yq+uSkht+BauAnuJs23FmA==" spinCount="100000" sheet="1" objects="1" scenarios="1" selectLockedCells="1" sort="0" autoFilter="0" selectUnlockedCells="1"/>
  <protectedRanges>
    <protectedRange sqref="A5:Y33" name="AllowSortFilter"/>
  </protectedRanges>
  <mergeCells count="5">
    <mergeCell ref="A1:D1"/>
    <mergeCell ref="A2:D2"/>
    <mergeCell ref="F4:H4"/>
    <mergeCell ref="I4:O4"/>
    <mergeCell ref="Q4:Y4"/>
  </mergeCells>
  <phoneticPr fontId="3" type="noConversion"/>
  <conditionalFormatting sqref="D33:Y33">
    <cfRule type="cellIs" dxfId="7" priority="5" operator="equal">
      <formula>0</formula>
    </cfRule>
  </conditionalFormatting>
  <conditionalFormatting sqref="F6:Y33">
    <cfRule type="cellIs" dxfId="6" priority="3" operator="between">
      <formula>0.1</formula>
      <formula>1</formula>
    </cfRule>
    <cfRule type="cellIs" dxfId="5" priority="4" operator="between">
      <formula>-1</formula>
      <formula>-0.1</formula>
    </cfRule>
  </conditionalFormatting>
  <conditionalFormatting sqref="D6:D32">
    <cfRule type="expression" dxfId="4" priority="1">
      <formula>AND($E6&gt;0, $E6&lt;=10)</formula>
    </cfRule>
  </conditionalFormatting>
  <pageMargins left="0.75" right="0.75" top="1" bottom="1" header="0.5" footer="0.5"/>
  <pageSetup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0E03D-6E0C-4217-8355-44C6819C989F}">
  <dimension ref="A1:Y107"/>
  <sheetViews>
    <sheetView zoomScale="90" zoomScaleNormal="90" workbookViewId="0">
      <pane ySplit="5" topLeftCell="A6" activePane="bottomLeft" state="frozen"/>
      <selection activeCell="A3" sqref="A3"/>
      <selection pane="bottomLeft" activeCell="G18" sqref="G18"/>
    </sheetView>
  </sheetViews>
  <sheetFormatPr defaultRowHeight="15" x14ac:dyDescent="0.25"/>
  <cols>
    <col min="1" max="1" width="15.5703125" style="4" customWidth="1"/>
    <col min="2" max="3" width="44.85546875" style="4" customWidth="1"/>
    <col min="4" max="4" width="11.140625" style="4" bestFit="1" customWidth="1"/>
    <col min="5" max="5" width="11.140625" style="4" hidden="1" customWidth="1"/>
    <col min="6" max="6" width="9" style="4" bestFit="1" customWidth="1"/>
    <col min="7" max="7" width="10.42578125" style="4" bestFit="1" customWidth="1"/>
    <col min="8" max="8" width="9.28515625" style="4" bestFit="1" customWidth="1"/>
    <col min="9" max="9" width="11.85546875" style="4" bestFit="1" customWidth="1"/>
    <col min="10" max="10" width="9" style="4" bestFit="1" customWidth="1"/>
    <col min="11" max="11" width="10.140625" style="4" bestFit="1" customWidth="1"/>
    <col min="12" max="12" width="8.5703125" style="4" bestFit="1" customWidth="1"/>
    <col min="13" max="13" width="9.28515625" style="4" bestFit="1" customWidth="1"/>
    <col min="14" max="14" width="9.7109375" style="4" bestFit="1" customWidth="1"/>
    <col min="15" max="15" width="11.28515625" style="4" bestFit="1" customWidth="1"/>
    <col min="16" max="16" width="11.28515625" style="4" customWidth="1"/>
    <col min="17" max="17" width="6.7109375" style="4" bestFit="1" customWidth="1"/>
    <col min="18" max="21" width="9.140625" style="4"/>
    <col min="22" max="22" width="10.28515625" style="4" customWidth="1"/>
    <col min="23" max="16384" width="9.140625" style="4"/>
  </cols>
  <sheetData>
    <row r="1" spans="1:25" ht="18.75" customHeight="1" x14ac:dyDescent="0.3">
      <c r="A1" s="172" t="s">
        <v>29</v>
      </c>
      <c r="B1" s="172"/>
      <c r="C1" s="172"/>
      <c r="D1" s="172"/>
      <c r="E1" s="34"/>
    </row>
    <row r="2" spans="1:25" ht="90.75" customHeight="1" x14ac:dyDescent="0.25">
      <c r="A2" s="171" t="s">
        <v>98</v>
      </c>
      <c r="B2" s="171"/>
      <c r="C2" s="171"/>
      <c r="D2" s="171"/>
      <c r="E2" s="5"/>
    </row>
    <row r="3" spans="1:25" ht="5.25" customHeight="1" x14ac:dyDescent="0.25">
      <c r="A3" s="5"/>
      <c r="B3" s="5"/>
      <c r="C3" s="5"/>
      <c r="D3" s="5"/>
      <c r="E3" s="5"/>
    </row>
    <row r="4" spans="1:25" ht="18" customHeight="1" x14ac:dyDescent="0.25">
      <c r="A4" s="18"/>
      <c r="B4" s="18"/>
      <c r="C4" s="18"/>
      <c r="D4" s="18"/>
      <c r="E4" s="18"/>
      <c r="F4" s="169" t="s">
        <v>51</v>
      </c>
      <c r="G4" s="169"/>
      <c r="H4" s="169"/>
      <c r="I4" s="173" t="s">
        <v>52</v>
      </c>
      <c r="J4" s="173"/>
      <c r="K4" s="173"/>
      <c r="L4" s="173"/>
      <c r="M4" s="173"/>
      <c r="N4" s="173"/>
      <c r="O4" s="173"/>
      <c r="P4" s="25"/>
      <c r="Q4" s="170" t="s">
        <v>53</v>
      </c>
      <c r="R4" s="170"/>
      <c r="S4" s="170"/>
      <c r="T4" s="170"/>
      <c r="U4" s="170"/>
      <c r="V4" s="170"/>
      <c r="W4" s="170"/>
      <c r="X4" s="170"/>
      <c r="Y4" s="170"/>
    </row>
    <row r="5" spans="1:25" ht="30" x14ac:dyDescent="0.25">
      <c r="A5" s="4" t="s">
        <v>30</v>
      </c>
      <c r="B5" s="4" t="s">
        <v>19</v>
      </c>
      <c r="C5" s="4" t="s">
        <v>10</v>
      </c>
      <c r="D5" s="6" t="s">
        <v>91</v>
      </c>
      <c r="E5" s="6" t="s">
        <v>96</v>
      </c>
      <c r="F5" s="19" t="s">
        <v>55</v>
      </c>
      <c r="G5" s="20" t="s">
        <v>56</v>
      </c>
      <c r="H5" s="20" t="s">
        <v>50</v>
      </c>
      <c r="I5" s="183" t="s">
        <v>122</v>
      </c>
      <c r="J5" s="183" t="s">
        <v>3</v>
      </c>
      <c r="K5" s="186" t="s">
        <v>123</v>
      </c>
      <c r="L5" s="186" t="s">
        <v>124</v>
      </c>
      <c r="M5" s="186" t="s">
        <v>9</v>
      </c>
      <c r="N5" s="186" t="s">
        <v>125</v>
      </c>
      <c r="O5" s="183" t="s">
        <v>126</v>
      </c>
      <c r="P5" s="21" t="s">
        <v>17</v>
      </c>
      <c r="Q5" s="23" t="s">
        <v>54</v>
      </c>
      <c r="R5" s="23" t="s">
        <v>57</v>
      </c>
      <c r="S5" s="23" t="s">
        <v>58</v>
      </c>
      <c r="T5" s="23" t="s">
        <v>85</v>
      </c>
      <c r="U5" s="23" t="s">
        <v>59</v>
      </c>
      <c r="V5" s="23" t="s">
        <v>74</v>
      </c>
      <c r="W5" s="23" t="s">
        <v>60</v>
      </c>
      <c r="X5" s="23" t="s">
        <v>61</v>
      </c>
      <c r="Y5" s="23" t="s">
        <v>62</v>
      </c>
    </row>
    <row r="6" spans="1:25" x14ac:dyDescent="0.25">
      <c r="A6" s="36">
        <f>'PS Enrollment'!$A$6</f>
        <v>0</v>
      </c>
      <c r="B6" s="36">
        <f>'PS Enrollment'!$B$6</f>
        <v>0</v>
      </c>
      <c r="C6" s="36">
        <f>'PS Enrollment'!$C$6</f>
        <v>0</v>
      </c>
      <c r="D6" s="8" t="str">
        <f>IFERROR('PS Enrollment'!$D$6/'PS Enrollment'!$D$108, "")</f>
        <v/>
      </c>
      <c r="E6" s="10">
        <f>'PS Enrollment'!D$6</f>
        <v>0</v>
      </c>
      <c r="F6" s="8" t="str">
        <f>IFERROR(('PS Enrollment'!$Y$6-'Comparison Population'!$E6), "")</f>
        <v/>
      </c>
      <c r="G6" s="8" t="str">
        <f>IFERROR(('PS Enrollment'!$Z$6-'Comparison Population'!$E$7), "")</f>
        <v/>
      </c>
      <c r="H6" s="8" t="str">
        <f>IFERROR(('PS Enrollment'!$AA$6-'Comparison Population'!$E$8), "")</f>
        <v/>
      </c>
      <c r="I6" s="8" t="str">
        <f>IFERROR(('PS Enrollment'!$AB$6-'Comparison Population'!$E$10), "")</f>
        <v/>
      </c>
      <c r="J6" s="8" t="str">
        <f>IFERROR(('PS Enrollment'!$AC$6-'Comparison Population'!$E$11), "")</f>
        <v/>
      </c>
      <c r="K6" s="8" t="str">
        <f>IFERROR(('PS Enrollment'!$AD$6-'Comparison Population'!$E$12), "")</f>
        <v/>
      </c>
      <c r="L6" s="8" t="str">
        <f>IFERROR(('PS Enrollment'!$AE$6-'Comparison Population'!$E$13), "")</f>
        <v/>
      </c>
      <c r="M6" s="8" t="str">
        <f>IFERROR(('PS Enrollment'!$AF$6-'Comparison Population'!$E$14), "")</f>
        <v/>
      </c>
      <c r="N6" s="8" t="str">
        <f>IFERROR(('PS Enrollment'!$AG$6-'Comparison Population'!$E$15), "")</f>
        <v/>
      </c>
      <c r="O6" s="8" t="str">
        <f>IFERROR(('PS Enrollment'!$AH$6-'Comparison Population'!$E$16), "")</f>
        <v/>
      </c>
      <c r="P6" s="8" t="str">
        <f>IFERROR(('PS Enrollment'!$AI$6-'Comparison Population'!$E$17), "")</f>
        <v/>
      </c>
      <c r="Q6" s="8" t="str">
        <f>IFERROR(('PS Enrollment'!$AJ$6-'Comparison Population'!$E$19), "")</f>
        <v/>
      </c>
      <c r="R6" s="8" t="str">
        <f>IFERROR(('PS Enrollment'!$AK$6-'Comparison Population'!$E$20), "")</f>
        <v/>
      </c>
      <c r="S6" s="8" t="str">
        <f>IFERROR(('PS Enrollment'!$AL$6-'Comparison Population'!$E$21), "")</f>
        <v/>
      </c>
      <c r="T6" s="8" t="str">
        <f>IFERROR(('PS Enrollment'!$AM$6-'Comparison Population'!$E$22), "")</f>
        <v/>
      </c>
      <c r="U6" s="8" t="str">
        <f>IFERROR(('PS Enrollment'!$AN$6-'Comparison Population'!$E$23), "")</f>
        <v/>
      </c>
      <c r="V6" s="8" t="str">
        <f>IFERROR(('PS Enrollment'!$AO$6-'Comparison Population'!$E$24), "")</f>
        <v/>
      </c>
      <c r="W6" s="8" t="str">
        <f>IFERROR(('PS Enrollment'!$AP$6-'Comparison Population'!$E$25), "")</f>
        <v/>
      </c>
      <c r="X6" s="8" t="str">
        <f>IFERROR(('PS Enrollment'!$AQ$6-'Comparison Population'!$E$26), "")</f>
        <v/>
      </c>
      <c r="Y6" s="8" t="str">
        <f>IFERROR(('PS Enrollment'!$AR$6-'Comparison Population'!$E$27), "")</f>
        <v/>
      </c>
    </row>
    <row r="7" spans="1:25" x14ac:dyDescent="0.25">
      <c r="A7" s="36">
        <f>'PS Enrollment'!$A$7</f>
        <v>0</v>
      </c>
      <c r="B7" s="36">
        <f>'PS Enrollment'!$B$7</f>
        <v>0</v>
      </c>
      <c r="C7" s="36">
        <f>'PS Enrollment'!$C$7</f>
        <v>0</v>
      </c>
      <c r="D7" s="8" t="str">
        <f>IFERROR('PS Enrollment'!$D$7/'PS Enrollment'!$D$108, "")</f>
        <v/>
      </c>
      <c r="E7" s="10">
        <f>'PS Enrollment'!D$7</f>
        <v>0</v>
      </c>
      <c r="F7" s="8" t="str">
        <f>IFERROR(('PS Enrollment'!$Y$7-'Comparison Population'!$E7), "")</f>
        <v/>
      </c>
      <c r="G7" s="8" t="str">
        <f>IFERROR(('PS Enrollment'!$Z$7-'Comparison Population'!$E$7), "")</f>
        <v/>
      </c>
      <c r="H7" s="8" t="str">
        <f>IFERROR(('PS Enrollment'!$AA$7-'Comparison Population'!$E$8), "")</f>
        <v/>
      </c>
      <c r="I7" s="8" t="str">
        <f>IFERROR(('PS Enrollment'!$AB$7-'Comparison Population'!$E$10), "")</f>
        <v/>
      </c>
      <c r="J7" s="8" t="str">
        <f>IFERROR(('PS Enrollment'!$AC$7-'Comparison Population'!$E$11), "")</f>
        <v/>
      </c>
      <c r="K7" s="8" t="str">
        <f>IFERROR(('PS Enrollment'!$AD$7-'Comparison Population'!$E$12), "")</f>
        <v/>
      </c>
      <c r="L7" s="8" t="str">
        <f>IFERROR(('PS Enrollment'!$AE$7-'Comparison Population'!$E$13), "")</f>
        <v/>
      </c>
      <c r="M7" s="8" t="str">
        <f>IFERROR(('PS Enrollment'!$AF$7-'Comparison Population'!$E$14), "")</f>
        <v/>
      </c>
      <c r="N7" s="8" t="str">
        <f>IFERROR(('PS Enrollment'!$AG$7-'Comparison Population'!$E$15), "")</f>
        <v/>
      </c>
      <c r="O7" s="8" t="str">
        <f>IFERROR(('PS Enrollment'!$AH$7-'Comparison Population'!$E$16), "")</f>
        <v/>
      </c>
      <c r="P7" s="8" t="str">
        <f>IFERROR(('PS Enrollment'!$AI$7-'Comparison Population'!$E$17), "")</f>
        <v/>
      </c>
      <c r="Q7" s="8" t="str">
        <f>IFERROR(('PS Enrollment'!$AJ$7-'Comparison Population'!$E$19), "")</f>
        <v/>
      </c>
      <c r="R7" s="8" t="str">
        <f>IFERROR(('PS Enrollment'!$AK$7-'Comparison Population'!$E$20), "")</f>
        <v/>
      </c>
      <c r="S7" s="8" t="str">
        <f>IFERROR(('PS Enrollment'!$AL$7-'Comparison Population'!$E$21), "")</f>
        <v/>
      </c>
      <c r="T7" s="8" t="str">
        <f>IFERROR(('PS Enrollment'!$AM$7-'Comparison Population'!$E$22), "")</f>
        <v/>
      </c>
      <c r="U7" s="8" t="str">
        <f>IFERROR(('PS Enrollment'!$AN$7-'Comparison Population'!$E$23), "")</f>
        <v/>
      </c>
      <c r="V7" s="8" t="str">
        <f>IFERROR(('PS Enrollment'!$AO$7-'Comparison Population'!$E$24), "")</f>
        <v/>
      </c>
      <c r="W7" s="8" t="str">
        <f>IFERROR(('PS Enrollment'!$AP$7-'Comparison Population'!$E$25), "")</f>
        <v/>
      </c>
      <c r="X7" s="8" t="str">
        <f>IFERROR(('PS Enrollment'!$AQ$7-'Comparison Population'!$E$26), "")</f>
        <v/>
      </c>
      <c r="Y7" s="8" t="str">
        <f>IFERROR(('PS Enrollment'!$AR$7-'Comparison Population'!$E$27), "")</f>
        <v/>
      </c>
    </row>
    <row r="8" spans="1:25" x14ac:dyDescent="0.25">
      <c r="A8" s="36">
        <f>'PS Enrollment'!$A$8</f>
        <v>0</v>
      </c>
      <c r="B8" s="36">
        <f>'PS Enrollment'!$B$8</f>
        <v>0</v>
      </c>
      <c r="C8" s="36">
        <f>'PS Enrollment'!$C$8</f>
        <v>0</v>
      </c>
      <c r="D8" s="8" t="str">
        <f>IFERROR('PS Enrollment'!$D$8/'PS Enrollment'!$D$108, "")</f>
        <v/>
      </c>
      <c r="E8" s="10">
        <f>'PS Enrollment'!D$8</f>
        <v>0</v>
      </c>
      <c r="F8" s="8" t="str">
        <f>IFERROR(('PS Enrollment'!$Y$8-'Comparison Population'!$E8), "")</f>
        <v/>
      </c>
      <c r="G8" s="8" t="str">
        <f>IFERROR(('PS Enrollment'!$Z$8-'Comparison Population'!$E$7), "")</f>
        <v/>
      </c>
      <c r="H8" s="8" t="str">
        <f>IFERROR(('PS Enrollment'!$AA$8-'Comparison Population'!$E$8), "")</f>
        <v/>
      </c>
      <c r="I8" s="8" t="str">
        <f>IFERROR(('PS Enrollment'!$AB$8-'Comparison Population'!$E$10), "")</f>
        <v/>
      </c>
      <c r="J8" s="8" t="str">
        <f>IFERROR(('PS Enrollment'!$AC$8-'Comparison Population'!$E$11), "")</f>
        <v/>
      </c>
      <c r="K8" s="8" t="str">
        <f>IFERROR(('PS Enrollment'!$AD$8-'Comparison Population'!$E$12), "")</f>
        <v/>
      </c>
      <c r="L8" s="8" t="str">
        <f>IFERROR(('PS Enrollment'!$AE$8-'Comparison Population'!$E$13), "")</f>
        <v/>
      </c>
      <c r="M8" s="8" t="str">
        <f>IFERROR(('PS Enrollment'!$AF$8-'Comparison Population'!$E$14), "")</f>
        <v/>
      </c>
      <c r="N8" s="8" t="str">
        <f>IFERROR(('PS Enrollment'!$AG$8-'Comparison Population'!$E$15), "")</f>
        <v/>
      </c>
      <c r="O8" s="8" t="str">
        <f>IFERROR(('PS Enrollment'!$AH$8-'Comparison Population'!$E$16), "")</f>
        <v/>
      </c>
      <c r="P8" s="8" t="str">
        <f>IFERROR(('PS Enrollment'!$AI$8-'Comparison Population'!$E$17), "")</f>
        <v/>
      </c>
      <c r="Q8" s="8" t="str">
        <f>IFERROR(('PS Enrollment'!$AJ$8-'Comparison Population'!$E$19), "")</f>
        <v/>
      </c>
      <c r="R8" s="8" t="str">
        <f>IFERROR(('PS Enrollment'!$AK$8-'Comparison Population'!$E$20), "")</f>
        <v/>
      </c>
      <c r="S8" s="8" t="str">
        <f>IFERROR(('PS Enrollment'!$AL$8-'Comparison Population'!$E$21), "")</f>
        <v/>
      </c>
      <c r="T8" s="8" t="str">
        <f>IFERROR(('PS Enrollment'!$AM$8-'Comparison Population'!$E$22), "")</f>
        <v/>
      </c>
      <c r="U8" s="8" t="str">
        <f>IFERROR(('PS Enrollment'!$AN$8-'Comparison Population'!$E$23), "")</f>
        <v/>
      </c>
      <c r="V8" s="8" t="str">
        <f>IFERROR(('PS Enrollment'!$AO$8-'Comparison Population'!$E$24), "")</f>
        <v/>
      </c>
      <c r="W8" s="8" t="str">
        <f>IFERROR(('PS Enrollment'!$AP$8-'Comparison Population'!$E$25), "")</f>
        <v/>
      </c>
      <c r="X8" s="8" t="str">
        <f>IFERROR(('PS Enrollment'!$AQ$8-'Comparison Population'!$E$26), "")</f>
        <v/>
      </c>
      <c r="Y8" s="8" t="str">
        <f>IFERROR(('PS Enrollment'!$AR$8-'Comparison Population'!$E$27), "")</f>
        <v/>
      </c>
    </row>
    <row r="9" spans="1:25" x14ac:dyDescent="0.25">
      <c r="A9" s="36">
        <f>'PS Enrollment'!$A$9</f>
        <v>0</v>
      </c>
      <c r="B9" s="36">
        <f>'PS Enrollment'!$B$9</f>
        <v>0</v>
      </c>
      <c r="C9" s="36">
        <f>'PS Enrollment'!$C$9</f>
        <v>0</v>
      </c>
      <c r="D9" s="8" t="str">
        <f>IFERROR('PS Enrollment'!$D$9/'PS Enrollment'!$D$108, "")</f>
        <v/>
      </c>
      <c r="E9" s="10">
        <f>'PS Enrollment'!D$9</f>
        <v>0</v>
      </c>
      <c r="F9" s="8" t="str">
        <f>IFERROR(('PS Enrollment'!$Y$9-'Comparison Population'!$E9), "")</f>
        <v/>
      </c>
      <c r="G9" s="8" t="str">
        <f>IFERROR(('PS Enrollment'!$Z$9-'Comparison Population'!$E$7), "")</f>
        <v/>
      </c>
      <c r="H9" s="8" t="str">
        <f>IFERROR(('PS Enrollment'!$AA$9-'Comparison Population'!$E$8), "")</f>
        <v/>
      </c>
      <c r="I9" s="8" t="str">
        <f>IFERROR(('PS Enrollment'!$AB$9-'Comparison Population'!$E$10), "")</f>
        <v/>
      </c>
      <c r="J9" s="8" t="str">
        <f>IFERROR(('PS Enrollment'!$AC$9-'Comparison Population'!$E$11), "")</f>
        <v/>
      </c>
      <c r="K9" s="8" t="str">
        <f>IFERROR(('PS Enrollment'!$AD$9-'Comparison Population'!$E$12), "")</f>
        <v/>
      </c>
      <c r="L9" s="8" t="str">
        <f>IFERROR(('PS Enrollment'!$AE$9-'Comparison Population'!$E$13), "")</f>
        <v/>
      </c>
      <c r="M9" s="8" t="str">
        <f>IFERROR(('PS Enrollment'!$AF$9-'Comparison Population'!$E$14), "")</f>
        <v/>
      </c>
      <c r="N9" s="8" t="str">
        <f>IFERROR(('PS Enrollment'!$AG$9-'Comparison Population'!$E$15), "")</f>
        <v/>
      </c>
      <c r="O9" s="8" t="str">
        <f>IFERROR(('PS Enrollment'!$AH$9-'Comparison Population'!$E$16), "")</f>
        <v/>
      </c>
      <c r="P9" s="8" t="str">
        <f>IFERROR(('PS Enrollment'!$AI$9-'Comparison Population'!$E$17), "")</f>
        <v/>
      </c>
      <c r="Q9" s="8" t="str">
        <f>IFERROR(('PS Enrollment'!$AJ$9-'Comparison Population'!$E$19), "")</f>
        <v/>
      </c>
      <c r="R9" s="8" t="str">
        <f>IFERROR(('PS Enrollment'!$AK$9-'Comparison Population'!$E$20), "")</f>
        <v/>
      </c>
      <c r="S9" s="8" t="str">
        <f>IFERROR(('PS Enrollment'!$AL$9-'Comparison Population'!$E$21), "")</f>
        <v/>
      </c>
      <c r="T9" s="8" t="str">
        <f>IFERROR(('PS Enrollment'!$AM$9-'Comparison Population'!$E$22), "")</f>
        <v/>
      </c>
      <c r="U9" s="8" t="str">
        <f>IFERROR(('PS Enrollment'!$AN$9-'Comparison Population'!$E$23), "")</f>
        <v/>
      </c>
      <c r="V9" s="8" t="str">
        <f>IFERROR(('PS Enrollment'!$AO$9-'Comparison Population'!$E$24), "")</f>
        <v/>
      </c>
      <c r="W9" s="8" t="str">
        <f>IFERROR(('PS Enrollment'!$AP$9-'Comparison Population'!$E$25), "")</f>
        <v/>
      </c>
      <c r="X9" s="8" t="str">
        <f>IFERROR(('PS Enrollment'!$AQ$9-'Comparison Population'!$E$26), "")</f>
        <v/>
      </c>
      <c r="Y9" s="8" t="str">
        <f>IFERROR(('PS Enrollment'!$AR$9-'Comparison Population'!$E$27), "")</f>
        <v/>
      </c>
    </row>
    <row r="10" spans="1:25" x14ac:dyDescent="0.25">
      <c r="A10" s="36">
        <f>'PS Enrollment'!$A$10</f>
        <v>0</v>
      </c>
      <c r="B10" s="36">
        <f>'PS Enrollment'!$B$10</f>
        <v>0</v>
      </c>
      <c r="C10" s="36">
        <f>'PS Enrollment'!$C$10</f>
        <v>0</v>
      </c>
      <c r="D10" s="8" t="str">
        <f>IFERROR('PS Enrollment'!$D$10/'PS Enrollment'!$D$108, "")</f>
        <v/>
      </c>
      <c r="E10" s="10">
        <f>'PS Enrollment'!D$10</f>
        <v>0</v>
      </c>
      <c r="F10" s="8" t="str">
        <f>IFERROR(('PS Enrollment'!$Y$10-'Comparison Population'!$E10), "")</f>
        <v/>
      </c>
      <c r="G10" s="8" t="str">
        <f>IFERROR(('PS Enrollment'!$Z$10-'Comparison Population'!$E$7), "")</f>
        <v/>
      </c>
      <c r="H10" s="8" t="str">
        <f>IFERROR(('PS Enrollment'!$AA$10-'Comparison Population'!$E$8), "")</f>
        <v/>
      </c>
      <c r="I10" s="8" t="str">
        <f>IFERROR(('PS Enrollment'!$AB$10-'Comparison Population'!$E$10), "")</f>
        <v/>
      </c>
      <c r="J10" s="8" t="str">
        <f>IFERROR(('PS Enrollment'!$AC$10-'Comparison Population'!$E$11), "")</f>
        <v/>
      </c>
      <c r="K10" s="8" t="str">
        <f>IFERROR(('PS Enrollment'!$AD$10-'Comparison Population'!$E$12), "")</f>
        <v/>
      </c>
      <c r="L10" s="8" t="str">
        <f>IFERROR(('PS Enrollment'!$AE$10-'Comparison Population'!$E$13), "")</f>
        <v/>
      </c>
      <c r="M10" s="8" t="str">
        <f>IFERROR(('PS Enrollment'!$AF$10-'Comparison Population'!$E$14), "")</f>
        <v/>
      </c>
      <c r="N10" s="8" t="str">
        <f>IFERROR(('PS Enrollment'!$AG$10-'Comparison Population'!$E$15), "")</f>
        <v/>
      </c>
      <c r="O10" s="8" t="str">
        <f>IFERROR(('PS Enrollment'!$AH$10-'Comparison Population'!$E$16), "")</f>
        <v/>
      </c>
      <c r="P10" s="8" t="str">
        <f>IFERROR(('PS Enrollment'!$AI$10-'Comparison Population'!$E$17), "")</f>
        <v/>
      </c>
      <c r="Q10" s="8" t="str">
        <f>IFERROR(('PS Enrollment'!$AJ$10-'Comparison Population'!$E$19), "")</f>
        <v/>
      </c>
      <c r="R10" s="8" t="str">
        <f>IFERROR(('PS Enrollment'!$AK$10-'Comparison Population'!$E$20), "")</f>
        <v/>
      </c>
      <c r="S10" s="8" t="str">
        <f>IFERROR(('PS Enrollment'!$AL$10-'Comparison Population'!$E$21), "")</f>
        <v/>
      </c>
      <c r="T10" s="8" t="str">
        <f>IFERROR(('PS Enrollment'!$AM$10-'Comparison Population'!$E$22), "")</f>
        <v/>
      </c>
      <c r="U10" s="8" t="str">
        <f>IFERROR(('PS Enrollment'!$AN$10-'Comparison Population'!$E$23), "")</f>
        <v/>
      </c>
      <c r="V10" s="8" t="str">
        <f>IFERROR(('PS Enrollment'!$AO$10-'Comparison Population'!$E$24), "")</f>
        <v/>
      </c>
      <c r="W10" s="8" t="str">
        <f>IFERROR(('PS Enrollment'!$AP$10-'Comparison Population'!$E$25), "")</f>
        <v/>
      </c>
      <c r="X10" s="8" t="str">
        <f>IFERROR(('PS Enrollment'!$AQ$10-'Comparison Population'!$E$26), "")</f>
        <v/>
      </c>
      <c r="Y10" s="8" t="str">
        <f>IFERROR(('PS Enrollment'!$AR$10-'Comparison Population'!$E$27), "")</f>
        <v/>
      </c>
    </row>
    <row r="11" spans="1:25" x14ac:dyDescent="0.25">
      <c r="A11" s="36">
        <f>'PS Enrollment'!$A$11</f>
        <v>0</v>
      </c>
      <c r="B11" s="36">
        <f>'PS Enrollment'!$B$11</f>
        <v>0</v>
      </c>
      <c r="C11" s="36">
        <f>'PS Enrollment'!$C$11</f>
        <v>0</v>
      </c>
      <c r="D11" s="8" t="str">
        <f>IFERROR('PS Enrollment'!$D$11/'PS Enrollment'!$D$108, "")</f>
        <v/>
      </c>
      <c r="E11" s="10">
        <f>'PS Enrollment'!D$11</f>
        <v>0</v>
      </c>
      <c r="F11" s="8" t="str">
        <f>IFERROR(('PS Enrollment'!$Y$11-'Comparison Population'!$E11), "")</f>
        <v/>
      </c>
      <c r="G11" s="8" t="str">
        <f>IFERROR(('PS Enrollment'!$Z$11-'Comparison Population'!$E$7), "")</f>
        <v/>
      </c>
      <c r="H11" s="8" t="str">
        <f>IFERROR(('PS Enrollment'!$AA$11-'Comparison Population'!$E$8), "")</f>
        <v/>
      </c>
      <c r="I11" s="8" t="str">
        <f>IFERROR(('PS Enrollment'!$AB$11-'Comparison Population'!$E$10), "")</f>
        <v/>
      </c>
      <c r="J11" s="8" t="str">
        <f>IFERROR(('PS Enrollment'!$AC$11-'Comparison Population'!$E$11), "")</f>
        <v/>
      </c>
      <c r="K11" s="8" t="str">
        <f>IFERROR(('PS Enrollment'!$AD$11-'Comparison Population'!$E$12), "")</f>
        <v/>
      </c>
      <c r="L11" s="8" t="str">
        <f>IFERROR(('PS Enrollment'!$AE$11-'Comparison Population'!$E$13), "")</f>
        <v/>
      </c>
      <c r="M11" s="8" t="str">
        <f>IFERROR(('PS Enrollment'!$AF$11-'Comparison Population'!$E$14), "")</f>
        <v/>
      </c>
      <c r="N11" s="8" t="str">
        <f>IFERROR(('PS Enrollment'!$AG$11-'Comparison Population'!$E$15), "")</f>
        <v/>
      </c>
      <c r="O11" s="8" t="str">
        <f>IFERROR(('PS Enrollment'!$AH$11-'Comparison Population'!$E$16), "")</f>
        <v/>
      </c>
      <c r="P11" s="8" t="str">
        <f>IFERROR(('PS Enrollment'!$AI$11-'Comparison Population'!$E$17), "")</f>
        <v/>
      </c>
      <c r="Q11" s="8" t="str">
        <f>IFERROR(('PS Enrollment'!$AJ$11-'Comparison Population'!$E$19), "")</f>
        <v/>
      </c>
      <c r="R11" s="8" t="str">
        <f>IFERROR(('PS Enrollment'!$AK$11-'Comparison Population'!$E$20), "")</f>
        <v/>
      </c>
      <c r="S11" s="8" t="str">
        <f>IFERROR(('PS Enrollment'!$AL$11-'Comparison Population'!$E$21), "")</f>
        <v/>
      </c>
      <c r="T11" s="8" t="str">
        <f>IFERROR(('PS Enrollment'!$AM$11-'Comparison Population'!$E$22), "")</f>
        <v/>
      </c>
      <c r="U11" s="8" t="str">
        <f>IFERROR(('PS Enrollment'!$AN$11-'Comparison Population'!$E$23), "")</f>
        <v/>
      </c>
      <c r="V11" s="8" t="str">
        <f>IFERROR(('PS Enrollment'!$AO$11-'Comparison Population'!$E$24), "")</f>
        <v/>
      </c>
      <c r="W11" s="8" t="str">
        <f>IFERROR(('PS Enrollment'!$AP$11-'Comparison Population'!$E$25), "")</f>
        <v/>
      </c>
      <c r="X11" s="8" t="str">
        <f>IFERROR(('PS Enrollment'!$AQ$11-'Comparison Population'!$E$26), "")</f>
        <v/>
      </c>
      <c r="Y11" s="8" t="str">
        <f>IFERROR(('PS Enrollment'!$AR$11-'Comparison Population'!$E$27), "")</f>
        <v/>
      </c>
    </row>
    <row r="12" spans="1:25" x14ac:dyDescent="0.25">
      <c r="A12" s="36">
        <f>'PS Enrollment'!$A$12</f>
        <v>0</v>
      </c>
      <c r="B12" s="36">
        <f>'PS Enrollment'!$B$12</f>
        <v>0</v>
      </c>
      <c r="C12" s="36">
        <f>'PS Enrollment'!$C$12</f>
        <v>0</v>
      </c>
      <c r="D12" s="8" t="str">
        <f>IFERROR('PS Enrollment'!$D$12/'PS Enrollment'!$D$108, "")</f>
        <v/>
      </c>
      <c r="E12" s="10">
        <f>'PS Enrollment'!D$12</f>
        <v>0</v>
      </c>
      <c r="F12" s="8" t="str">
        <f>IFERROR(('PS Enrollment'!$Y$12-'Comparison Population'!$E12), "")</f>
        <v/>
      </c>
      <c r="G12" s="8" t="str">
        <f>IFERROR(('PS Enrollment'!$Z$12-'Comparison Population'!$E$7), "")</f>
        <v/>
      </c>
      <c r="H12" s="8" t="str">
        <f>IFERROR(('PS Enrollment'!$AA$12-'Comparison Population'!$E$8), "")</f>
        <v/>
      </c>
      <c r="I12" s="8" t="str">
        <f>IFERROR(('PS Enrollment'!$AB$12-'Comparison Population'!$E$10), "")</f>
        <v/>
      </c>
      <c r="J12" s="8" t="str">
        <f>IFERROR(('PS Enrollment'!$AC$12-'Comparison Population'!$E$11), "")</f>
        <v/>
      </c>
      <c r="K12" s="8" t="str">
        <f>IFERROR(('PS Enrollment'!$AD$12-'Comparison Population'!$E$12), "")</f>
        <v/>
      </c>
      <c r="L12" s="8" t="str">
        <f>IFERROR(('PS Enrollment'!$AE$12-'Comparison Population'!$E$13), "")</f>
        <v/>
      </c>
      <c r="M12" s="8" t="str">
        <f>IFERROR(('PS Enrollment'!$AF$12-'Comparison Population'!$E$14), "")</f>
        <v/>
      </c>
      <c r="N12" s="8" t="str">
        <f>IFERROR(('PS Enrollment'!$AG$12-'Comparison Population'!$E$15), "")</f>
        <v/>
      </c>
      <c r="O12" s="8" t="str">
        <f>IFERROR(('PS Enrollment'!$AH$12-'Comparison Population'!$E$16), "")</f>
        <v/>
      </c>
      <c r="P12" s="8" t="str">
        <f>IFERROR(('PS Enrollment'!$AI$12-'Comparison Population'!$E$17), "")</f>
        <v/>
      </c>
      <c r="Q12" s="8" t="str">
        <f>IFERROR(('PS Enrollment'!$AJ$12-'Comparison Population'!$E$19), "")</f>
        <v/>
      </c>
      <c r="R12" s="8" t="str">
        <f>IFERROR(('PS Enrollment'!$AK$12-'Comparison Population'!$E$20), "")</f>
        <v/>
      </c>
      <c r="S12" s="8" t="str">
        <f>IFERROR(('PS Enrollment'!$AL$12-'Comparison Population'!$E$21), "")</f>
        <v/>
      </c>
      <c r="T12" s="8" t="str">
        <f>IFERROR(('PS Enrollment'!$AM$12-'Comparison Population'!$E$22), "")</f>
        <v/>
      </c>
      <c r="U12" s="8" t="str">
        <f>IFERROR(('PS Enrollment'!$AN$12-'Comparison Population'!$E$23), "")</f>
        <v/>
      </c>
      <c r="V12" s="8" t="str">
        <f>IFERROR(('PS Enrollment'!$AO$12-'Comparison Population'!$E$24), "")</f>
        <v/>
      </c>
      <c r="W12" s="8" t="str">
        <f>IFERROR(('PS Enrollment'!$AP$12-'Comparison Population'!$E$25), "")</f>
        <v/>
      </c>
      <c r="X12" s="8" t="str">
        <f>IFERROR(('PS Enrollment'!$AQ$12-'Comparison Population'!$E$26), "")</f>
        <v/>
      </c>
      <c r="Y12" s="8" t="str">
        <f>IFERROR(('PS Enrollment'!$AR$12-'Comparison Population'!$E$27), "")</f>
        <v/>
      </c>
    </row>
    <row r="13" spans="1:25" x14ac:dyDescent="0.25">
      <c r="A13" s="36">
        <f>'PS Enrollment'!$A$13</f>
        <v>0</v>
      </c>
      <c r="B13" s="36">
        <f>'PS Enrollment'!$B$13</f>
        <v>0</v>
      </c>
      <c r="C13" s="36">
        <f>'PS Enrollment'!$C$13</f>
        <v>0</v>
      </c>
      <c r="D13" s="8" t="str">
        <f>IFERROR('PS Enrollment'!$D$13/'PS Enrollment'!$D$108, "")</f>
        <v/>
      </c>
      <c r="E13" s="10">
        <f>'PS Enrollment'!D$13</f>
        <v>0</v>
      </c>
      <c r="F13" s="8" t="str">
        <f>IFERROR(('PS Enrollment'!$Y$13-'Comparison Population'!$E13), "")</f>
        <v/>
      </c>
      <c r="G13" s="8" t="str">
        <f>IFERROR(('PS Enrollment'!$Z$13-'Comparison Population'!$E$7), "")</f>
        <v/>
      </c>
      <c r="H13" s="8" t="str">
        <f>IFERROR(('PS Enrollment'!$AA$13-'Comparison Population'!$E$8), "")</f>
        <v/>
      </c>
      <c r="I13" s="8" t="str">
        <f>IFERROR(('PS Enrollment'!$AB$13-'Comparison Population'!$E$10), "")</f>
        <v/>
      </c>
      <c r="J13" s="8" t="str">
        <f>IFERROR(('PS Enrollment'!$AC$13-'Comparison Population'!$E$11), "")</f>
        <v/>
      </c>
      <c r="K13" s="8" t="str">
        <f>IFERROR(('PS Enrollment'!$AD$13-'Comparison Population'!$E$12), "")</f>
        <v/>
      </c>
      <c r="L13" s="8" t="str">
        <f>IFERROR(('PS Enrollment'!$AE$13-'Comparison Population'!$E$13), "")</f>
        <v/>
      </c>
      <c r="M13" s="8" t="str">
        <f>IFERROR(('PS Enrollment'!$AF$13-'Comparison Population'!$E$14), "")</f>
        <v/>
      </c>
      <c r="N13" s="8" t="str">
        <f>IFERROR(('PS Enrollment'!$AG$13-'Comparison Population'!$E$15), "")</f>
        <v/>
      </c>
      <c r="O13" s="8" t="str">
        <f>IFERROR(('PS Enrollment'!$AH$13-'Comparison Population'!$E$16), "")</f>
        <v/>
      </c>
      <c r="P13" s="8" t="str">
        <f>IFERROR(('PS Enrollment'!$AI$13-'Comparison Population'!$E$17), "")</f>
        <v/>
      </c>
      <c r="Q13" s="8" t="str">
        <f>IFERROR(('PS Enrollment'!$AJ$13-'Comparison Population'!$E$19), "")</f>
        <v/>
      </c>
      <c r="R13" s="8" t="str">
        <f>IFERROR(('PS Enrollment'!$AK$13-'Comparison Population'!$E$20), "")</f>
        <v/>
      </c>
      <c r="S13" s="8" t="str">
        <f>IFERROR(('PS Enrollment'!$AL$13-'Comparison Population'!$E$21), "")</f>
        <v/>
      </c>
      <c r="T13" s="8" t="str">
        <f>IFERROR(('PS Enrollment'!$AM$13-'Comparison Population'!$E$22), "")</f>
        <v/>
      </c>
      <c r="U13" s="8" t="str">
        <f>IFERROR(('PS Enrollment'!$AN$13-'Comparison Population'!$E$23), "")</f>
        <v/>
      </c>
      <c r="V13" s="8" t="str">
        <f>IFERROR(('PS Enrollment'!$AO$13-'Comparison Population'!$E$24), "")</f>
        <v/>
      </c>
      <c r="W13" s="8" t="str">
        <f>IFERROR(('PS Enrollment'!$AP$13-'Comparison Population'!$E$25), "")</f>
        <v/>
      </c>
      <c r="X13" s="8" t="str">
        <f>IFERROR(('PS Enrollment'!$AQ$13-'Comparison Population'!$E$26), "")</f>
        <v/>
      </c>
      <c r="Y13" s="8" t="str">
        <f>IFERROR(('PS Enrollment'!$AR$13-'Comparison Population'!$E$27), "")</f>
        <v/>
      </c>
    </row>
    <row r="14" spans="1:25" x14ac:dyDescent="0.25">
      <c r="A14" s="36">
        <f>'PS Enrollment'!$A$14</f>
        <v>0</v>
      </c>
      <c r="B14" s="36">
        <f>'PS Enrollment'!$B$14</f>
        <v>0</v>
      </c>
      <c r="C14" s="36">
        <f>'PS Enrollment'!$C$14</f>
        <v>0</v>
      </c>
      <c r="D14" s="8" t="str">
        <f>IFERROR('PS Enrollment'!$D$14/'PS Enrollment'!$D$108, "")</f>
        <v/>
      </c>
      <c r="E14" s="10">
        <f>'PS Enrollment'!D$14</f>
        <v>0</v>
      </c>
      <c r="F14" s="8" t="str">
        <f>IFERROR(('PS Enrollment'!$Y$14-'Comparison Population'!$E14), "")</f>
        <v/>
      </c>
      <c r="G14" s="8" t="str">
        <f>IFERROR(('PS Enrollment'!$Z$14-'Comparison Population'!$E$7), "")</f>
        <v/>
      </c>
      <c r="H14" s="8" t="str">
        <f>IFERROR(('PS Enrollment'!$AA$14-'Comparison Population'!$E$8), "")</f>
        <v/>
      </c>
      <c r="I14" s="8" t="str">
        <f>IFERROR(('PS Enrollment'!$AB$14-'Comparison Population'!$E$10), "")</f>
        <v/>
      </c>
      <c r="J14" s="8" t="str">
        <f>IFERROR(('PS Enrollment'!$AC$14-'Comparison Population'!$E$11), "")</f>
        <v/>
      </c>
      <c r="K14" s="8" t="str">
        <f>IFERROR(('PS Enrollment'!$AD$14-'Comparison Population'!$E$12), "")</f>
        <v/>
      </c>
      <c r="L14" s="8" t="str">
        <f>IFERROR(('PS Enrollment'!$AE$14-'Comparison Population'!$E$13), "")</f>
        <v/>
      </c>
      <c r="M14" s="8" t="str">
        <f>IFERROR(('PS Enrollment'!$AF$14-'Comparison Population'!$E$14), "")</f>
        <v/>
      </c>
      <c r="N14" s="8" t="str">
        <f>IFERROR(('PS Enrollment'!$AG$14-'Comparison Population'!$E$15), "")</f>
        <v/>
      </c>
      <c r="O14" s="8" t="str">
        <f>IFERROR(('PS Enrollment'!$AH$14-'Comparison Population'!$E$16), "")</f>
        <v/>
      </c>
      <c r="P14" s="8" t="str">
        <f>IFERROR(('PS Enrollment'!$AI$14-'Comparison Population'!$E$17), "")</f>
        <v/>
      </c>
      <c r="Q14" s="8" t="str">
        <f>IFERROR(('PS Enrollment'!$AJ$14-'Comparison Population'!$E$19), "")</f>
        <v/>
      </c>
      <c r="R14" s="8" t="str">
        <f>IFERROR(('PS Enrollment'!$AK$14-'Comparison Population'!$E$20), "")</f>
        <v/>
      </c>
      <c r="S14" s="8" t="str">
        <f>IFERROR(('PS Enrollment'!$AL$14-'Comparison Population'!$E$21), "")</f>
        <v/>
      </c>
      <c r="T14" s="8" t="str">
        <f>IFERROR(('PS Enrollment'!$AM$14-'Comparison Population'!$E$22), "")</f>
        <v/>
      </c>
      <c r="U14" s="8" t="str">
        <f>IFERROR(('PS Enrollment'!$AN$14-'Comparison Population'!$E$23), "")</f>
        <v/>
      </c>
      <c r="V14" s="8" t="str">
        <f>IFERROR(('PS Enrollment'!$AO$14-'Comparison Population'!$E$24), "")</f>
        <v/>
      </c>
      <c r="W14" s="8" t="str">
        <f>IFERROR(('PS Enrollment'!$AP$14-'Comparison Population'!$E$25), "")</f>
        <v/>
      </c>
      <c r="X14" s="8" t="str">
        <f>IFERROR(('PS Enrollment'!$AQ$14-'Comparison Population'!$E$26), "")</f>
        <v/>
      </c>
      <c r="Y14" s="8" t="str">
        <f>IFERROR(('PS Enrollment'!$AR$14-'Comparison Population'!$E$27), "")</f>
        <v/>
      </c>
    </row>
    <row r="15" spans="1:25" x14ac:dyDescent="0.25">
      <c r="A15" s="36">
        <f>'PS Enrollment'!$A$15</f>
        <v>0</v>
      </c>
      <c r="B15" s="36">
        <f>'PS Enrollment'!$B$15</f>
        <v>0</v>
      </c>
      <c r="C15" s="36">
        <f>'PS Enrollment'!$C$15</f>
        <v>0</v>
      </c>
      <c r="D15" s="8" t="str">
        <f>IFERROR('PS Enrollment'!$D$15/'PS Enrollment'!$D$108, "")</f>
        <v/>
      </c>
      <c r="E15" s="10">
        <f>'PS Enrollment'!D$15</f>
        <v>0</v>
      </c>
      <c r="F15" s="8" t="str">
        <f>IFERROR(('PS Enrollment'!$Y$15-'Comparison Population'!$E15), "")</f>
        <v/>
      </c>
      <c r="G15" s="8" t="str">
        <f>IFERROR(('PS Enrollment'!$Z$15-'Comparison Population'!$E$7), "")</f>
        <v/>
      </c>
      <c r="H15" s="8" t="str">
        <f>IFERROR(('PS Enrollment'!$AA$15-'Comparison Population'!$E$8), "")</f>
        <v/>
      </c>
      <c r="I15" s="8" t="str">
        <f>IFERROR(('PS Enrollment'!$AB$15-'Comparison Population'!$E$10), "")</f>
        <v/>
      </c>
      <c r="J15" s="8" t="str">
        <f>IFERROR(('PS Enrollment'!$AC$15-'Comparison Population'!$E$11), "")</f>
        <v/>
      </c>
      <c r="K15" s="8" t="str">
        <f>IFERROR(('PS Enrollment'!$AD$15-'Comparison Population'!$E$12), "")</f>
        <v/>
      </c>
      <c r="L15" s="8" t="str">
        <f>IFERROR(('PS Enrollment'!$AE$15-'Comparison Population'!$E$13), "")</f>
        <v/>
      </c>
      <c r="M15" s="8" t="str">
        <f>IFERROR(('PS Enrollment'!$AF$15-'Comparison Population'!$E$14), "")</f>
        <v/>
      </c>
      <c r="N15" s="8" t="str">
        <f>IFERROR(('PS Enrollment'!$AG$15-'Comparison Population'!$E$15), "")</f>
        <v/>
      </c>
      <c r="O15" s="8" t="str">
        <f>IFERROR(('PS Enrollment'!$AH$15-'Comparison Population'!$E$16), "")</f>
        <v/>
      </c>
      <c r="P15" s="8" t="str">
        <f>IFERROR(('PS Enrollment'!$AI$15-'Comparison Population'!$E$17), "")</f>
        <v/>
      </c>
      <c r="Q15" s="8" t="str">
        <f>IFERROR(('PS Enrollment'!$AJ$15-'Comparison Population'!$E$19), "")</f>
        <v/>
      </c>
      <c r="R15" s="8" t="str">
        <f>IFERROR(('PS Enrollment'!$AK$15-'Comparison Population'!$E$20), "")</f>
        <v/>
      </c>
      <c r="S15" s="8" t="str">
        <f>IFERROR(('PS Enrollment'!$AL$15-'Comparison Population'!$E$21), "")</f>
        <v/>
      </c>
      <c r="T15" s="8" t="str">
        <f>IFERROR(('PS Enrollment'!$AM$15-'Comparison Population'!$E$22), "")</f>
        <v/>
      </c>
      <c r="U15" s="8" t="str">
        <f>IFERROR(('PS Enrollment'!$AN$15-'Comparison Population'!$E$23), "")</f>
        <v/>
      </c>
      <c r="V15" s="8" t="str">
        <f>IFERROR(('PS Enrollment'!$AO$15-'Comparison Population'!$E$24), "")</f>
        <v/>
      </c>
      <c r="W15" s="8" t="str">
        <f>IFERROR(('PS Enrollment'!$AP$15-'Comparison Population'!$E$25), "")</f>
        <v/>
      </c>
      <c r="X15" s="8" t="str">
        <f>IFERROR(('PS Enrollment'!$AQ$15-'Comparison Population'!$E$26), "")</f>
        <v/>
      </c>
      <c r="Y15" s="8" t="str">
        <f>IFERROR(('PS Enrollment'!$AR$15-'Comparison Population'!$E$27), "")</f>
        <v/>
      </c>
    </row>
    <row r="16" spans="1:25" x14ac:dyDescent="0.25">
      <c r="A16" s="36">
        <f>'PS Enrollment'!$A$16</f>
        <v>0</v>
      </c>
      <c r="B16" s="36">
        <f>'PS Enrollment'!$B$16</f>
        <v>0</v>
      </c>
      <c r="C16" s="36">
        <f>'PS Enrollment'!$C$16</f>
        <v>0</v>
      </c>
      <c r="D16" s="8" t="str">
        <f>IFERROR('PS Enrollment'!$D$16/'PS Enrollment'!$D$108, "")</f>
        <v/>
      </c>
      <c r="E16" s="10">
        <f>'PS Enrollment'!D$16</f>
        <v>0</v>
      </c>
      <c r="F16" s="8" t="str">
        <f>IFERROR(('PS Enrollment'!$Y$16-'Comparison Population'!$E16), "")</f>
        <v/>
      </c>
      <c r="G16" s="8" t="str">
        <f>IFERROR(('PS Enrollment'!$Z$16-'Comparison Population'!$E$7), "")</f>
        <v/>
      </c>
      <c r="H16" s="8" t="str">
        <f>IFERROR(('PS Enrollment'!$AA$16-'Comparison Population'!$E$8), "")</f>
        <v/>
      </c>
      <c r="I16" s="8" t="str">
        <f>IFERROR(('PS Enrollment'!$AB$16-'Comparison Population'!$E$10), "")</f>
        <v/>
      </c>
      <c r="J16" s="8" t="str">
        <f>IFERROR(('PS Enrollment'!$AC$16-'Comparison Population'!$E$11), "")</f>
        <v/>
      </c>
      <c r="K16" s="8" t="str">
        <f>IFERROR(('PS Enrollment'!$AD$16-'Comparison Population'!$E$12), "")</f>
        <v/>
      </c>
      <c r="L16" s="8" t="str">
        <f>IFERROR(('PS Enrollment'!$AE$16-'Comparison Population'!$E$13), "")</f>
        <v/>
      </c>
      <c r="M16" s="8" t="str">
        <f>IFERROR(('PS Enrollment'!$AF$16-'Comparison Population'!$E$14), "")</f>
        <v/>
      </c>
      <c r="N16" s="8" t="str">
        <f>IFERROR(('PS Enrollment'!$AG$16-'Comparison Population'!$E$15), "")</f>
        <v/>
      </c>
      <c r="O16" s="8" t="str">
        <f>IFERROR(('PS Enrollment'!$AH$16-'Comparison Population'!$E$16), "")</f>
        <v/>
      </c>
      <c r="P16" s="8" t="str">
        <f>IFERROR(('PS Enrollment'!$AI$16-'Comparison Population'!$E$17), "")</f>
        <v/>
      </c>
      <c r="Q16" s="8" t="str">
        <f>IFERROR(('PS Enrollment'!$AJ$16-'Comparison Population'!$E$19), "")</f>
        <v/>
      </c>
      <c r="R16" s="8" t="str">
        <f>IFERROR(('PS Enrollment'!$AK$16-'Comparison Population'!$E$20), "")</f>
        <v/>
      </c>
      <c r="S16" s="8" t="str">
        <f>IFERROR(('PS Enrollment'!$AL$16-'Comparison Population'!$E$21), "")</f>
        <v/>
      </c>
      <c r="T16" s="8" t="str">
        <f>IFERROR(('PS Enrollment'!$AM$16-'Comparison Population'!$E$22), "")</f>
        <v/>
      </c>
      <c r="U16" s="8" t="str">
        <f>IFERROR(('PS Enrollment'!$AN$16-'Comparison Population'!$E$23), "")</f>
        <v/>
      </c>
      <c r="V16" s="8" t="str">
        <f>IFERROR(('PS Enrollment'!$AO$16-'Comparison Population'!$E$24), "")</f>
        <v/>
      </c>
      <c r="W16" s="8" t="str">
        <f>IFERROR(('PS Enrollment'!$AP$16-'Comparison Population'!$E$25), "")</f>
        <v/>
      </c>
      <c r="X16" s="8" t="str">
        <f>IFERROR(('PS Enrollment'!$AQ$16-'Comparison Population'!$E$26), "")</f>
        <v/>
      </c>
      <c r="Y16" s="8" t="str">
        <f>IFERROR(('PS Enrollment'!$AR$16-'Comparison Population'!$E$27), "")</f>
        <v/>
      </c>
    </row>
    <row r="17" spans="1:25" x14ac:dyDescent="0.25">
      <c r="A17" s="36">
        <f>'PS Enrollment'!$A$17</f>
        <v>0</v>
      </c>
      <c r="B17" s="36">
        <f>'PS Enrollment'!$B$17</f>
        <v>0</v>
      </c>
      <c r="C17" s="36">
        <f>'PS Enrollment'!$C$17</f>
        <v>0</v>
      </c>
      <c r="D17" s="8" t="str">
        <f>IFERROR('PS Enrollment'!$D$17/'PS Enrollment'!$D$108, "")</f>
        <v/>
      </c>
      <c r="E17" s="10">
        <f>'PS Enrollment'!D$17</f>
        <v>0</v>
      </c>
      <c r="F17" s="8" t="str">
        <f>IFERROR(('PS Enrollment'!$Y$17-'Comparison Population'!$E17), "")</f>
        <v/>
      </c>
      <c r="G17" s="8" t="str">
        <f>IFERROR(('PS Enrollment'!$Z$17-'Comparison Population'!$E$7), "")</f>
        <v/>
      </c>
      <c r="H17" s="8" t="str">
        <f>IFERROR(('PS Enrollment'!$AA$17-'Comparison Population'!$E$8), "")</f>
        <v/>
      </c>
      <c r="I17" s="8" t="str">
        <f>IFERROR(('PS Enrollment'!$AB$17-'Comparison Population'!$E$10), "")</f>
        <v/>
      </c>
      <c r="J17" s="8" t="str">
        <f>IFERROR(('PS Enrollment'!$AC$17-'Comparison Population'!$E$11), "")</f>
        <v/>
      </c>
      <c r="K17" s="8" t="str">
        <f>IFERROR(('PS Enrollment'!$AD$17-'Comparison Population'!$E$12), "")</f>
        <v/>
      </c>
      <c r="L17" s="8" t="str">
        <f>IFERROR(('PS Enrollment'!$AE$17-'Comparison Population'!$E$13), "")</f>
        <v/>
      </c>
      <c r="M17" s="8" t="str">
        <f>IFERROR(('PS Enrollment'!$AF$17-'Comparison Population'!$E$14), "")</f>
        <v/>
      </c>
      <c r="N17" s="8" t="str">
        <f>IFERROR(('PS Enrollment'!$AG$17-'Comparison Population'!$E$15), "")</f>
        <v/>
      </c>
      <c r="O17" s="8" t="str">
        <f>IFERROR(('PS Enrollment'!$AH$17-'Comparison Population'!$E$16), "")</f>
        <v/>
      </c>
      <c r="P17" s="8" t="str">
        <f>IFERROR(('PS Enrollment'!$AI$17-'Comparison Population'!$E$17), "")</f>
        <v/>
      </c>
      <c r="Q17" s="8" t="str">
        <f>IFERROR(('PS Enrollment'!$AJ$17-'Comparison Population'!$E$19), "")</f>
        <v/>
      </c>
      <c r="R17" s="8" t="str">
        <f>IFERROR(('PS Enrollment'!$AK$17-'Comparison Population'!$E$20), "")</f>
        <v/>
      </c>
      <c r="S17" s="8" t="str">
        <f>IFERROR(('PS Enrollment'!$AL$17-'Comparison Population'!$E$21), "")</f>
        <v/>
      </c>
      <c r="T17" s="8" t="str">
        <f>IFERROR(('PS Enrollment'!$AM$17-'Comparison Population'!$E$22), "")</f>
        <v/>
      </c>
      <c r="U17" s="8" t="str">
        <f>IFERROR(('PS Enrollment'!$AN$17-'Comparison Population'!$E$23), "")</f>
        <v/>
      </c>
      <c r="V17" s="8" t="str">
        <f>IFERROR(('PS Enrollment'!$AO$17-'Comparison Population'!$E$24), "")</f>
        <v/>
      </c>
      <c r="W17" s="8" t="str">
        <f>IFERROR(('PS Enrollment'!$AP$17-'Comparison Population'!$E$25), "")</f>
        <v/>
      </c>
      <c r="X17" s="8" t="str">
        <f>IFERROR(('PS Enrollment'!$AQ$17-'Comparison Population'!$E$26), "")</f>
        <v/>
      </c>
      <c r="Y17" s="8" t="str">
        <f>IFERROR(('PS Enrollment'!$AR$17-'Comparison Population'!$E$27), "")</f>
        <v/>
      </c>
    </row>
    <row r="18" spans="1:25" x14ac:dyDescent="0.25">
      <c r="A18" s="36">
        <f>'PS Enrollment'!$A$18</f>
        <v>0</v>
      </c>
      <c r="B18" s="36">
        <f>'PS Enrollment'!$B$18</f>
        <v>0</v>
      </c>
      <c r="C18" s="36">
        <f>'PS Enrollment'!$C$18</f>
        <v>0</v>
      </c>
      <c r="D18" s="8" t="str">
        <f>IFERROR('PS Enrollment'!$D$18/'PS Enrollment'!$D$108, "")</f>
        <v/>
      </c>
      <c r="E18" s="10">
        <f>'PS Enrollment'!D$18</f>
        <v>0</v>
      </c>
      <c r="F18" s="8" t="str">
        <f>IFERROR(('PS Enrollment'!$Y$18-'Comparison Population'!$E18), "")</f>
        <v/>
      </c>
      <c r="G18" s="8" t="str">
        <f>IFERROR(('PS Enrollment'!$Z$18-'Comparison Population'!$E$7), "")</f>
        <v/>
      </c>
      <c r="H18" s="8" t="str">
        <f>IFERROR(('PS Enrollment'!$AA$18-'Comparison Population'!$E$8), "")</f>
        <v/>
      </c>
      <c r="I18" s="8" t="str">
        <f>IFERROR(('PS Enrollment'!$AB$18-'Comparison Population'!$E$10), "")</f>
        <v/>
      </c>
      <c r="J18" s="8" t="str">
        <f>IFERROR(('PS Enrollment'!$AC$18-'Comparison Population'!$E$11), "")</f>
        <v/>
      </c>
      <c r="K18" s="8" t="str">
        <f>IFERROR(('PS Enrollment'!$AD$18-'Comparison Population'!$E$12), "")</f>
        <v/>
      </c>
      <c r="L18" s="8" t="str">
        <f>IFERROR(('PS Enrollment'!$AE$18-'Comparison Population'!$E$13), "")</f>
        <v/>
      </c>
      <c r="M18" s="8" t="str">
        <f>IFERROR(('PS Enrollment'!$AF$18-'Comparison Population'!$E$14), "")</f>
        <v/>
      </c>
      <c r="N18" s="8" t="str">
        <f>IFERROR(('PS Enrollment'!$AG$18-'Comparison Population'!$E$15), "")</f>
        <v/>
      </c>
      <c r="O18" s="8" t="str">
        <f>IFERROR(('PS Enrollment'!$AH$18-'Comparison Population'!$E$16), "")</f>
        <v/>
      </c>
      <c r="P18" s="8" t="str">
        <f>IFERROR(('PS Enrollment'!$AI$18-'Comparison Population'!$E$17), "")</f>
        <v/>
      </c>
      <c r="Q18" s="8" t="str">
        <f>IFERROR(('PS Enrollment'!$AJ$18-'Comparison Population'!$E$19), "")</f>
        <v/>
      </c>
      <c r="R18" s="8" t="str">
        <f>IFERROR(('PS Enrollment'!$AK$18-'Comparison Population'!$E$20), "")</f>
        <v/>
      </c>
      <c r="S18" s="8" t="str">
        <f>IFERROR(('PS Enrollment'!$AL$18-'Comparison Population'!$E$21), "")</f>
        <v/>
      </c>
      <c r="T18" s="8" t="str">
        <f>IFERROR(('PS Enrollment'!$AM$18-'Comparison Population'!$E$22), "")</f>
        <v/>
      </c>
      <c r="U18" s="8" t="str">
        <f>IFERROR(('PS Enrollment'!$AN$18-'Comparison Population'!$E$23), "")</f>
        <v/>
      </c>
      <c r="V18" s="8" t="str">
        <f>IFERROR(('PS Enrollment'!$AO$18-'Comparison Population'!$E$24), "")</f>
        <v/>
      </c>
      <c r="W18" s="8" t="str">
        <f>IFERROR(('PS Enrollment'!$AP$18-'Comparison Population'!$E$25), "")</f>
        <v/>
      </c>
      <c r="X18" s="8" t="str">
        <f>IFERROR(('PS Enrollment'!$AQ$18-'Comparison Population'!$E$26), "")</f>
        <v/>
      </c>
      <c r="Y18" s="8" t="str">
        <f>IFERROR(('PS Enrollment'!$AR$18-'Comparison Population'!$E$27), "")</f>
        <v/>
      </c>
    </row>
    <row r="19" spans="1:25" x14ac:dyDescent="0.25">
      <c r="A19" s="36">
        <f>'PS Enrollment'!$A$19</f>
        <v>0</v>
      </c>
      <c r="B19" s="36">
        <f>'PS Enrollment'!$B$19</f>
        <v>0</v>
      </c>
      <c r="C19" s="36">
        <f>'PS Enrollment'!$C$19</f>
        <v>0</v>
      </c>
      <c r="D19" s="8" t="str">
        <f>IFERROR('PS Enrollment'!$D$19/'PS Enrollment'!$D$108, "")</f>
        <v/>
      </c>
      <c r="E19" s="10">
        <f>'PS Enrollment'!D$19</f>
        <v>0</v>
      </c>
      <c r="F19" s="8" t="str">
        <f>IFERROR(('PS Enrollment'!$Y$19-'Comparison Population'!$E19), "")</f>
        <v/>
      </c>
      <c r="G19" s="8" t="str">
        <f>IFERROR(('PS Enrollment'!$Z$19-'Comparison Population'!$E$7), "")</f>
        <v/>
      </c>
      <c r="H19" s="8" t="str">
        <f>IFERROR(('PS Enrollment'!$AA$19-'Comparison Population'!$E$8), "")</f>
        <v/>
      </c>
      <c r="I19" s="8" t="str">
        <f>IFERROR(('PS Enrollment'!$AB$19-'Comparison Population'!$E$10), "")</f>
        <v/>
      </c>
      <c r="J19" s="8" t="str">
        <f>IFERROR(('PS Enrollment'!$AC$19-'Comparison Population'!$E$11), "")</f>
        <v/>
      </c>
      <c r="K19" s="8" t="str">
        <f>IFERROR(('PS Enrollment'!$AD$19-'Comparison Population'!$E$12), "")</f>
        <v/>
      </c>
      <c r="L19" s="8" t="str">
        <f>IFERROR(('PS Enrollment'!$AE$19-'Comparison Population'!$E$13), "")</f>
        <v/>
      </c>
      <c r="M19" s="8" t="str">
        <f>IFERROR(('PS Enrollment'!$AF$19-'Comparison Population'!$E$14), "")</f>
        <v/>
      </c>
      <c r="N19" s="8" t="str">
        <f>IFERROR(('PS Enrollment'!$AG$19-'Comparison Population'!$E$15), "")</f>
        <v/>
      </c>
      <c r="O19" s="8" t="str">
        <f>IFERROR(('PS Enrollment'!$AH$19-'Comparison Population'!$E$16), "")</f>
        <v/>
      </c>
      <c r="P19" s="8" t="str">
        <f>IFERROR(('PS Enrollment'!$AI$19-'Comparison Population'!$E$17), "")</f>
        <v/>
      </c>
      <c r="Q19" s="8" t="str">
        <f>IFERROR(('PS Enrollment'!$AJ$19-'Comparison Population'!$E$19), "")</f>
        <v/>
      </c>
      <c r="R19" s="8" t="str">
        <f>IFERROR(('PS Enrollment'!$AK$19-'Comparison Population'!$E$20), "")</f>
        <v/>
      </c>
      <c r="S19" s="8" t="str">
        <f>IFERROR(('PS Enrollment'!$AL$19-'Comparison Population'!$E$21), "")</f>
        <v/>
      </c>
      <c r="T19" s="8" t="str">
        <f>IFERROR(('PS Enrollment'!$AM$19-'Comparison Population'!$E$22), "")</f>
        <v/>
      </c>
      <c r="U19" s="8" t="str">
        <f>IFERROR(('PS Enrollment'!$AN$19-'Comparison Population'!$E$23), "")</f>
        <v/>
      </c>
      <c r="V19" s="8" t="str">
        <f>IFERROR(('PS Enrollment'!$AO$19-'Comparison Population'!$E$24), "")</f>
        <v/>
      </c>
      <c r="W19" s="8" t="str">
        <f>IFERROR(('PS Enrollment'!$AP$19-'Comparison Population'!$E$25), "")</f>
        <v/>
      </c>
      <c r="X19" s="8" t="str">
        <f>IFERROR(('PS Enrollment'!$AQ$19-'Comparison Population'!$E$26), "")</f>
        <v/>
      </c>
      <c r="Y19" s="8" t="str">
        <f>IFERROR(('PS Enrollment'!$AR$19-'Comparison Population'!$E$27), "")</f>
        <v/>
      </c>
    </row>
    <row r="20" spans="1:25" x14ac:dyDescent="0.25">
      <c r="A20" s="36">
        <f>'PS Enrollment'!$A$20</f>
        <v>0</v>
      </c>
      <c r="B20" s="36">
        <f>'PS Enrollment'!$B$20</f>
        <v>0</v>
      </c>
      <c r="C20" s="36">
        <f>'PS Enrollment'!$C$20</f>
        <v>0</v>
      </c>
      <c r="D20" s="8" t="str">
        <f>IFERROR('PS Enrollment'!$D$20/'PS Enrollment'!$D$108, "")</f>
        <v/>
      </c>
      <c r="E20" s="10">
        <f>'PS Enrollment'!D$20</f>
        <v>0</v>
      </c>
      <c r="F20" s="8" t="str">
        <f>IFERROR(('PS Enrollment'!$Y$20-'Comparison Population'!$E20), "")</f>
        <v/>
      </c>
      <c r="G20" s="8" t="str">
        <f>IFERROR(('PS Enrollment'!$Z$20-'Comparison Population'!$E$7), "")</f>
        <v/>
      </c>
      <c r="H20" s="8" t="str">
        <f>IFERROR(('PS Enrollment'!$AA$20-'Comparison Population'!$E$8), "")</f>
        <v/>
      </c>
      <c r="I20" s="8" t="str">
        <f>IFERROR(('PS Enrollment'!$AB$20-'Comparison Population'!$E$10), "")</f>
        <v/>
      </c>
      <c r="J20" s="8" t="str">
        <f>IFERROR(('PS Enrollment'!$AC$20-'Comparison Population'!$E$11), "")</f>
        <v/>
      </c>
      <c r="K20" s="8" t="str">
        <f>IFERROR(('PS Enrollment'!$AD$20-'Comparison Population'!$E$12), "")</f>
        <v/>
      </c>
      <c r="L20" s="8" t="str">
        <f>IFERROR(('PS Enrollment'!$AE$20-'Comparison Population'!$E$13), "")</f>
        <v/>
      </c>
      <c r="M20" s="8" t="str">
        <f>IFERROR(('PS Enrollment'!$AF$20-'Comparison Population'!$E$14), "")</f>
        <v/>
      </c>
      <c r="N20" s="8" t="str">
        <f>IFERROR(('PS Enrollment'!$AG$20-'Comparison Population'!$E$15), "")</f>
        <v/>
      </c>
      <c r="O20" s="8" t="str">
        <f>IFERROR(('PS Enrollment'!$AH$20-'Comparison Population'!$E$16), "")</f>
        <v/>
      </c>
      <c r="P20" s="8" t="str">
        <f>IFERROR(('PS Enrollment'!$AI$20-'Comparison Population'!$E$17), "")</f>
        <v/>
      </c>
      <c r="Q20" s="8" t="str">
        <f>IFERROR(('PS Enrollment'!$AJ$20-'Comparison Population'!$E$19), "")</f>
        <v/>
      </c>
      <c r="R20" s="8" t="str">
        <f>IFERROR(('PS Enrollment'!$AK$20-'Comparison Population'!$E$20), "")</f>
        <v/>
      </c>
      <c r="S20" s="8" t="str">
        <f>IFERROR(('PS Enrollment'!$AL$20-'Comparison Population'!$E$21), "")</f>
        <v/>
      </c>
      <c r="T20" s="8" t="str">
        <f>IFERROR(('PS Enrollment'!$AM$20-'Comparison Population'!$E$22), "")</f>
        <v/>
      </c>
      <c r="U20" s="8" t="str">
        <f>IFERROR(('PS Enrollment'!$AN$20-'Comparison Population'!$E$23), "")</f>
        <v/>
      </c>
      <c r="V20" s="8" t="str">
        <f>IFERROR(('PS Enrollment'!$AO$20-'Comparison Population'!$E$24), "")</f>
        <v/>
      </c>
      <c r="W20" s="8" t="str">
        <f>IFERROR(('PS Enrollment'!$AP$20-'Comparison Population'!$E$25), "")</f>
        <v/>
      </c>
      <c r="X20" s="8" t="str">
        <f>IFERROR(('PS Enrollment'!$AQ$20-'Comparison Population'!$E$26), "")</f>
        <v/>
      </c>
      <c r="Y20" s="8" t="str">
        <f>IFERROR(('PS Enrollment'!$AR$20-'Comparison Population'!$E$27), "")</f>
        <v/>
      </c>
    </row>
    <row r="21" spans="1:25" x14ac:dyDescent="0.25">
      <c r="A21" s="36">
        <f>'PS Enrollment'!$A$21</f>
        <v>0</v>
      </c>
      <c r="B21" s="36">
        <f>'PS Enrollment'!$B$21</f>
        <v>0</v>
      </c>
      <c r="C21" s="36">
        <f>'PS Enrollment'!$C$21</f>
        <v>0</v>
      </c>
      <c r="D21" s="8" t="str">
        <f>IFERROR('PS Enrollment'!$D$21/'PS Enrollment'!$D$108, "")</f>
        <v/>
      </c>
      <c r="E21" s="10">
        <f>'PS Enrollment'!D$21</f>
        <v>0</v>
      </c>
      <c r="F21" s="8" t="str">
        <f>IFERROR(('PS Enrollment'!$Y$21-'Comparison Population'!$E21), "")</f>
        <v/>
      </c>
      <c r="G21" s="8" t="str">
        <f>IFERROR(('PS Enrollment'!$Z$21-'Comparison Population'!$E$7), "")</f>
        <v/>
      </c>
      <c r="H21" s="8" t="str">
        <f>IFERROR(('PS Enrollment'!$AA$21-'Comparison Population'!$E$8), "")</f>
        <v/>
      </c>
      <c r="I21" s="8" t="str">
        <f>IFERROR(('PS Enrollment'!$AB$21-'Comparison Population'!$E$10), "")</f>
        <v/>
      </c>
      <c r="J21" s="8" t="str">
        <f>IFERROR(('PS Enrollment'!$AC$21-'Comparison Population'!$E$11), "")</f>
        <v/>
      </c>
      <c r="K21" s="8" t="str">
        <f>IFERROR(('PS Enrollment'!$AD$21-'Comparison Population'!$E$12), "")</f>
        <v/>
      </c>
      <c r="L21" s="8" t="str">
        <f>IFERROR(('PS Enrollment'!$AE$21-'Comparison Population'!$E$13), "")</f>
        <v/>
      </c>
      <c r="M21" s="8" t="str">
        <f>IFERROR(('PS Enrollment'!$AF$21-'Comparison Population'!$E$14), "")</f>
        <v/>
      </c>
      <c r="N21" s="8" t="str">
        <f>IFERROR(('PS Enrollment'!$AG$21-'Comparison Population'!$E$15), "")</f>
        <v/>
      </c>
      <c r="O21" s="8" t="str">
        <f>IFERROR(('PS Enrollment'!$AH$21-'Comparison Population'!$E$16), "")</f>
        <v/>
      </c>
      <c r="P21" s="8" t="str">
        <f>IFERROR(('PS Enrollment'!$AI$21-'Comparison Population'!$E$17), "")</f>
        <v/>
      </c>
      <c r="Q21" s="8" t="str">
        <f>IFERROR(('PS Enrollment'!$AJ$21-'Comparison Population'!$E$19), "")</f>
        <v/>
      </c>
      <c r="R21" s="8" t="str">
        <f>IFERROR(('PS Enrollment'!$AK$21-'Comparison Population'!$E$20), "")</f>
        <v/>
      </c>
      <c r="S21" s="8" t="str">
        <f>IFERROR(('PS Enrollment'!$AL$21-'Comparison Population'!$E$21), "")</f>
        <v/>
      </c>
      <c r="T21" s="8" t="str">
        <f>IFERROR(('PS Enrollment'!$AM$21-'Comparison Population'!$E$22), "")</f>
        <v/>
      </c>
      <c r="U21" s="8" t="str">
        <f>IFERROR(('PS Enrollment'!$AN$21-'Comparison Population'!$E$23), "")</f>
        <v/>
      </c>
      <c r="V21" s="8" t="str">
        <f>IFERROR(('PS Enrollment'!$AO$21-'Comparison Population'!$E$24), "")</f>
        <v/>
      </c>
      <c r="W21" s="8" t="str">
        <f>IFERROR(('PS Enrollment'!$AP$21-'Comparison Population'!$E$25), "")</f>
        <v/>
      </c>
      <c r="X21" s="8" t="str">
        <f>IFERROR(('PS Enrollment'!$AQ$21-'Comparison Population'!$E$26), "")</f>
        <v/>
      </c>
      <c r="Y21" s="8" t="str">
        <f>IFERROR(('PS Enrollment'!$AR$21-'Comparison Population'!$E$27), "")</f>
        <v/>
      </c>
    </row>
    <row r="22" spans="1:25" x14ac:dyDescent="0.25">
      <c r="A22" s="36">
        <f>'PS Enrollment'!$A$22</f>
        <v>0</v>
      </c>
      <c r="B22" s="36">
        <f>'PS Enrollment'!$B$22</f>
        <v>0</v>
      </c>
      <c r="C22" s="36">
        <f>'PS Enrollment'!$C$22</f>
        <v>0</v>
      </c>
      <c r="D22" s="8" t="str">
        <f>IFERROR('PS Enrollment'!$D$22/'PS Enrollment'!$D$108, "")</f>
        <v/>
      </c>
      <c r="E22" s="10">
        <f>'PS Enrollment'!D$22</f>
        <v>0</v>
      </c>
      <c r="F22" s="8" t="str">
        <f>IFERROR(('PS Enrollment'!$Y$22-'Comparison Population'!$E22), "")</f>
        <v/>
      </c>
      <c r="G22" s="8" t="str">
        <f>IFERROR(('PS Enrollment'!$Z$22-'Comparison Population'!$E$7), "")</f>
        <v/>
      </c>
      <c r="H22" s="8" t="str">
        <f>IFERROR(('PS Enrollment'!$AA$22-'Comparison Population'!$E$8), "")</f>
        <v/>
      </c>
      <c r="I22" s="8" t="str">
        <f>IFERROR(('PS Enrollment'!$AB$22-'Comparison Population'!$E$10), "")</f>
        <v/>
      </c>
      <c r="J22" s="8" t="str">
        <f>IFERROR(('PS Enrollment'!$AC$22-'Comparison Population'!$E$11), "")</f>
        <v/>
      </c>
      <c r="K22" s="8" t="str">
        <f>IFERROR(('PS Enrollment'!$AD$22-'Comparison Population'!$E$12), "")</f>
        <v/>
      </c>
      <c r="L22" s="8" t="str">
        <f>IFERROR(('PS Enrollment'!$AE$22-'Comparison Population'!$E$13), "")</f>
        <v/>
      </c>
      <c r="M22" s="8" t="str">
        <f>IFERROR(('PS Enrollment'!$AF$22-'Comparison Population'!$E$14), "")</f>
        <v/>
      </c>
      <c r="N22" s="8" t="str">
        <f>IFERROR(('PS Enrollment'!$AG$22-'Comparison Population'!$E$15), "")</f>
        <v/>
      </c>
      <c r="O22" s="8" t="str">
        <f>IFERROR(('PS Enrollment'!$AH$22-'Comparison Population'!$E$16), "")</f>
        <v/>
      </c>
      <c r="P22" s="8" t="str">
        <f>IFERROR(('PS Enrollment'!$AI$22-'Comparison Population'!$E$17), "")</f>
        <v/>
      </c>
      <c r="Q22" s="8" t="str">
        <f>IFERROR(('PS Enrollment'!$AJ$22-'Comparison Population'!$E$19), "")</f>
        <v/>
      </c>
      <c r="R22" s="8" t="str">
        <f>IFERROR(('PS Enrollment'!$AK$22-'Comparison Population'!$E$20), "")</f>
        <v/>
      </c>
      <c r="S22" s="8" t="str">
        <f>IFERROR(('PS Enrollment'!$AL$22-'Comparison Population'!$E$21), "")</f>
        <v/>
      </c>
      <c r="T22" s="8" t="str">
        <f>IFERROR(('PS Enrollment'!$AM$22-'Comparison Population'!$E$22), "")</f>
        <v/>
      </c>
      <c r="U22" s="8" t="str">
        <f>IFERROR(('PS Enrollment'!$AN$22-'Comparison Population'!$E$23), "")</f>
        <v/>
      </c>
      <c r="V22" s="8" t="str">
        <f>IFERROR(('PS Enrollment'!$AO$22-'Comparison Population'!$E$24), "")</f>
        <v/>
      </c>
      <c r="W22" s="8" t="str">
        <f>IFERROR(('PS Enrollment'!$AP$22-'Comparison Population'!$E$25), "")</f>
        <v/>
      </c>
      <c r="X22" s="8" t="str">
        <f>IFERROR(('PS Enrollment'!$AQ$22-'Comparison Population'!$E$26), "")</f>
        <v/>
      </c>
      <c r="Y22" s="8" t="str">
        <f>IFERROR(('PS Enrollment'!$AR$22-'Comparison Population'!$E$27), "")</f>
        <v/>
      </c>
    </row>
    <row r="23" spans="1:25" x14ac:dyDescent="0.25">
      <c r="A23" s="36">
        <f>'PS Enrollment'!$A$23</f>
        <v>0</v>
      </c>
      <c r="B23" s="36">
        <f>'PS Enrollment'!$B$23</f>
        <v>0</v>
      </c>
      <c r="C23" s="36">
        <f>'PS Enrollment'!$C$23</f>
        <v>0</v>
      </c>
      <c r="D23" s="8" t="str">
        <f>IFERROR('PS Enrollment'!$D$23/'PS Enrollment'!$D$108, "")</f>
        <v/>
      </c>
      <c r="E23" s="10">
        <f>'PS Enrollment'!D$23</f>
        <v>0</v>
      </c>
      <c r="F23" s="8" t="str">
        <f>IFERROR(('PS Enrollment'!$Y$23-'Comparison Population'!$E23), "")</f>
        <v/>
      </c>
      <c r="G23" s="8" t="str">
        <f>IFERROR(('PS Enrollment'!$Z$23-'Comparison Population'!$E$7), "")</f>
        <v/>
      </c>
      <c r="H23" s="8" t="str">
        <f>IFERROR(('PS Enrollment'!$AA$23-'Comparison Population'!$E$8), "")</f>
        <v/>
      </c>
      <c r="I23" s="8" t="str">
        <f>IFERROR(('PS Enrollment'!$AB$23-'Comparison Population'!$E$10), "")</f>
        <v/>
      </c>
      <c r="J23" s="8" t="str">
        <f>IFERROR(('PS Enrollment'!$AC$23-'Comparison Population'!$E$11), "")</f>
        <v/>
      </c>
      <c r="K23" s="8" t="str">
        <f>IFERROR(('PS Enrollment'!$AD$23-'Comparison Population'!$E$12), "")</f>
        <v/>
      </c>
      <c r="L23" s="8" t="str">
        <f>IFERROR(('PS Enrollment'!$AE$23-'Comparison Population'!$E$13), "")</f>
        <v/>
      </c>
      <c r="M23" s="8" t="str">
        <f>IFERROR(('PS Enrollment'!$AF$23-'Comparison Population'!$E$14), "")</f>
        <v/>
      </c>
      <c r="N23" s="8" t="str">
        <f>IFERROR(('PS Enrollment'!$AG$23-'Comparison Population'!$E$15), "")</f>
        <v/>
      </c>
      <c r="O23" s="8" t="str">
        <f>IFERROR(('PS Enrollment'!$AH$23-'Comparison Population'!$E$16), "")</f>
        <v/>
      </c>
      <c r="P23" s="8" t="str">
        <f>IFERROR(('PS Enrollment'!$AI$23-'Comparison Population'!$E$17), "")</f>
        <v/>
      </c>
      <c r="Q23" s="8" t="str">
        <f>IFERROR(('PS Enrollment'!$AJ$23-'Comparison Population'!$E$19), "")</f>
        <v/>
      </c>
      <c r="R23" s="8" t="str">
        <f>IFERROR(('PS Enrollment'!$AK$23-'Comparison Population'!$E$20), "")</f>
        <v/>
      </c>
      <c r="S23" s="8" t="str">
        <f>IFERROR(('PS Enrollment'!$AL$23-'Comparison Population'!$E$21), "")</f>
        <v/>
      </c>
      <c r="T23" s="8" t="str">
        <f>IFERROR(('PS Enrollment'!$AM$23-'Comparison Population'!$E$22), "")</f>
        <v/>
      </c>
      <c r="U23" s="8" t="str">
        <f>IFERROR(('PS Enrollment'!$AN$23-'Comparison Population'!$E$23), "")</f>
        <v/>
      </c>
      <c r="V23" s="8" t="str">
        <f>IFERROR(('PS Enrollment'!$AO$23-'Comparison Population'!$E$24), "")</f>
        <v/>
      </c>
      <c r="W23" s="8" t="str">
        <f>IFERROR(('PS Enrollment'!$AP$23-'Comparison Population'!$E$25), "")</f>
        <v/>
      </c>
      <c r="X23" s="8" t="str">
        <f>IFERROR(('PS Enrollment'!$AQ$23-'Comparison Population'!$E$26), "")</f>
        <v/>
      </c>
      <c r="Y23" s="8" t="str">
        <f>IFERROR(('PS Enrollment'!$AR$23-'Comparison Population'!$E$27), "")</f>
        <v/>
      </c>
    </row>
    <row r="24" spans="1:25" x14ac:dyDescent="0.25">
      <c r="A24" s="36">
        <f>'PS Enrollment'!$A$24</f>
        <v>0</v>
      </c>
      <c r="B24" s="36">
        <f>'PS Enrollment'!$B$24</f>
        <v>0</v>
      </c>
      <c r="C24" s="36">
        <f>'PS Enrollment'!$C$24</f>
        <v>0</v>
      </c>
      <c r="D24" s="8" t="str">
        <f>IFERROR('PS Enrollment'!$D$24/'PS Enrollment'!$D$108, "")</f>
        <v/>
      </c>
      <c r="E24" s="10">
        <f>'PS Enrollment'!D$24</f>
        <v>0</v>
      </c>
      <c r="F24" s="8" t="str">
        <f>IFERROR(('PS Enrollment'!$Y$24-'Comparison Population'!$E24), "")</f>
        <v/>
      </c>
      <c r="G24" s="8" t="str">
        <f>IFERROR(('PS Enrollment'!$Z$24-'Comparison Population'!$E$7), "")</f>
        <v/>
      </c>
      <c r="H24" s="8" t="str">
        <f>IFERROR(('PS Enrollment'!$AA$24-'Comparison Population'!$E$8), "")</f>
        <v/>
      </c>
      <c r="I24" s="8" t="str">
        <f>IFERROR(('PS Enrollment'!$AB$24-'Comparison Population'!$E$10), "")</f>
        <v/>
      </c>
      <c r="J24" s="8" t="str">
        <f>IFERROR(('PS Enrollment'!$AC$24-'Comparison Population'!$E$11), "")</f>
        <v/>
      </c>
      <c r="K24" s="8" t="str">
        <f>IFERROR(('PS Enrollment'!$AD$24-'Comparison Population'!$E$12), "")</f>
        <v/>
      </c>
      <c r="L24" s="8" t="str">
        <f>IFERROR(('PS Enrollment'!$AE$24-'Comparison Population'!$E$13), "")</f>
        <v/>
      </c>
      <c r="M24" s="8" t="str">
        <f>IFERROR(('PS Enrollment'!$AF$24-'Comparison Population'!$E$14), "")</f>
        <v/>
      </c>
      <c r="N24" s="8" t="str">
        <f>IFERROR(('PS Enrollment'!$AG$24-'Comparison Population'!$E$15), "")</f>
        <v/>
      </c>
      <c r="O24" s="8" t="str">
        <f>IFERROR(('PS Enrollment'!$AH$24-'Comparison Population'!$E$16), "")</f>
        <v/>
      </c>
      <c r="P24" s="8" t="str">
        <f>IFERROR(('PS Enrollment'!$AI$24-'Comparison Population'!$E$17), "")</f>
        <v/>
      </c>
      <c r="Q24" s="8" t="str">
        <f>IFERROR(('PS Enrollment'!$AJ$24-'Comparison Population'!$E$19), "")</f>
        <v/>
      </c>
      <c r="R24" s="8" t="str">
        <f>IFERROR(('PS Enrollment'!$AK$24-'Comparison Population'!$E$20), "")</f>
        <v/>
      </c>
      <c r="S24" s="8" t="str">
        <f>IFERROR(('PS Enrollment'!$AL$24-'Comparison Population'!$E$21), "")</f>
        <v/>
      </c>
      <c r="T24" s="8" t="str">
        <f>IFERROR(('PS Enrollment'!$AM$24-'Comparison Population'!$E$22), "")</f>
        <v/>
      </c>
      <c r="U24" s="8" t="str">
        <f>IFERROR(('PS Enrollment'!$AN$24-'Comparison Population'!$E$23), "")</f>
        <v/>
      </c>
      <c r="V24" s="8" t="str">
        <f>IFERROR(('PS Enrollment'!$AO$24-'Comparison Population'!$E$24), "")</f>
        <v/>
      </c>
      <c r="W24" s="8" t="str">
        <f>IFERROR(('PS Enrollment'!$AP$24-'Comparison Population'!$E$25), "")</f>
        <v/>
      </c>
      <c r="X24" s="8" t="str">
        <f>IFERROR(('PS Enrollment'!$AQ$24-'Comparison Population'!$E$26), "")</f>
        <v/>
      </c>
      <c r="Y24" s="8" t="str">
        <f>IFERROR(('PS Enrollment'!$AR$24-'Comparison Population'!$E$27), "")</f>
        <v/>
      </c>
    </row>
    <row r="25" spans="1:25" x14ac:dyDescent="0.25">
      <c r="A25" s="36">
        <f>'PS Enrollment'!$A$25</f>
        <v>0</v>
      </c>
      <c r="B25" s="36">
        <f>'PS Enrollment'!$B$25</f>
        <v>0</v>
      </c>
      <c r="C25" s="36">
        <f>'PS Enrollment'!$C$25</f>
        <v>0</v>
      </c>
      <c r="D25" s="8" t="str">
        <f>IFERROR('PS Enrollment'!$D$25/'PS Enrollment'!$D$108, "")</f>
        <v/>
      </c>
      <c r="E25" s="10">
        <f>'PS Enrollment'!D$25</f>
        <v>0</v>
      </c>
      <c r="F25" s="8" t="str">
        <f>IFERROR(('PS Enrollment'!$Y$25-'Comparison Population'!$E25), "")</f>
        <v/>
      </c>
      <c r="G25" s="8" t="str">
        <f>IFERROR(('PS Enrollment'!$Z$25-'Comparison Population'!$E$7), "")</f>
        <v/>
      </c>
      <c r="H25" s="8" t="str">
        <f>IFERROR(('PS Enrollment'!$AA$25-'Comparison Population'!$E$8), "")</f>
        <v/>
      </c>
      <c r="I25" s="8" t="str">
        <f>IFERROR(('PS Enrollment'!$AB$25-'Comparison Population'!$E$10), "")</f>
        <v/>
      </c>
      <c r="J25" s="8" t="str">
        <f>IFERROR(('PS Enrollment'!$AC$25-'Comparison Population'!$E$11), "")</f>
        <v/>
      </c>
      <c r="K25" s="8" t="str">
        <f>IFERROR(('PS Enrollment'!$AD$25-'Comparison Population'!$E$12), "")</f>
        <v/>
      </c>
      <c r="L25" s="8" t="str">
        <f>IFERROR(('PS Enrollment'!$AE$25-'Comparison Population'!$E$13), "")</f>
        <v/>
      </c>
      <c r="M25" s="8" t="str">
        <f>IFERROR(('PS Enrollment'!$AF$25-'Comparison Population'!$E$14), "")</f>
        <v/>
      </c>
      <c r="N25" s="8" t="str">
        <f>IFERROR(('PS Enrollment'!$AG$25-'Comparison Population'!$E$15), "")</f>
        <v/>
      </c>
      <c r="O25" s="8" t="str">
        <f>IFERROR(('PS Enrollment'!$AH$25-'Comparison Population'!$E$16), "")</f>
        <v/>
      </c>
      <c r="P25" s="8" t="str">
        <f>IFERROR(('PS Enrollment'!$AI$25-'Comparison Population'!$E$17), "")</f>
        <v/>
      </c>
      <c r="Q25" s="8" t="str">
        <f>IFERROR(('PS Enrollment'!$AJ$25-'Comparison Population'!$E$19), "")</f>
        <v/>
      </c>
      <c r="R25" s="8" t="str">
        <f>IFERROR(('PS Enrollment'!$AK$25-'Comparison Population'!$E$20), "")</f>
        <v/>
      </c>
      <c r="S25" s="8" t="str">
        <f>IFERROR(('PS Enrollment'!$AL$25-'Comparison Population'!$E$21), "")</f>
        <v/>
      </c>
      <c r="T25" s="8" t="str">
        <f>IFERROR(('PS Enrollment'!$AM$25-'Comparison Population'!$E$22), "")</f>
        <v/>
      </c>
      <c r="U25" s="8" t="str">
        <f>IFERROR(('PS Enrollment'!$AN$25-'Comparison Population'!$E$23), "")</f>
        <v/>
      </c>
      <c r="V25" s="8" t="str">
        <f>IFERROR(('PS Enrollment'!$AO$25-'Comparison Population'!$E$24), "")</f>
        <v/>
      </c>
      <c r="W25" s="8" t="str">
        <f>IFERROR(('PS Enrollment'!$AP$25-'Comparison Population'!$E$25), "")</f>
        <v/>
      </c>
      <c r="X25" s="8" t="str">
        <f>IFERROR(('PS Enrollment'!$AQ$25-'Comparison Population'!$E$26), "")</f>
        <v/>
      </c>
      <c r="Y25" s="8" t="str">
        <f>IFERROR(('PS Enrollment'!$AR$25-'Comparison Population'!$E$27), "")</f>
        <v/>
      </c>
    </row>
    <row r="26" spans="1:25" x14ac:dyDescent="0.25">
      <c r="A26" s="36">
        <f>'PS Enrollment'!$A$26</f>
        <v>0</v>
      </c>
      <c r="B26" s="36">
        <f>'PS Enrollment'!$B$26</f>
        <v>0</v>
      </c>
      <c r="C26" s="36">
        <f>'PS Enrollment'!$C$26</f>
        <v>0</v>
      </c>
      <c r="D26" s="8" t="str">
        <f>IFERROR('PS Enrollment'!$D$26/'PS Enrollment'!$D$108, "")</f>
        <v/>
      </c>
      <c r="E26" s="10">
        <f>'PS Enrollment'!D$26</f>
        <v>0</v>
      </c>
      <c r="F26" s="8" t="str">
        <f>IFERROR(('PS Enrollment'!$Y$26-'Comparison Population'!$E26), "")</f>
        <v/>
      </c>
      <c r="G26" s="8" t="str">
        <f>IFERROR(('PS Enrollment'!$Z$26-'Comparison Population'!$E$7), "")</f>
        <v/>
      </c>
      <c r="H26" s="8" t="str">
        <f>IFERROR(('PS Enrollment'!$AA$26-'Comparison Population'!$E$8), "")</f>
        <v/>
      </c>
      <c r="I26" s="8" t="str">
        <f>IFERROR(('PS Enrollment'!$AB$26-'Comparison Population'!$E$10), "")</f>
        <v/>
      </c>
      <c r="J26" s="8" t="str">
        <f>IFERROR(('PS Enrollment'!$AC$26-'Comparison Population'!$E$11), "")</f>
        <v/>
      </c>
      <c r="K26" s="8" t="str">
        <f>IFERROR(('PS Enrollment'!$AD$26-'Comparison Population'!$E$12), "")</f>
        <v/>
      </c>
      <c r="L26" s="8" t="str">
        <f>IFERROR(('PS Enrollment'!$AE$26-'Comparison Population'!$E$13), "")</f>
        <v/>
      </c>
      <c r="M26" s="8" t="str">
        <f>IFERROR(('PS Enrollment'!$AF$26-'Comparison Population'!$E$14), "")</f>
        <v/>
      </c>
      <c r="N26" s="8" t="str">
        <f>IFERROR(('PS Enrollment'!$AG$26-'Comparison Population'!$E$15), "")</f>
        <v/>
      </c>
      <c r="O26" s="8" t="str">
        <f>IFERROR(('PS Enrollment'!$AH$26-'Comparison Population'!$E$16), "")</f>
        <v/>
      </c>
      <c r="P26" s="8" t="str">
        <f>IFERROR(('PS Enrollment'!$AI$26-'Comparison Population'!$E$17), "")</f>
        <v/>
      </c>
      <c r="Q26" s="8" t="str">
        <f>IFERROR(('PS Enrollment'!$AJ$26-'Comparison Population'!$E$19), "")</f>
        <v/>
      </c>
      <c r="R26" s="8" t="str">
        <f>IFERROR(('PS Enrollment'!$AK$26-'Comparison Population'!$E$20), "")</f>
        <v/>
      </c>
      <c r="S26" s="8" t="str">
        <f>IFERROR(('PS Enrollment'!$AL$26-'Comparison Population'!$E$21), "")</f>
        <v/>
      </c>
      <c r="T26" s="8" t="str">
        <f>IFERROR(('PS Enrollment'!$AM$26-'Comparison Population'!$E$22), "")</f>
        <v/>
      </c>
      <c r="U26" s="8" t="str">
        <f>IFERROR(('PS Enrollment'!$AN$26-'Comparison Population'!$E$23), "")</f>
        <v/>
      </c>
      <c r="V26" s="8" t="str">
        <f>IFERROR(('PS Enrollment'!$AO$26-'Comparison Population'!$E$24), "")</f>
        <v/>
      </c>
      <c r="W26" s="8" t="str">
        <f>IFERROR(('PS Enrollment'!$AP$26-'Comparison Population'!$E$25), "")</f>
        <v/>
      </c>
      <c r="X26" s="8" t="str">
        <f>IFERROR(('PS Enrollment'!$AQ$26-'Comparison Population'!$E$26), "")</f>
        <v/>
      </c>
      <c r="Y26" s="8" t="str">
        <f>IFERROR(('PS Enrollment'!$AR$26-'Comparison Population'!$E$27), "")</f>
        <v/>
      </c>
    </row>
    <row r="27" spans="1:25" x14ac:dyDescent="0.25">
      <c r="A27" s="36">
        <f>'PS Enrollment'!$A$27</f>
        <v>0</v>
      </c>
      <c r="B27" s="36">
        <f>'PS Enrollment'!$B$27</f>
        <v>0</v>
      </c>
      <c r="C27" s="36">
        <f>'PS Enrollment'!$C$27</f>
        <v>0</v>
      </c>
      <c r="D27" s="8" t="str">
        <f>IFERROR('PS Enrollment'!$D$27/'PS Enrollment'!$D$108, "")</f>
        <v/>
      </c>
      <c r="E27" s="10">
        <f>'PS Enrollment'!D$27</f>
        <v>0</v>
      </c>
      <c r="F27" s="8" t="str">
        <f>IFERROR(('PS Enrollment'!$Y$27-'Comparison Population'!$E27), "")</f>
        <v/>
      </c>
      <c r="G27" s="8" t="str">
        <f>IFERROR(('PS Enrollment'!$Z$27-'Comparison Population'!$E$7), "")</f>
        <v/>
      </c>
      <c r="H27" s="8" t="str">
        <f>IFERROR(('PS Enrollment'!$AA$27-'Comparison Population'!$E$8), "")</f>
        <v/>
      </c>
      <c r="I27" s="8" t="str">
        <f>IFERROR(('PS Enrollment'!$AB$27-'Comparison Population'!$E$10), "")</f>
        <v/>
      </c>
      <c r="J27" s="8" t="str">
        <f>IFERROR(('PS Enrollment'!$AC$27-'Comparison Population'!$E$11), "")</f>
        <v/>
      </c>
      <c r="K27" s="8" t="str">
        <f>IFERROR(('PS Enrollment'!$AD$27-'Comparison Population'!$E$12), "")</f>
        <v/>
      </c>
      <c r="L27" s="8" t="str">
        <f>IFERROR(('PS Enrollment'!$AE$27-'Comparison Population'!$E$13), "")</f>
        <v/>
      </c>
      <c r="M27" s="8" t="str">
        <f>IFERROR(('PS Enrollment'!$AF$27-'Comparison Population'!$E$14), "")</f>
        <v/>
      </c>
      <c r="N27" s="8" t="str">
        <f>IFERROR(('PS Enrollment'!$AG$27-'Comparison Population'!$E$15), "")</f>
        <v/>
      </c>
      <c r="O27" s="8" t="str">
        <f>IFERROR(('PS Enrollment'!$AH$27-'Comparison Population'!$E$16), "")</f>
        <v/>
      </c>
      <c r="P27" s="8" t="str">
        <f>IFERROR(('PS Enrollment'!$AI$27-'Comparison Population'!$E$17), "")</f>
        <v/>
      </c>
      <c r="Q27" s="8" t="str">
        <f>IFERROR(('PS Enrollment'!$AJ$27-'Comparison Population'!$E$19), "")</f>
        <v/>
      </c>
      <c r="R27" s="8" t="str">
        <f>IFERROR(('PS Enrollment'!$AK$27-'Comparison Population'!$E$20), "")</f>
        <v/>
      </c>
      <c r="S27" s="8" t="str">
        <f>IFERROR(('PS Enrollment'!$AL$27-'Comparison Population'!$E$21), "")</f>
        <v/>
      </c>
      <c r="T27" s="8" t="str">
        <f>IFERROR(('PS Enrollment'!$AM$27-'Comparison Population'!$E$22), "")</f>
        <v/>
      </c>
      <c r="U27" s="8" t="str">
        <f>IFERROR(('PS Enrollment'!$AN$27-'Comparison Population'!$E$23), "")</f>
        <v/>
      </c>
      <c r="V27" s="8" t="str">
        <f>IFERROR(('PS Enrollment'!$AO$27-'Comparison Population'!$E$24), "")</f>
        <v/>
      </c>
      <c r="W27" s="8" t="str">
        <f>IFERROR(('PS Enrollment'!$AP$27-'Comparison Population'!$E$25), "")</f>
        <v/>
      </c>
      <c r="X27" s="8" t="str">
        <f>IFERROR(('PS Enrollment'!$AQ$27-'Comparison Population'!$E$26), "")</f>
        <v/>
      </c>
      <c r="Y27" s="8" t="str">
        <f>IFERROR(('PS Enrollment'!$AR$27-'Comparison Population'!$E$27), "")</f>
        <v/>
      </c>
    </row>
    <row r="28" spans="1:25" x14ac:dyDescent="0.25">
      <c r="A28" s="36">
        <f>'PS Enrollment'!$A$28</f>
        <v>0</v>
      </c>
      <c r="B28" s="36">
        <f>'PS Enrollment'!$B$28</f>
        <v>0</v>
      </c>
      <c r="C28" s="36">
        <f>'PS Enrollment'!$C$28</f>
        <v>0</v>
      </c>
      <c r="D28" s="8" t="str">
        <f>IFERROR('PS Enrollment'!$D$28/'PS Enrollment'!$D$108, "")</f>
        <v/>
      </c>
      <c r="E28" s="10">
        <f>'PS Enrollment'!D$28</f>
        <v>0</v>
      </c>
      <c r="F28" s="8" t="str">
        <f>IFERROR(('PS Enrollment'!$Y$28-'Comparison Population'!$E28), "")</f>
        <v/>
      </c>
      <c r="G28" s="8" t="str">
        <f>IFERROR(('PS Enrollment'!$Z$28-'Comparison Population'!$E$7), "")</f>
        <v/>
      </c>
      <c r="H28" s="8" t="str">
        <f>IFERROR(('PS Enrollment'!$AA$28-'Comparison Population'!$E$8), "")</f>
        <v/>
      </c>
      <c r="I28" s="8" t="str">
        <f>IFERROR(('PS Enrollment'!$AB$28-'Comparison Population'!$E$10), "")</f>
        <v/>
      </c>
      <c r="J28" s="8" t="str">
        <f>IFERROR(('PS Enrollment'!$AC$28-'Comparison Population'!$E$11), "")</f>
        <v/>
      </c>
      <c r="K28" s="8" t="str">
        <f>IFERROR(('PS Enrollment'!$AD$28-'Comparison Population'!$E$12), "")</f>
        <v/>
      </c>
      <c r="L28" s="8" t="str">
        <f>IFERROR(('PS Enrollment'!$AE$28-'Comparison Population'!$E$13), "")</f>
        <v/>
      </c>
      <c r="M28" s="8" t="str">
        <f>IFERROR(('PS Enrollment'!$AF$28-'Comparison Population'!$E$14), "")</f>
        <v/>
      </c>
      <c r="N28" s="8" t="str">
        <f>IFERROR(('PS Enrollment'!$AG$28-'Comparison Population'!$E$15), "")</f>
        <v/>
      </c>
      <c r="O28" s="8" t="str">
        <f>IFERROR(('PS Enrollment'!$AH$28-'Comparison Population'!$E$16), "")</f>
        <v/>
      </c>
      <c r="P28" s="8" t="str">
        <f>IFERROR(('PS Enrollment'!$AI$28-'Comparison Population'!$E$17), "")</f>
        <v/>
      </c>
      <c r="Q28" s="8" t="str">
        <f>IFERROR(('PS Enrollment'!$AJ$28-'Comparison Population'!$E$19), "")</f>
        <v/>
      </c>
      <c r="R28" s="8" t="str">
        <f>IFERROR(('PS Enrollment'!$AK$28-'Comparison Population'!$E$20), "")</f>
        <v/>
      </c>
      <c r="S28" s="8" t="str">
        <f>IFERROR(('PS Enrollment'!$AL$28-'Comparison Population'!$E$21), "")</f>
        <v/>
      </c>
      <c r="T28" s="8" t="str">
        <f>IFERROR(('PS Enrollment'!$AM$28-'Comparison Population'!$E$22), "")</f>
        <v/>
      </c>
      <c r="U28" s="8" t="str">
        <f>IFERROR(('PS Enrollment'!$AN$28-'Comparison Population'!$E$23), "")</f>
        <v/>
      </c>
      <c r="V28" s="8" t="str">
        <f>IFERROR(('PS Enrollment'!$AO$28-'Comparison Population'!$E$24), "")</f>
        <v/>
      </c>
      <c r="W28" s="8" t="str">
        <f>IFERROR(('PS Enrollment'!$AP$28-'Comparison Population'!$E$25), "")</f>
        <v/>
      </c>
      <c r="X28" s="8" t="str">
        <f>IFERROR(('PS Enrollment'!$AQ$28-'Comparison Population'!$E$26), "")</f>
        <v/>
      </c>
      <c r="Y28" s="8" t="str">
        <f>IFERROR(('PS Enrollment'!$AR$28-'Comparison Population'!$E$27), "")</f>
        <v/>
      </c>
    </row>
    <row r="29" spans="1:25" x14ac:dyDescent="0.25">
      <c r="A29" s="36">
        <f>'PS Enrollment'!$A$29</f>
        <v>0</v>
      </c>
      <c r="B29" s="36">
        <f>'PS Enrollment'!$B$29</f>
        <v>0</v>
      </c>
      <c r="C29" s="36">
        <f>'PS Enrollment'!$C$29</f>
        <v>0</v>
      </c>
      <c r="D29" s="8" t="str">
        <f>IFERROR('PS Enrollment'!$D$29/'PS Enrollment'!$D$108, "")</f>
        <v/>
      </c>
      <c r="E29" s="10">
        <f>'PS Enrollment'!D$29</f>
        <v>0</v>
      </c>
      <c r="F29" s="8" t="str">
        <f>IFERROR(('PS Enrollment'!$Y$29-'Comparison Population'!$E29), "")</f>
        <v/>
      </c>
      <c r="G29" s="8" t="str">
        <f>IFERROR(('PS Enrollment'!$Z$29-'Comparison Population'!$E$7), "")</f>
        <v/>
      </c>
      <c r="H29" s="8" t="str">
        <f>IFERROR(('PS Enrollment'!$AA$29-'Comparison Population'!$E$8), "")</f>
        <v/>
      </c>
      <c r="I29" s="8" t="str">
        <f>IFERROR(('PS Enrollment'!$AB$29-'Comparison Population'!$E$10), "")</f>
        <v/>
      </c>
      <c r="J29" s="8" t="str">
        <f>IFERROR(('PS Enrollment'!$AC$29-'Comparison Population'!$E$11), "")</f>
        <v/>
      </c>
      <c r="K29" s="8" t="str">
        <f>IFERROR(('PS Enrollment'!$AD$29-'Comparison Population'!$E$12), "")</f>
        <v/>
      </c>
      <c r="L29" s="8" t="str">
        <f>IFERROR(('PS Enrollment'!$AE$29-'Comparison Population'!$E$13), "")</f>
        <v/>
      </c>
      <c r="M29" s="8" t="str">
        <f>IFERROR(('PS Enrollment'!$AF$29-'Comparison Population'!$E$14), "")</f>
        <v/>
      </c>
      <c r="N29" s="8" t="str">
        <f>IFERROR(('PS Enrollment'!$AG$29-'Comparison Population'!$E$15), "")</f>
        <v/>
      </c>
      <c r="O29" s="8" t="str">
        <f>IFERROR(('PS Enrollment'!$AH$29-'Comparison Population'!$E$16), "")</f>
        <v/>
      </c>
      <c r="P29" s="8" t="str">
        <f>IFERROR(('PS Enrollment'!$AI$29-'Comparison Population'!$E$17), "")</f>
        <v/>
      </c>
      <c r="Q29" s="8" t="str">
        <f>IFERROR(('PS Enrollment'!$AJ$29-'Comparison Population'!$E$19), "")</f>
        <v/>
      </c>
      <c r="R29" s="8" t="str">
        <f>IFERROR(('PS Enrollment'!$AK$29-'Comparison Population'!$E$20), "")</f>
        <v/>
      </c>
      <c r="S29" s="8" t="str">
        <f>IFERROR(('PS Enrollment'!$AL$29-'Comparison Population'!$E$21), "")</f>
        <v/>
      </c>
      <c r="T29" s="8" t="str">
        <f>IFERROR(('PS Enrollment'!$AM$29-'Comparison Population'!$E$22), "")</f>
        <v/>
      </c>
      <c r="U29" s="8" t="str">
        <f>IFERROR(('PS Enrollment'!$AN$29-'Comparison Population'!$E$23), "")</f>
        <v/>
      </c>
      <c r="V29" s="8" t="str">
        <f>IFERROR(('PS Enrollment'!$AO$29-'Comparison Population'!$E$24), "")</f>
        <v/>
      </c>
      <c r="W29" s="8" t="str">
        <f>IFERROR(('PS Enrollment'!$AP$29-'Comparison Population'!$E$25), "")</f>
        <v/>
      </c>
      <c r="X29" s="8" t="str">
        <f>IFERROR(('PS Enrollment'!$AQ$29-'Comparison Population'!$E$26), "")</f>
        <v/>
      </c>
      <c r="Y29" s="8" t="str">
        <f>IFERROR(('PS Enrollment'!$AR$29-'Comparison Population'!$E$27), "")</f>
        <v/>
      </c>
    </row>
    <row r="30" spans="1:25" x14ac:dyDescent="0.25">
      <c r="A30" s="36">
        <f>'PS Enrollment'!$A$30</f>
        <v>0</v>
      </c>
      <c r="B30" s="36">
        <f>'PS Enrollment'!$B$30</f>
        <v>0</v>
      </c>
      <c r="C30" s="36">
        <f>'PS Enrollment'!$C$30</f>
        <v>0</v>
      </c>
      <c r="D30" s="8" t="str">
        <f>IFERROR('PS Enrollment'!$D$30/'PS Enrollment'!$D$108, "")</f>
        <v/>
      </c>
      <c r="E30" s="10">
        <f>'PS Enrollment'!D$30</f>
        <v>0</v>
      </c>
      <c r="F30" s="8" t="str">
        <f>IFERROR(('PS Enrollment'!$Y$30-'Comparison Population'!$E30), "")</f>
        <v/>
      </c>
      <c r="G30" s="8" t="str">
        <f>IFERROR(('PS Enrollment'!$Z$30-'Comparison Population'!$E$7), "")</f>
        <v/>
      </c>
      <c r="H30" s="8" t="str">
        <f>IFERROR(('PS Enrollment'!$AA$30-'Comparison Population'!$E$8), "")</f>
        <v/>
      </c>
      <c r="I30" s="8" t="str">
        <f>IFERROR(('PS Enrollment'!$AB$30-'Comparison Population'!$E$10), "")</f>
        <v/>
      </c>
      <c r="J30" s="8" t="str">
        <f>IFERROR(('PS Enrollment'!$AC$30-'Comparison Population'!$E$11), "")</f>
        <v/>
      </c>
      <c r="K30" s="8" t="str">
        <f>IFERROR(('PS Enrollment'!$AD$30-'Comparison Population'!$E$12), "")</f>
        <v/>
      </c>
      <c r="L30" s="8" t="str">
        <f>IFERROR(('PS Enrollment'!$AE$30-'Comparison Population'!$E$13), "")</f>
        <v/>
      </c>
      <c r="M30" s="8" t="str">
        <f>IFERROR(('PS Enrollment'!$AF$30-'Comparison Population'!$E$14), "")</f>
        <v/>
      </c>
      <c r="N30" s="8" t="str">
        <f>IFERROR(('PS Enrollment'!$AG$30-'Comparison Population'!$E$15), "")</f>
        <v/>
      </c>
      <c r="O30" s="8" t="str">
        <f>IFERROR(('PS Enrollment'!$AH$30-'Comparison Population'!$E$16), "")</f>
        <v/>
      </c>
      <c r="P30" s="8" t="str">
        <f>IFERROR(('PS Enrollment'!$AI$30-'Comparison Population'!$E$17), "")</f>
        <v/>
      </c>
      <c r="Q30" s="8" t="str">
        <f>IFERROR(('PS Enrollment'!$AJ$30-'Comparison Population'!$E$19), "")</f>
        <v/>
      </c>
      <c r="R30" s="8" t="str">
        <f>IFERROR(('PS Enrollment'!$AK$30-'Comparison Population'!$E$20), "")</f>
        <v/>
      </c>
      <c r="S30" s="8" t="str">
        <f>IFERROR(('PS Enrollment'!$AL$30-'Comparison Population'!$E$21), "")</f>
        <v/>
      </c>
      <c r="T30" s="8" t="str">
        <f>IFERROR(('PS Enrollment'!$AM$30-'Comparison Population'!$E$22), "")</f>
        <v/>
      </c>
      <c r="U30" s="8" t="str">
        <f>IFERROR(('PS Enrollment'!$AN$30-'Comparison Population'!$E$23), "")</f>
        <v/>
      </c>
      <c r="V30" s="8" t="str">
        <f>IFERROR(('PS Enrollment'!$AO$30-'Comparison Population'!$E$24), "")</f>
        <v/>
      </c>
      <c r="W30" s="8" t="str">
        <f>IFERROR(('PS Enrollment'!$AP$30-'Comparison Population'!$E$25), "")</f>
        <v/>
      </c>
      <c r="X30" s="8" t="str">
        <f>IFERROR(('PS Enrollment'!$AQ$30-'Comparison Population'!$E$26), "")</f>
        <v/>
      </c>
      <c r="Y30" s="8" t="str">
        <f>IFERROR(('PS Enrollment'!$AR$30-'Comparison Population'!$E$27), "")</f>
        <v/>
      </c>
    </row>
    <row r="31" spans="1:25" x14ac:dyDescent="0.25">
      <c r="A31" s="36">
        <f>'PS Enrollment'!$A$31</f>
        <v>0</v>
      </c>
      <c r="B31" s="36">
        <f>'PS Enrollment'!$B$31</f>
        <v>0</v>
      </c>
      <c r="C31" s="36">
        <f>'PS Enrollment'!$C$31</f>
        <v>0</v>
      </c>
      <c r="D31" s="8" t="str">
        <f>IFERROR('PS Enrollment'!$D$31/'PS Enrollment'!$D$108, "")</f>
        <v/>
      </c>
      <c r="E31" s="10">
        <f>'PS Enrollment'!D$31</f>
        <v>0</v>
      </c>
      <c r="F31" s="8" t="str">
        <f>IFERROR(('PS Enrollment'!$Y$31-'Comparison Population'!$E31), "")</f>
        <v/>
      </c>
      <c r="G31" s="8" t="str">
        <f>IFERROR(('PS Enrollment'!$Z$31-'Comparison Population'!$E$7), "")</f>
        <v/>
      </c>
      <c r="H31" s="8" t="str">
        <f>IFERROR(('PS Enrollment'!$AA$31-'Comparison Population'!$E$8), "")</f>
        <v/>
      </c>
      <c r="I31" s="8" t="str">
        <f>IFERROR(('PS Enrollment'!$AB$31-'Comparison Population'!$E$10), "")</f>
        <v/>
      </c>
      <c r="J31" s="8" t="str">
        <f>IFERROR(('PS Enrollment'!$AC$31-'Comparison Population'!$E$11), "")</f>
        <v/>
      </c>
      <c r="K31" s="8" t="str">
        <f>IFERROR(('PS Enrollment'!$AD$31-'Comparison Population'!$E$12), "")</f>
        <v/>
      </c>
      <c r="L31" s="8" t="str">
        <f>IFERROR(('PS Enrollment'!$AE$31-'Comparison Population'!$E$13), "")</f>
        <v/>
      </c>
      <c r="M31" s="8" t="str">
        <f>IFERROR(('PS Enrollment'!$AF$31-'Comparison Population'!$E$14), "")</f>
        <v/>
      </c>
      <c r="N31" s="8" t="str">
        <f>IFERROR(('PS Enrollment'!$AG$31-'Comparison Population'!$E$15), "")</f>
        <v/>
      </c>
      <c r="O31" s="8" t="str">
        <f>IFERROR(('PS Enrollment'!$AH$31-'Comparison Population'!$E$16), "")</f>
        <v/>
      </c>
      <c r="P31" s="8" t="str">
        <f>IFERROR(('PS Enrollment'!$AI$31-'Comparison Population'!$E$17), "")</f>
        <v/>
      </c>
      <c r="Q31" s="8" t="str">
        <f>IFERROR(('PS Enrollment'!$AJ$31-'Comparison Population'!$E$19), "")</f>
        <v/>
      </c>
      <c r="R31" s="8" t="str">
        <f>IFERROR(('PS Enrollment'!$AK$31-'Comparison Population'!$E$20), "")</f>
        <v/>
      </c>
      <c r="S31" s="8" t="str">
        <f>IFERROR(('PS Enrollment'!$AL$31-'Comparison Population'!$E$21), "")</f>
        <v/>
      </c>
      <c r="T31" s="8" t="str">
        <f>IFERROR(('PS Enrollment'!$AM$31-'Comparison Population'!$E$22), "")</f>
        <v/>
      </c>
      <c r="U31" s="8" t="str">
        <f>IFERROR(('PS Enrollment'!$AN$31-'Comparison Population'!$E$23), "")</f>
        <v/>
      </c>
      <c r="V31" s="8" t="str">
        <f>IFERROR(('PS Enrollment'!$AO$31-'Comparison Population'!$E$24), "")</f>
        <v/>
      </c>
      <c r="W31" s="8" t="str">
        <f>IFERROR(('PS Enrollment'!$AP$31-'Comparison Population'!$E$25), "")</f>
        <v/>
      </c>
      <c r="X31" s="8" t="str">
        <f>IFERROR(('PS Enrollment'!$AQ$31-'Comparison Population'!$E$26), "")</f>
        <v/>
      </c>
      <c r="Y31" s="8" t="str">
        <f>IFERROR(('PS Enrollment'!$AR$31-'Comparison Population'!$E$27), "")</f>
        <v/>
      </c>
    </row>
    <row r="32" spans="1:25" x14ac:dyDescent="0.25">
      <c r="A32" s="36">
        <f>'PS Enrollment'!$A$32</f>
        <v>0</v>
      </c>
      <c r="B32" s="36">
        <f>'PS Enrollment'!$B$32</f>
        <v>0</v>
      </c>
      <c r="C32" s="36">
        <f>'PS Enrollment'!$C$32</f>
        <v>0</v>
      </c>
      <c r="D32" s="8" t="str">
        <f>IFERROR('PS Enrollment'!$D$32/'PS Enrollment'!$D$108, "")</f>
        <v/>
      </c>
      <c r="E32" s="10">
        <f>'PS Enrollment'!D$32</f>
        <v>0</v>
      </c>
      <c r="F32" s="8" t="str">
        <f>IFERROR(('PS Enrollment'!$Y$32-'Comparison Population'!$E32), "")</f>
        <v/>
      </c>
      <c r="G32" s="8" t="str">
        <f>IFERROR(('PS Enrollment'!$Z$32-'Comparison Population'!$E$7), "")</f>
        <v/>
      </c>
      <c r="H32" s="8" t="str">
        <f>IFERROR(('PS Enrollment'!$AA$32-'Comparison Population'!$E$8), "")</f>
        <v/>
      </c>
      <c r="I32" s="8" t="str">
        <f>IFERROR(('PS Enrollment'!$AB$32-'Comparison Population'!$E$10), "")</f>
        <v/>
      </c>
      <c r="J32" s="8" t="str">
        <f>IFERROR(('PS Enrollment'!$AC$32-'Comparison Population'!$E$11), "")</f>
        <v/>
      </c>
      <c r="K32" s="8" t="str">
        <f>IFERROR(('PS Enrollment'!$AD$32-'Comparison Population'!$E$12), "")</f>
        <v/>
      </c>
      <c r="L32" s="8" t="str">
        <f>IFERROR(('PS Enrollment'!$AE$32-'Comparison Population'!$E$13), "")</f>
        <v/>
      </c>
      <c r="M32" s="8" t="str">
        <f>IFERROR(('PS Enrollment'!$AF$32-'Comparison Population'!$E$14), "")</f>
        <v/>
      </c>
      <c r="N32" s="8" t="str">
        <f>IFERROR(('PS Enrollment'!$AG$32-'Comparison Population'!$E$15), "")</f>
        <v/>
      </c>
      <c r="O32" s="8" t="str">
        <f>IFERROR(('PS Enrollment'!$AH$32-'Comparison Population'!$E$16), "")</f>
        <v/>
      </c>
      <c r="P32" s="8" t="str">
        <f>IFERROR(('PS Enrollment'!$AI$32-'Comparison Population'!$E$17), "")</f>
        <v/>
      </c>
      <c r="Q32" s="8" t="str">
        <f>IFERROR(('PS Enrollment'!$AJ$32-'Comparison Population'!$E$19), "")</f>
        <v/>
      </c>
      <c r="R32" s="8" t="str">
        <f>IFERROR(('PS Enrollment'!$AK$32-'Comparison Population'!$E$20), "")</f>
        <v/>
      </c>
      <c r="S32" s="8" t="str">
        <f>IFERROR(('PS Enrollment'!$AL$32-'Comparison Population'!$E$21), "")</f>
        <v/>
      </c>
      <c r="T32" s="8" t="str">
        <f>IFERROR(('PS Enrollment'!$AM$32-'Comparison Population'!$E$22), "")</f>
        <v/>
      </c>
      <c r="U32" s="8" t="str">
        <f>IFERROR(('PS Enrollment'!$AN$32-'Comparison Population'!$E$23), "")</f>
        <v/>
      </c>
      <c r="V32" s="8" t="str">
        <f>IFERROR(('PS Enrollment'!$AO$32-'Comparison Population'!$E$24), "")</f>
        <v/>
      </c>
      <c r="W32" s="8" t="str">
        <f>IFERROR(('PS Enrollment'!$AP$32-'Comparison Population'!$E$25), "")</f>
        <v/>
      </c>
      <c r="X32" s="8" t="str">
        <f>IFERROR(('PS Enrollment'!$AQ$32-'Comparison Population'!$E$26), "")</f>
        <v/>
      </c>
      <c r="Y32" s="8" t="str">
        <f>IFERROR(('PS Enrollment'!$AR$32-'Comparison Population'!$E$27), "")</f>
        <v/>
      </c>
    </row>
    <row r="33" spans="1:25" x14ac:dyDescent="0.25">
      <c r="A33" s="36">
        <f>'PS Enrollment'!$A$33</f>
        <v>0</v>
      </c>
      <c r="B33" s="36">
        <f>'PS Enrollment'!$B$33</f>
        <v>0</v>
      </c>
      <c r="C33" s="36">
        <f>'PS Enrollment'!$C$33</f>
        <v>0</v>
      </c>
      <c r="D33" s="8" t="str">
        <f>IFERROR('PS Enrollment'!$D$33/'PS Enrollment'!$D$108, "")</f>
        <v/>
      </c>
      <c r="E33" s="10">
        <f>'PS Enrollment'!D$33</f>
        <v>0</v>
      </c>
      <c r="F33" s="8" t="str">
        <f>IFERROR(('PS Enrollment'!$Y$33-'Comparison Population'!$E33), "")</f>
        <v/>
      </c>
      <c r="G33" s="8" t="str">
        <f>IFERROR(('PS Enrollment'!$Z$33-'Comparison Population'!$E$7), "")</f>
        <v/>
      </c>
      <c r="H33" s="8" t="str">
        <f>IFERROR(('PS Enrollment'!$AA$33-'Comparison Population'!$E$8), "")</f>
        <v/>
      </c>
      <c r="I33" s="8" t="str">
        <f>IFERROR(('PS Enrollment'!$AB$33-'Comparison Population'!$E$10), "")</f>
        <v/>
      </c>
      <c r="J33" s="8" t="str">
        <f>IFERROR(('PS Enrollment'!$AC$33-'Comparison Population'!$E$11), "")</f>
        <v/>
      </c>
      <c r="K33" s="8" t="str">
        <f>IFERROR(('PS Enrollment'!$AD$33-'Comparison Population'!$E$12), "")</f>
        <v/>
      </c>
      <c r="L33" s="8" t="str">
        <f>IFERROR(('PS Enrollment'!$AE$33-'Comparison Population'!$E$13), "")</f>
        <v/>
      </c>
      <c r="M33" s="8" t="str">
        <f>IFERROR(('PS Enrollment'!$AF$33-'Comparison Population'!$E$14), "")</f>
        <v/>
      </c>
      <c r="N33" s="8" t="str">
        <f>IFERROR(('PS Enrollment'!$AG$33-'Comparison Population'!$E$15), "")</f>
        <v/>
      </c>
      <c r="O33" s="8" t="str">
        <f>IFERROR(('PS Enrollment'!$AH$33-'Comparison Population'!$E$16), "")</f>
        <v/>
      </c>
      <c r="P33" s="8" t="str">
        <f>IFERROR(('PS Enrollment'!$AI$33-'Comparison Population'!$E$17), "")</f>
        <v/>
      </c>
      <c r="Q33" s="8" t="str">
        <f>IFERROR(('PS Enrollment'!$AJ$33-'Comparison Population'!$E$19), "")</f>
        <v/>
      </c>
      <c r="R33" s="8" t="str">
        <f>IFERROR(('PS Enrollment'!$AK$33-'Comparison Population'!$E$20), "")</f>
        <v/>
      </c>
      <c r="S33" s="8" t="str">
        <f>IFERROR(('PS Enrollment'!$AL$33-'Comparison Population'!$E$21), "")</f>
        <v/>
      </c>
      <c r="T33" s="8" t="str">
        <f>IFERROR(('PS Enrollment'!$AM$33-'Comparison Population'!$E$22), "")</f>
        <v/>
      </c>
      <c r="U33" s="8" t="str">
        <f>IFERROR(('PS Enrollment'!$AN$33-'Comparison Population'!$E$23), "")</f>
        <v/>
      </c>
      <c r="V33" s="8" t="str">
        <f>IFERROR(('PS Enrollment'!$AO$33-'Comparison Population'!$E$24), "")</f>
        <v/>
      </c>
      <c r="W33" s="8" t="str">
        <f>IFERROR(('PS Enrollment'!$AP$33-'Comparison Population'!$E$25), "")</f>
        <v/>
      </c>
      <c r="X33" s="8" t="str">
        <f>IFERROR(('PS Enrollment'!$AQ$33-'Comparison Population'!$E$26), "")</f>
        <v/>
      </c>
      <c r="Y33" s="8" t="str">
        <f>IFERROR(('PS Enrollment'!$AR$33-'Comparison Population'!$E$27), "")</f>
        <v/>
      </c>
    </row>
    <row r="34" spans="1:25" x14ac:dyDescent="0.25">
      <c r="A34" s="36">
        <f>'PS Enrollment'!$A$34</f>
        <v>0</v>
      </c>
      <c r="B34" s="36">
        <f>'PS Enrollment'!$B$34</f>
        <v>0</v>
      </c>
      <c r="C34" s="36">
        <f>'PS Enrollment'!$C$34</f>
        <v>0</v>
      </c>
      <c r="D34" s="8" t="str">
        <f>IFERROR('PS Enrollment'!$D$34/'PS Enrollment'!$D$108, "")</f>
        <v/>
      </c>
      <c r="E34" s="10">
        <f>'PS Enrollment'!D$34</f>
        <v>0</v>
      </c>
      <c r="F34" s="8" t="str">
        <f>IFERROR(('PS Enrollment'!$Y$34-'Comparison Population'!$E34), "")</f>
        <v/>
      </c>
      <c r="G34" s="8" t="str">
        <f>IFERROR(('PS Enrollment'!$Z$34-'Comparison Population'!$E$7), "")</f>
        <v/>
      </c>
      <c r="H34" s="8" t="str">
        <f>IFERROR(('PS Enrollment'!$AA$34-'Comparison Population'!$E$8), "")</f>
        <v/>
      </c>
      <c r="I34" s="8" t="str">
        <f>IFERROR(('PS Enrollment'!$AB$34-'Comparison Population'!$E$10), "")</f>
        <v/>
      </c>
      <c r="J34" s="8" t="str">
        <f>IFERROR(('PS Enrollment'!$AC$34-'Comparison Population'!$E$11), "")</f>
        <v/>
      </c>
      <c r="K34" s="8" t="str">
        <f>IFERROR(('PS Enrollment'!$AD$34-'Comparison Population'!$E$12), "")</f>
        <v/>
      </c>
      <c r="L34" s="8" t="str">
        <f>IFERROR(('PS Enrollment'!$AE$34-'Comparison Population'!$E$13), "")</f>
        <v/>
      </c>
      <c r="M34" s="8" t="str">
        <f>IFERROR(('PS Enrollment'!$AF$34-'Comparison Population'!$E$14), "")</f>
        <v/>
      </c>
      <c r="N34" s="8" t="str">
        <f>IFERROR(('PS Enrollment'!$AG$34-'Comparison Population'!$E$15), "")</f>
        <v/>
      </c>
      <c r="O34" s="8" t="str">
        <f>IFERROR(('PS Enrollment'!$AH$34-'Comparison Population'!$E$16), "")</f>
        <v/>
      </c>
      <c r="P34" s="8" t="str">
        <f>IFERROR(('PS Enrollment'!$AI$34-'Comparison Population'!$E$17), "")</f>
        <v/>
      </c>
      <c r="Q34" s="8" t="str">
        <f>IFERROR(('PS Enrollment'!$AJ$34-'Comparison Population'!$E$19), "")</f>
        <v/>
      </c>
      <c r="R34" s="8" t="str">
        <f>IFERROR(('PS Enrollment'!$AK$34-'Comparison Population'!$E$20), "")</f>
        <v/>
      </c>
      <c r="S34" s="8" t="str">
        <f>IFERROR(('PS Enrollment'!$AL$34-'Comparison Population'!$E$21), "")</f>
        <v/>
      </c>
      <c r="T34" s="8" t="str">
        <f>IFERROR(('PS Enrollment'!$AM$34-'Comparison Population'!$E$22), "")</f>
        <v/>
      </c>
      <c r="U34" s="8" t="str">
        <f>IFERROR(('PS Enrollment'!$AN$34-'Comparison Population'!$E$23), "")</f>
        <v/>
      </c>
      <c r="V34" s="8" t="str">
        <f>IFERROR(('PS Enrollment'!$AO$34-'Comparison Population'!$E$24), "")</f>
        <v/>
      </c>
      <c r="W34" s="8" t="str">
        <f>IFERROR(('PS Enrollment'!$AP$34-'Comparison Population'!$E$25), "")</f>
        <v/>
      </c>
      <c r="X34" s="8" t="str">
        <f>IFERROR(('PS Enrollment'!$AQ$34-'Comparison Population'!$E$26), "")</f>
        <v/>
      </c>
      <c r="Y34" s="8" t="str">
        <f>IFERROR(('PS Enrollment'!$AR$34-'Comparison Population'!$E$27), "")</f>
        <v/>
      </c>
    </row>
    <row r="35" spans="1:25" x14ac:dyDescent="0.25">
      <c r="A35" s="36">
        <f>'PS Enrollment'!$A$35</f>
        <v>0</v>
      </c>
      <c r="B35" s="36">
        <f>'PS Enrollment'!$B$35</f>
        <v>0</v>
      </c>
      <c r="C35" s="36">
        <f>'PS Enrollment'!$C$35</f>
        <v>0</v>
      </c>
      <c r="D35" s="8" t="str">
        <f>IFERROR('PS Enrollment'!$D$35/'PS Enrollment'!$D$108, "")</f>
        <v/>
      </c>
      <c r="E35" s="10">
        <f>'PS Enrollment'!D$35</f>
        <v>0</v>
      </c>
      <c r="F35" s="8" t="str">
        <f>IFERROR(('PS Enrollment'!$Y$35-'Comparison Population'!$E35), "")</f>
        <v/>
      </c>
      <c r="G35" s="8" t="str">
        <f>IFERROR(('PS Enrollment'!$Z$35-'Comparison Population'!$E$7), "")</f>
        <v/>
      </c>
      <c r="H35" s="8" t="str">
        <f>IFERROR(('PS Enrollment'!$AA$35-'Comparison Population'!$E$8), "")</f>
        <v/>
      </c>
      <c r="I35" s="8" t="str">
        <f>IFERROR(('PS Enrollment'!$AB$35-'Comparison Population'!$E$10), "")</f>
        <v/>
      </c>
      <c r="J35" s="8" t="str">
        <f>IFERROR(('PS Enrollment'!$AC$35-'Comparison Population'!$E$11), "")</f>
        <v/>
      </c>
      <c r="K35" s="8" t="str">
        <f>IFERROR(('PS Enrollment'!$AD$35-'Comparison Population'!$E$12), "")</f>
        <v/>
      </c>
      <c r="L35" s="8" t="str">
        <f>IFERROR(('PS Enrollment'!$AE$35-'Comparison Population'!$E$13), "")</f>
        <v/>
      </c>
      <c r="M35" s="8" t="str">
        <f>IFERROR(('PS Enrollment'!$AF$35-'Comparison Population'!$E$14), "")</f>
        <v/>
      </c>
      <c r="N35" s="8" t="str">
        <f>IFERROR(('PS Enrollment'!$AG$35-'Comparison Population'!$E$15), "")</f>
        <v/>
      </c>
      <c r="O35" s="8" t="str">
        <f>IFERROR(('PS Enrollment'!$AH$35-'Comparison Population'!$E$16), "")</f>
        <v/>
      </c>
      <c r="P35" s="8" t="str">
        <f>IFERROR(('PS Enrollment'!$AI$35-'Comparison Population'!$E$17), "")</f>
        <v/>
      </c>
      <c r="Q35" s="8" t="str">
        <f>IFERROR(('PS Enrollment'!$AJ$35-'Comparison Population'!$E$19), "")</f>
        <v/>
      </c>
      <c r="R35" s="8" t="str">
        <f>IFERROR(('PS Enrollment'!$AK$35-'Comparison Population'!$E$20), "")</f>
        <v/>
      </c>
      <c r="S35" s="8" t="str">
        <f>IFERROR(('PS Enrollment'!$AL$35-'Comparison Population'!$E$21), "")</f>
        <v/>
      </c>
      <c r="T35" s="8" t="str">
        <f>IFERROR(('PS Enrollment'!$AM$35-'Comparison Population'!$E$22), "")</f>
        <v/>
      </c>
      <c r="U35" s="8" t="str">
        <f>IFERROR(('PS Enrollment'!$AN$35-'Comparison Population'!$E$23), "")</f>
        <v/>
      </c>
      <c r="V35" s="8" t="str">
        <f>IFERROR(('PS Enrollment'!$AO$35-'Comparison Population'!$E$24), "")</f>
        <v/>
      </c>
      <c r="W35" s="8" t="str">
        <f>IFERROR(('PS Enrollment'!$AP$35-'Comparison Population'!$E$25), "")</f>
        <v/>
      </c>
      <c r="X35" s="8" t="str">
        <f>IFERROR(('PS Enrollment'!$AQ$35-'Comparison Population'!$E$26), "")</f>
        <v/>
      </c>
      <c r="Y35" s="8" t="str">
        <f>IFERROR(('PS Enrollment'!$AR$35-'Comparison Population'!$E$27), "")</f>
        <v/>
      </c>
    </row>
    <row r="36" spans="1:25" x14ac:dyDescent="0.25">
      <c r="A36" s="36">
        <f>'PS Enrollment'!$A$36</f>
        <v>0</v>
      </c>
      <c r="B36" s="36">
        <f>'PS Enrollment'!$B$36</f>
        <v>0</v>
      </c>
      <c r="C36" s="36">
        <f>'PS Enrollment'!$C$36</f>
        <v>0</v>
      </c>
      <c r="D36" s="8" t="str">
        <f>IFERROR('PS Enrollment'!$D$36/'PS Enrollment'!$D$108, "")</f>
        <v/>
      </c>
      <c r="E36" s="10">
        <f>'PS Enrollment'!D$36</f>
        <v>0</v>
      </c>
      <c r="F36" s="8" t="str">
        <f>IFERROR(('PS Enrollment'!$Y$36-'Comparison Population'!$E36), "")</f>
        <v/>
      </c>
      <c r="G36" s="8" t="str">
        <f>IFERROR(('PS Enrollment'!$Z$36-'Comparison Population'!$E$7), "")</f>
        <v/>
      </c>
      <c r="H36" s="8" t="str">
        <f>IFERROR(('PS Enrollment'!$AA$36-'Comparison Population'!$E$8), "")</f>
        <v/>
      </c>
      <c r="I36" s="8" t="str">
        <f>IFERROR(('PS Enrollment'!$AB$36-'Comparison Population'!$E$10), "")</f>
        <v/>
      </c>
      <c r="J36" s="8" t="str">
        <f>IFERROR(('PS Enrollment'!$AC$36-'Comparison Population'!$E$11), "")</f>
        <v/>
      </c>
      <c r="K36" s="8" t="str">
        <f>IFERROR(('PS Enrollment'!$AD$36-'Comparison Population'!$E$12), "")</f>
        <v/>
      </c>
      <c r="L36" s="8" t="str">
        <f>IFERROR(('PS Enrollment'!$AE$36-'Comparison Population'!$E$13), "")</f>
        <v/>
      </c>
      <c r="M36" s="8" t="str">
        <f>IFERROR(('PS Enrollment'!$AF$36-'Comparison Population'!$E$14), "")</f>
        <v/>
      </c>
      <c r="N36" s="8" t="str">
        <f>IFERROR(('PS Enrollment'!$AG$36-'Comparison Population'!$E$15), "")</f>
        <v/>
      </c>
      <c r="O36" s="8" t="str">
        <f>IFERROR(('PS Enrollment'!$AH$36-'Comparison Population'!$E$16), "")</f>
        <v/>
      </c>
      <c r="P36" s="8" t="str">
        <f>IFERROR(('PS Enrollment'!$AI$36-'Comparison Population'!$E$17), "")</f>
        <v/>
      </c>
      <c r="Q36" s="8" t="str">
        <f>IFERROR(('PS Enrollment'!$AJ$36-'Comparison Population'!$E$19), "")</f>
        <v/>
      </c>
      <c r="R36" s="8" t="str">
        <f>IFERROR(('PS Enrollment'!$AK$36-'Comparison Population'!$E$20), "")</f>
        <v/>
      </c>
      <c r="S36" s="8" t="str">
        <f>IFERROR(('PS Enrollment'!$AL$36-'Comparison Population'!$E$21), "")</f>
        <v/>
      </c>
      <c r="T36" s="8" t="str">
        <f>IFERROR(('PS Enrollment'!$AM$36-'Comparison Population'!$E$22), "")</f>
        <v/>
      </c>
      <c r="U36" s="8" t="str">
        <f>IFERROR(('PS Enrollment'!$AN$36-'Comparison Population'!$E$23), "")</f>
        <v/>
      </c>
      <c r="V36" s="8" t="str">
        <f>IFERROR(('PS Enrollment'!$AO$36-'Comparison Population'!$E$24), "")</f>
        <v/>
      </c>
      <c r="W36" s="8" t="str">
        <f>IFERROR(('PS Enrollment'!$AP$36-'Comparison Population'!$E$25), "")</f>
        <v/>
      </c>
      <c r="X36" s="8" t="str">
        <f>IFERROR(('PS Enrollment'!$AQ$36-'Comparison Population'!$E$26), "")</f>
        <v/>
      </c>
      <c r="Y36" s="8" t="str">
        <f>IFERROR(('PS Enrollment'!$AR$36-'Comparison Population'!$E$27), "")</f>
        <v/>
      </c>
    </row>
    <row r="37" spans="1:25" x14ac:dyDescent="0.25">
      <c r="A37" s="36">
        <f>'PS Enrollment'!$A$37</f>
        <v>0</v>
      </c>
      <c r="B37" s="36">
        <f>'PS Enrollment'!$B$37</f>
        <v>0</v>
      </c>
      <c r="C37" s="36">
        <f>'PS Enrollment'!$C$37</f>
        <v>0</v>
      </c>
      <c r="D37" s="8" t="str">
        <f>IFERROR('PS Enrollment'!$D$37/'PS Enrollment'!$D$108, "")</f>
        <v/>
      </c>
      <c r="E37" s="10">
        <f>'PS Enrollment'!D$37</f>
        <v>0</v>
      </c>
      <c r="F37" s="8" t="str">
        <f>IFERROR(('PS Enrollment'!$Y$37-'Comparison Population'!$E37), "")</f>
        <v/>
      </c>
      <c r="G37" s="8" t="str">
        <f>IFERROR(('PS Enrollment'!$Z$37-'Comparison Population'!$E$7), "")</f>
        <v/>
      </c>
      <c r="H37" s="8" t="str">
        <f>IFERROR(('PS Enrollment'!$AA$37-'Comparison Population'!$E$8), "")</f>
        <v/>
      </c>
      <c r="I37" s="8" t="str">
        <f>IFERROR(('PS Enrollment'!$AB$37-'Comparison Population'!$E$10), "")</f>
        <v/>
      </c>
      <c r="J37" s="8" t="str">
        <f>IFERROR(('PS Enrollment'!$AC$37-'Comparison Population'!$E$11), "")</f>
        <v/>
      </c>
      <c r="K37" s="8" t="str">
        <f>IFERROR(('PS Enrollment'!$AD$37-'Comparison Population'!$E$12), "")</f>
        <v/>
      </c>
      <c r="L37" s="8" t="str">
        <f>IFERROR(('PS Enrollment'!$AE$37-'Comparison Population'!$E$13), "")</f>
        <v/>
      </c>
      <c r="M37" s="8" t="str">
        <f>IFERROR(('PS Enrollment'!$AF$37-'Comparison Population'!$E$14), "")</f>
        <v/>
      </c>
      <c r="N37" s="8" t="str">
        <f>IFERROR(('PS Enrollment'!$AG$37-'Comparison Population'!$E$15), "")</f>
        <v/>
      </c>
      <c r="O37" s="8" t="str">
        <f>IFERROR(('PS Enrollment'!$AH$37-'Comparison Population'!$E$16), "")</f>
        <v/>
      </c>
      <c r="P37" s="8" t="str">
        <f>IFERROR(('PS Enrollment'!$AI$37-'Comparison Population'!$E$17), "")</f>
        <v/>
      </c>
      <c r="Q37" s="8" t="str">
        <f>IFERROR(('PS Enrollment'!$AJ$37-'Comparison Population'!$E$19), "")</f>
        <v/>
      </c>
      <c r="R37" s="8" t="str">
        <f>IFERROR(('PS Enrollment'!$AK$37-'Comparison Population'!$E$20), "")</f>
        <v/>
      </c>
      <c r="S37" s="8" t="str">
        <f>IFERROR(('PS Enrollment'!$AL$37-'Comparison Population'!$E$21), "")</f>
        <v/>
      </c>
      <c r="T37" s="8" t="str">
        <f>IFERROR(('PS Enrollment'!$AM$37-'Comparison Population'!$E$22), "")</f>
        <v/>
      </c>
      <c r="U37" s="8" t="str">
        <f>IFERROR(('PS Enrollment'!$AN$37-'Comparison Population'!$E$23), "")</f>
        <v/>
      </c>
      <c r="V37" s="8" t="str">
        <f>IFERROR(('PS Enrollment'!$AO$37-'Comparison Population'!$E$24), "")</f>
        <v/>
      </c>
      <c r="W37" s="8" t="str">
        <f>IFERROR(('PS Enrollment'!$AP$37-'Comparison Population'!$E$25), "")</f>
        <v/>
      </c>
      <c r="X37" s="8" t="str">
        <f>IFERROR(('PS Enrollment'!$AQ$37-'Comparison Population'!$E$26), "")</f>
        <v/>
      </c>
      <c r="Y37" s="8" t="str">
        <f>IFERROR(('PS Enrollment'!$AR$37-'Comparison Population'!$E$27), "")</f>
        <v/>
      </c>
    </row>
    <row r="38" spans="1:25" x14ac:dyDescent="0.25">
      <c r="A38" s="36">
        <f>'PS Enrollment'!$A$38</f>
        <v>0</v>
      </c>
      <c r="B38" s="36">
        <f>'PS Enrollment'!$B$38</f>
        <v>0</v>
      </c>
      <c r="C38" s="36">
        <f>'PS Enrollment'!$C$38</f>
        <v>0</v>
      </c>
      <c r="D38" s="8" t="str">
        <f>IFERROR('PS Enrollment'!$D$38/'PS Enrollment'!$D$108, "")</f>
        <v/>
      </c>
      <c r="E38" s="10">
        <f>'PS Enrollment'!D$38</f>
        <v>0</v>
      </c>
      <c r="F38" s="8" t="str">
        <f>IFERROR(('PS Enrollment'!$Y$38-'Comparison Population'!$E38), "")</f>
        <v/>
      </c>
      <c r="G38" s="8" t="str">
        <f>IFERROR(('PS Enrollment'!$Z$38-'Comparison Population'!$E$7), "")</f>
        <v/>
      </c>
      <c r="H38" s="8" t="str">
        <f>IFERROR(('PS Enrollment'!$AA$38-'Comparison Population'!$E$8), "")</f>
        <v/>
      </c>
      <c r="I38" s="8" t="str">
        <f>IFERROR(('PS Enrollment'!$AB$38-'Comparison Population'!$E$10), "")</f>
        <v/>
      </c>
      <c r="J38" s="8" t="str">
        <f>IFERROR(('PS Enrollment'!$AC$38-'Comparison Population'!$E$11), "")</f>
        <v/>
      </c>
      <c r="K38" s="8" t="str">
        <f>IFERROR(('PS Enrollment'!$AD$38-'Comparison Population'!$E$12), "")</f>
        <v/>
      </c>
      <c r="L38" s="8" t="str">
        <f>IFERROR(('PS Enrollment'!$AE$38-'Comparison Population'!$E$13), "")</f>
        <v/>
      </c>
      <c r="M38" s="8" t="str">
        <f>IFERROR(('PS Enrollment'!$AF$38-'Comparison Population'!$E$14), "")</f>
        <v/>
      </c>
      <c r="N38" s="8" t="str">
        <f>IFERROR(('PS Enrollment'!$AG$38-'Comparison Population'!$E$15), "")</f>
        <v/>
      </c>
      <c r="O38" s="8" t="str">
        <f>IFERROR(('PS Enrollment'!$AH$38-'Comparison Population'!$E$16), "")</f>
        <v/>
      </c>
      <c r="P38" s="8" t="str">
        <f>IFERROR(('PS Enrollment'!$AI$38-'Comparison Population'!$E$17), "")</f>
        <v/>
      </c>
      <c r="Q38" s="8" t="str">
        <f>IFERROR(('PS Enrollment'!$AJ$38-'Comparison Population'!$E$19), "")</f>
        <v/>
      </c>
      <c r="R38" s="8" t="str">
        <f>IFERROR(('PS Enrollment'!$AK$38-'Comparison Population'!$E$20), "")</f>
        <v/>
      </c>
      <c r="S38" s="8" t="str">
        <f>IFERROR(('PS Enrollment'!$AL$38-'Comparison Population'!$E$21), "")</f>
        <v/>
      </c>
      <c r="T38" s="8" t="str">
        <f>IFERROR(('PS Enrollment'!$AM$38-'Comparison Population'!$E$22), "")</f>
        <v/>
      </c>
      <c r="U38" s="8" t="str">
        <f>IFERROR(('PS Enrollment'!$AN$38-'Comparison Population'!$E$23), "")</f>
        <v/>
      </c>
      <c r="V38" s="8" t="str">
        <f>IFERROR(('PS Enrollment'!$AO$38-'Comparison Population'!$E$24), "")</f>
        <v/>
      </c>
      <c r="W38" s="8" t="str">
        <f>IFERROR(('PS Enrollment'!$AP$38-'Comparison Population'!$E$25), "")</f>
        <v/>
      </c>
      <c r="X38" s="8" t="str">
        <f>IFERROR(('PS Enrollment'!$AQ$38-'Comparison Population'!$E$26), "")</f>
        <v/>
      </c>
      <c r="Y38" s="8" t="str">
        <f>IFERROR(('PS Enrollment'!$AR$38-'Comparison Population'!$E$27), "")</f>
        <v/>
      </c>
    </row>
    <row r="39" spans="1:25" x14ac:dyDescent="0.25">
      <c r="A39" s="36">
        <f>'PS Enrollment'!$A$39</f>
        <v>0</v>
      </c>
      <c r="B39" s="36">
        <f>'PS Enrollment'!$B$39</f>
        <v>0</v>
      </c>
      <c r="C39" s="36">
        <f>'PS Enrollment'!$C$39</f>
        <v>0</v>
      </c>
      <c r="D39" s="8" t="str">
        <f>IFERROR('PS Enrollment'!$D$39/'PS Enrollment'!$D$108, "")</f>
        <v/>
      </c>
      <c r="E39" s="10">
        <f>'PS Enrollment'!D$39</f>
        <v>0</v>
      </c>
      <c r="F39" s="8" t="str">
        <f>IFERROR(('PS Enrollment'!$Y$39-'Comparison Population'!$E39), "")</f>
        <v/>
      </c>
      <c r="G39" s="8" t="str">
        <f>IFERROR(('PS Enrollment'!$Z$39-'Comparison Population'!$E$7), "")</f>
        <v/>
      </c>
      <c r="H39" s="8" t="str">
        <f>IFERROR(('PS Enrollment'!$AA$39-'Comparison Population'!$E$8), "")</f>
        <v/>
      </c>
      <c r="I39" s="8" t="str">
        <f>IFERROR(('PS Enrollment'!$AB$39-'Comparison Population'!$E$10), "")</f>
        <v/>
      </c>
      <c r="J39" s="8" t="str">
        <f>IFERROR(('PS Enrollment'!$AC$39-'Comparison Population'!$E$11), "")</f>
        <v/>
      </c>
      <c r="K39" s="8" t="str">
        <f>IFERROR(('PS Enrollment'!$AD$39-'Comparison Population'!$E$12), "")</f>
        <v/>
      </c>
      <c r="L39" s="8" t="str">
        <f>IFERROR(('PS Enrollment'!$AE$39-'Comparison Population'!$E$13), "")</f>
        <v/>
      </c>
      <c r="M39" s="8" t="str">
        <f>IFERROR(('PS Enrollment'!$AF$39-'Comparison Population'!$E$14), "")</f>
        <v/>
      </c>
      <c r="N39" s="8" t="str">
        <f>IFERROR(('PS Enrollment'!$AG$39-'Comparison Population'!$E$15), "")</f>
        <v/>
      </c>
      <c r="O39" s="8" t="str">
        <f>IFERROR(('PS Enrollment'!$AH$39-'Comparison Population'!$E$16), "")</f>
        <v/>
      </c>
      <c r="P39" s="8" t="str">
        <f>IFERROR(('PS Enrollment'!$AI$39-'Comparison Population'!$E$17), "")</f>
        <v/>
      </c>
      <c r="Q39" s="8" t="str">
        <f>IFERROR(('PS Enrollment'!$AJ$39-'Comparison Population'!$E$19), "")</f>
        <v/>
      </c>
      <c r="R39" s="8" t="str">
        <f>IFERROR(('PS Enrollment'!$AK$39-'Comparison Population'!$E$20), "")</f>
        <v/>
      </c>
      <c r="S39" s="8" t="str">
        <f>IFERROR(('PS Enrollment'!$AL$39-'Comparison Population'!$E$21), "")</f>
        <v/>
      </c>
      <c r="T39" s="8" t="str">
        <f>IFERROR(('PS Enrollment'!$AM$39-'Comparison Population'!$E$22), "")</f>
        <v/>
      </c>
      <c r="U39" s="8" t="str">
        <f>IFERROR(('PS Enrollment'!$AN$39-'Comparison Population'!$E$23), "")</f>
        <v/>
      </c>
      <c r="V39" s="8" t="str">
        <f>IFERROR(('PS Enrollment'!$AO$39-'Comparison Population'!$E$24), "")</f>
        <v/>
      </c>
      <c r="W39" s="8" t="str">
        <f>IFERROR(('PS Enrollment'!$AP$39-'Comparison Population'!$E$25), "")</f>
        <v/>
      </c>
      <c r="X39" s="8" t="str">
        <f>IFERROR(('PS Enrollment'!$AQ$39-'Comparison Population'!$E$26), "")</f>
        <v/>
      </c>
      <c r="Y39" s="8" t="str">
        <f>IFERROR(('PS Enrollment'!$AR$39-'Comparison Population'!$E$27), "")</f>
        <v/>
      </c>
    </row>
    <row r="40" spans="1:25" x14ac:dyDescent="0.25">
      <c r="A40" s="36">
        <f>'PS Enrollment'!$A$40</f>
        <v>0</v>
      </c>
      <c r="B40" s="36">
        <f>'PS Enrollment'!$B$40</f>
        <v>0</v>
      </c>
      <c r="C40" s="36">
        <f>'PS Enrollment'!$C$40</f>
        <v>0</v>
      </c>
      <c r="D40" s="8" t="str">
        <f>IFERROR('PS Enrollment'!$D$40/'PS Enrollment'!$D$108, "")</f>
        <v/>
      </c>
      <c r="E40" s="10">
        <f>'PS Enrollment'!D$40</f>
        <v>0</v>
      </c>
      <c r="F40" s="8" t="str">
        <f>IFERROR(('PS Enrollment'!$Y$40-'Comparison Population'!$E40), "")</f>
        <v/>
      </c>
      <c r="G40" s="8" t="str">
        <f>IFERROR(('PS Enrollment'!$Z$40-'Comparison Population'!$E$7), "")</f>
        <v/>
      </c>
      <c r="H40" s="8" t="str">
        <f>IFERROR(('PS Enrollment'!$AA$40-'Comparison Population'!$E$8), "")</f>
        <v/>
      </c>
      <c r="I40" s="8" t="str">
        <f>IFERROR(('PS Enrollment'!$AB$40-'Comparison Population'!$E$10), "")</f>
        <v/>
      </c>
      <c r="J40" s="8" t="str">
        <f>IFERROR(('PS Enrollment'!$AC$40-'Comparison Population'!$E$11), "")</f>
        <v/>
      </c>
      <c r="K40" s="8" t="str">
        <f>IFERROR(('PS Enrollment'!$AD$40-'Comparison Population'!$E$12), "")</f>
        <v/>
      </c>
      <c r="L40" s="8" t="str">
        <f>IFERROR(('PS Enrollment'!$AE$40-'Comparison Population'!$E$13), "")</f>
        <v/>
      </c>
      <c r="M40" s="8" t="str">
        <f>IFERROR(('PS Enrollment'!$AF$40-'Comparison Population'!$E$14), "")</f>
        <v/>
      </c>
      <c r="N40" s="8" t="str">
        <f>IFERROR(('PS Enrollment'!$AG$40-'Comparison Population'!$E$15), "")</f>
        <v/>
      </c>
      <c r="O40" s="8" t="str">
        <f>IFERROR(('PS Enrollment'!$AH$40-'Comparison Population'!$E$16), "")</f>
        <v/>
      </c>
      <c r="P40" s="8" t="str">
        <f>IFERROR(('PS Enrollment'!$AI$40-'Comparison Population'!$E$17), "")</f>
        <v/>
      </c>
      <c r="Q40" s="8" t="str">
        <f>IFERROR(('PS Enrollment'!$AJ$40-'Comparison Population'!$E$19), "")</f>
        <v/>
      </c>
      <c r="R40" s="8" t="str">
        <f>IFERROR(('PS Enrollment'!$AK$40-'Comparison Population'!$E$20), "")</f>
        <v/>
      </c>
      <c r="S40" s="8" t="str">
        <f>IFERROR(('PS Enrollment'!$AL$40-'Comparison Population'!$E$21), "")</f>
        <v/>
      </c>
      <c r="T40" s="8" t="str">
        <f>IFERROR(('PS Enrollment'!$AM$40-'Comparison Population'!$E$22), "")</f>
        <v/>
      </c>
      <c r="U40" s="8" t="str">
        <f>IFERROR(('PS Enrollment'!$AN$40-'Comparison Population'!$E$23), "")</f>
        <v/>
      </c>
      <c r="V40" s="8" t="str">
        <f>IFERROR(('PS Enrollment'!$AO$40-'Comparison Population'!$E$24), "")</f>
        <v/>
      </c>
      <c r="W40" s="8" t="str">
        <f>IFERROR(('PS Enrollment'!$AP$40-'Comparison Population'!$E$25), "")</f>
        <v/>
      </c>
      <c r="X40" s="8" t="str">
        <f>IFERROR(('PS Enrollment'!$AQ$40-'Comparison Population'!$E$26), "")</f>
        <v/>
      </c>
      <c r="Y40" s="8" t="str">
        <f>IFERROR(('PS Enrollment'!$AR$40-'Comparison Population'!$E$27), "")</f>
        <v/>
      </c>
    </row>
    <row r="41" spans="1:25" x14ac:dyDescent="0.25">
      <c r="A41" s="36">
        <f>'PS Enrollment'!$A$41</f>
        <v>0</v>
      </c>
      <c r="B41" s="36">
        <f>'PS Enrollment'!$B$41</f>
        <v>0</v>
      </c>
      <c r="C41" s="36">
        <f>'PS Enrollment'!$C$41</f>
        <v>0</v>
      </c>
      <c r="D41" s="8" t="str">
        <f>IFERROR('PS Enrollment'!$D$41/'PS Enrollment'!$D$108, "")</f>
        <v/>
      </c>
      <c r="E41" s="10">
        <f>'PS Enrollment'!D$41</f>
        <v>0</v>
      </c>
      <c r="F41" s="8" t="str">
        <f>IFERROR(('PS Enrollment'!$Y$41-'Comparison Population'!$E41), "")</f>
        <v/>
      </c>
      <c r="G41" s="8" t="str">
        <f>IFERROR(('PS Enrollment'!$Z$41-'Comparison Population'!$E$7), "")</f>
        <v/>
      </c>
      <c r="H41" s="8" t="str">
        <f>IFERROR(('PS Enrollment'!$AA$41-'Comparison Population'!$E$8), "")</f>
        <v/>
      </c>
      <c r="I41" s="8" t="str">
        <f>IFERROR(('PS Enrollment'!$AB$41-'Comparison Population'!$E$10), "")</f>
        <v/>
      </c>
      <c r="J41" s="8" t="str">
        <f>IFERROR(('PS Enrollment'!$AC$41-'Comparison Population'!$E$11), "")</f>
        <v/>
      </c>
      <c r="K41" s="8" t="str">
        <f>IFERROR(('PS Enrollment'!$AD$41-'Comparison Population'!$E$12), "")</f>
        <v/>
      </c>
      <c r="L41" s="8" t="str">
        <f>IFERROR(('PS Enrollment'!$AE$41-'Comparison Population'!$E$13), "")</f>
        <v/>
      </c>
      <c r="M41" s="8" t="str">
        <f>IFERROR(('PS Enrollment'!$AF$41-'Comparison Population'!$E$14), "")</f>
        <v/>
      </c>
      <c r="N41" s="8" t="str">
        <f>IFERROR(('PS Enrollment'!$AG$41-'Comparison Population'!$E$15), "")</f>
        <v/>
      </c>
      <c r="O41" s="8" t="str">
        <f>IFERROR(('PS Enrollment'!$AH$41-'Comparison Population'!$E$16), "")</f>
        <v/>
      </c>
      <c r="P41" s="8" t="str">
        <f>IFERROR(('PS Enrollment'!$AI$41-'Comparison Population'!$E$17), "")</f>
        <v/>
      </c>
      <c r="Q41" s="8" t="str">
        <f>IFERROR(('PS Enrollment'!$AJ$41-'Comparison Population'!$E$19), "")</f>
        <v/>
      </c>
      <c r="R41" s="8" t="str">
        <f>IFERROR(('PS Enrollment'!$AK$41-'Comparison Population'!$E$20), "")</f>
        <v/>
      </c>
      <c r="S41" s="8" t="str">
        <f>IFERROR(('PS Enrollment'!$AL$41-'Comparison Population'!$E$21), "")</f>
        <v/>
      </c>
      <c r="T41" s="8" t="str">
        <f>IFERROR(('PS Enrollment'!$AM$41-'Comparison Population'!$E$22), "")</f>
        <v/>
      </c>
      <c r="U41" s="8" t="str">
        <f>IFERROR(('PS Enrollment'!$AN$41-'Comparison Population'!$E$23), "")</f>
        <v/>
      </c>
      <c r="V41" s="8" t="str">
        <f>IFERROR(('PS Enrollment'!$AO$41-'Comparison Population'!$E$24), "")</f>
        <v/>
      </c>
      <c r="W41" s="8" t="str">
        <f>IFERROR(('PS Enrollment'!$AP$41-'Comparison Population'!$E$25), "")</f>
        <v/>
      </c>
      <c r="X41" s="8" t="str">
        <f>IFERROR(('PS Enrollment'!$AQ$41-'Comparison Population'!$E$26), "")</f>
        <v/>
      </c>
      <c r="Y41" s="8" t="str">
        <f>IFERROR(('PS Enrollment'!$AR$41-'Comparison Population'!$E$27), "")</f>
        <v/>
      </c>
    </row>
    <row r="42" spans="1:25" x14ac:dyDescent="0.25">
      <c r="A42" s="36">
        <f>'PS Enrollment'!$A$42</f>
        <v>0</v>
      </c>
      <c r="B42" s="36">
        <f>'PS Enrollment'!$B$42</f>
        <v>0</v>
      </c>
      <c r="C42" s="36">
        <f>'PS Enrollment'!$C$42</f>
        <v>0</v>
      </c>
      <c r="D42" s="8" t="str">
        <f>IFERROR('PS Enrollment'!$D$42/'PS Enrollment'!$D$108, "")</f>
        <v/>
      </c>
      <c r="E42" s="10">
        <f>'PS Enrollment'!D$42</f>
        <v>0</v>
      </c>
      <c r="F42" s="8" t="str">
        <f>IFERROR(('PS Enrollment'!$Y$42-'Comparison Population'!$E42), "")</f>
        <v/>
      </c>
      <c r="G42" s="8" t="str">
        <f>IFERROR(('PS Enrollment'!$Z$42-'Comparison Population'!$E$7), "")</f>
        <v/>
      </c>
      <c r="H42" s="8" t="str">
        <f>IFERROR(('PS Enrollment'!$AA$42-'Comparison Population'!$E$8), "")</f>
        <v/>
      </c>
      <c r="I42" s="8" t="str">
        <f>IFERROR(('PS Enrollment'!$AB$42-'Comparison Population'!$E$10), "")</f>
        <v/>
      </c>
      <c r="J42" s="8" t="str">
        <f>IFERROR(('PS Enrollment'!$AC$42-'Comparison Population'!$E$11), "")</f>
        <v/>
      </c>
      <c r="K42" s="8" t="str">
        <f>IFERROR(('PS Enrollment'!$AD$42-'Comparison Population'!$E$12), "")</f>
        <v/>
      </c>
      <c r="L42" s="8" t="str">
        <f>IFERROR(('PS Enrollment'!$AE$42-'Comparison Population'!$E$13), "")</f>
        <v/>
      </c>
      <c r="M42" s="8" t="str">
        <f>IFERROR(('PS Enrollment'!$AF$42-'Comparison Population'!$E$14), "")</f>
        <v/>
      </c>
      <c r="N42" s="8" t="str">
        <f>IFERROR(('PS Enrollment'!$AG$42-'Comparison Population'!$E$15), "")</f>
        <v/>
      </c>
      <c r="O42" s="8" t="str">
        <f>IFERROR(('PS Enrollment'!$AH$42-'Comparison Population'!$E$16), "")</f>
        <v/>
      </c>
      <c r="P42" s="8" t="str">
        <f>IFERROR(('PS Enrollment'!$AI$42-'Comparison Population'!$E$17), "")</f>
        <v/>
      </c>
      <c r="Q42" s="8" t="str">
        <f>IFERROR(('PS Enrollment'!$AJ$42-'Comparison Population'!$E$19), "")</f>
        <v/>
      </c>
      <c r="R42" s="8" t="str">
        <f>IFERROR(('PS Enrollment'!$AK$42-'Comparison Population'!$E$20), "")</f>
        <v/>
      </c>
      <c r="S42" s="8" t="str">
        <f>IFERROR(('PS Enrollment'!$AL$42-'Comparison Population'!$E$21), "")</f>
        <v/>
      </c>
      <c r="T42" s="8" t="str">
        <f>IFERROR(('PS Enrollment'!$AM$42-'Comparison Population'!$E$22), "")</f>
        <v/>
      </c>
      <c r="U42" s="8" t="str">
        <f>IFERROR(('PS Enrollment'!$AN$42-'Comparison Population'!$E$23), "")</f>
        <v/>
      </c>
      <c r="V42" s="8" t="str">
        <f>IFERROR(('PS Enrollment'!$AO$42-'Comparison Population'!$E$24), "")</f>
        <v/>
      </c>
      <c r="W42" s="8" t="str">
        <f>IFERROR(('PS Enrollment'!$AP$42-'Comparison Population'!$E$25), "")</f>
        <v/>
      </c>
      <c r="X42" s="8" t="str">
        <f>IFERROR(('PS Enrollment'!$AQ$42-'Comparison Population'!$E$26), "")</f>
        <v/>
      </c>
      <c r="Y42" s="8" t="str">
        <f>IFERROR(('PS Enrollment'!$AR$42-'Comparison Population'!$E$27), "")</f>
        <v/>
      </c>
    </row>
    <row r="43" spans="1:25" x14ac:dyDescent="0.25">
      <c r="A43" s="36">
        <f>'PS Enrollment'!$A$43</f>
        <v>0</v>
      </c>
      <c r="B43" s="36">
        <f>'PS Enrollment'!$B$43</f>
        <v>0</v>
      </c>
      <c r="C43" s="36">
        <f>'PS Enrollment'!$C$43</f>
        <v>0</v>
      </c>
      <c r="D43" s="8" t="str">
        <f>IFERROR('PS Enrollment'!$D$43/'PS Enrollment'!$D$108, "")</f>
        <v/>
      </c>
      <c r="E43" s="10">
        <f>'PS Enrollment'!D$43</f>
        <v>0</v>
      </c>
      <c r="F43" s="8" t="str">
        <f>IFERROR(('PS Enrollment'!$Y$43-'Comparison Population'!$E43), "")</f>
        <v/>
      </c>
      <c r="G43" s="8" t="str">
        <f>IFERROR(('PS Enrollment'!$Z$43-'Comparison Population'!$E$7), "")</f>
        <v/>
      </c>
      <c r="H43" s="8" t="str">
        <f>IFERROR(('PS Enrollment'!$AA$43-'Comparison Population'!$E$8), "")</f>
        <v/>
      </c>
      <c r="I43" s="8" t="str">
        <f>IFERROR(('PS Enrollment'!$AB$43-'Comparison Population'!$E$10), "")</f>
        <v/>
      </c>
      <c r="J43" s="8" t="str">
        <f>IFERROR(('PS Enrollment'!$AC$43-'Comparison Population'!$E$11), "")</f>
        <v/>
      </c>
      <c r="K43" s="8" t="str">
        <f>IFERROR(('PS Enrollment'!$AD$43-'Comparison Population'!$E$12), "")</f>
        <v/>
      </c>
      <c r="L43" s="8" t="str">
        <f>IFERROR(('PS Enrollment'!$AE$43-'Comparison Population'!$E$13), "")</f>
        <v/>
      </c>
      <c r="M43" s="8" t="str">
        <f>IFERROR(('PS Enrollment'!$AF$43-'Comparison Population'!$E$14), "")</f>
        <v/>
      </c>
      <c r="N43" s="8" t="str">
        <f>IFERROR(('PS Enrollment'!$AG$43-'Comparison Population'!$E$15), "")</f>
        <v/>
      </c>
      <c r="O43" s="8" t="str">
        <f>IFERROR(('PS Enrollment'!$AH$43-'Comparison Population'!$E$16), "")</f>
        <v/>
      </c>
      <c r="P43" s="8" t="str">
        <f>IFERROR(('PS Enrollment'!$AI$43-'Comparison Population'!$E$17), "")</f>
        <v/>
      </c>
      <c r="Q43" s="8" t="str">
        <f>IFERROR(('PS Enrollment'!$AJ$43-'Comparison Population'!$E$19), "")</f>
        <v/>
      </c>
      <c r="R43" s="8" t="str">
        <f>IFERROR(('PS Enrollment'!$AK$43-'Comparison Population'!$E$20), "")</f>
        <v/>
      </c>
      <c r="S43" s="8" t="str">
        <f>IFERROR(('PS Enrollment'!$AL$43-'Comparison Population'!$E$21), "")</f>
        <v/>
      </c>
      <c r="T43" s="8" t="str">
        <f>IFERROR(('PS Enrollment'!$AM$43-'Comparison Population'!$E$22), "")</f>
        <v/>
      </c>
      <c r="U43" s="8" t="str">
        <f>IFERROR(('PS Enrollment'!$AN$43-'Comparison Population'!$E$23), "")</f>
        <v/>
      </c>
      <c r="V43" s="8" t="str">
        <f>IFERROR(('PS Enrollment'!$AO$43-'Comparison Population'!$E$24), "")</f>
        <v/>
      </c>
      <c r="W43" s="8" t="str">
        <f>IFERROR(('PS Enrollment'!$AP$43-'Comparison Population'!$E$25), "")</f>
        <v/>
      </c>
      <c r="X43" s="8" t="str">
        <f>IFERROR(('PS Enrollment'!$AQ$43-'Comparison Population'!$E$26), "")</f>
        <v/>
      </c>
      <c r="Y43" s="8" t="str">
        <f>IFERROR(('PS Enrollment'!$AR$43-'Comparison Population'!$E$27), "")</f>
        <v/>
      </c>
    </row>
    <row r="44" spans="1:25" x14ac:dyDescent="0.25">
      <c r="A44" s="36">
        <f>'PS Enrollment'!$A$44</f>
        <v>0</v>
      </c>
      <c r="B44" s="36">
        <f>'PS Enrollment'!$B$44</f>
        <v>0</v>
      </c>
      <c r="C44" s="36">
        <f>'PS Enrollment'!$C$44</f>
        <v>0</v>
      </c>
      <c r="D44" s="8" t="str">
        <f>IFERROR('PS Enrollment'!$D$44/'PS Enrollment'!$D$108, "")</f>
        <v/>
      </c>
      <c r="E44" s="10">
        <f>'PS Enrollment'!D$44</f>
        <v>0</v>
      </c>
      <c r="F44" s="8" t="str">
        <f>IFERROR(('PS Enrollment'!$Y$44-'Comparison Population'!$E44), "")</f>
        <v/>
      </c>
      <c r="G44" s="8" t="str">
        <f>IFERROR(('PS Enrollment'!$Z$44-'Comparison Population'!$E$7), "")</f>
        <v/>
      </c>
      <c r="H44" s="8" t="str">
        <f>IFERROR(('PS Enrollment'!$AA$44-'Comparison Population'!$E$8), "")</f>
        <v/>
      </c>
      <c r="I44" s="8" t="str">
        <f>IFERROR(('PS Enrollment'!$AB$44-'Comparison Population'!$E$10), "")</f>
        <v/>
      </c>
      <c r="J44" s="8" t="str">
        <f>IFERROR(('PS Enrollment'!$AC$44-'Comparison Population'!$E$11), "")</f>
        <v/>
      </c>
      <c r="K44" s="8" t="str">
        <f>IFERROR(('PS Enrollment'!$AD$44-'Comparison Population'!$E$12), "")</f>
        <v/>
      </c>
      <c r="L44" s="8" t="str">
        <f>IFERROR(('PS Enrollment'!$AE$44-'Comparison Population'!$E$13), "")</f>
        <v/>
      </c>
      <c r="M44" s="8" t="str">
        <f>IFERROR(('PS Enrollment'!$AF$44-'Comparison Population'!$E$14), "")</f>
        <v/>
      </c>
      <c r="N44" s="8" t="str">
        <f>IFERROR(('PS Enrollment'!$AG$44-'Comparison Population'!$E$15), "")</f>
        <v/>
      </c>
      <c r="O44" s="8" t="str">
        <f>IFERROR(('PS Enrollment'!$AH$44-'Comparison Population'!$E$16), "")</f>
        <v/>
      </c>
      <c r="P44" s="8" t="str">
        <f>IFERROR(('PS Enrollment'!$AI$44-'Comparison Population'!$E$17), "")</f>
        <v/>
      </c>
      <c r="Q44" s="8" t="str">
        <f>IFERROR(('PS Enrollment'!$AJ$44-'Comparison Population'!$E$19), "")</f>
        <v/>
      </c>
      <c r="R44" s="8" t="str">
        <f>IFERROR(('PS Enrollment'!$AK$44-'Comparison Population'!$E$20), "")</f>
        <v/>
      </c>
      <c r="S44" s="8" t="str">
        <f>IFERROR(('PS Enrollment'!$AL$44-'Comparison Population'!$E$21), "")</f>
        <v/>
      </c>
      <c r="T44" s="8" t="str">
        <f>IFERROR(('PS Enrollment'!$AM$44-'Comparison Population'!$E$22), "")</f>
        <v/>
      </c>
      <c r="U44" s="8" t="str">
        <f>IFERROR(('PS Enrollment'!$AN$44-'Comparison Population'!$E$23), "")</f>
        <v/>
      </c>
      <c r="V44" s="8" t="str">
        <f>IFERROR(('PS Enrollment'!$AO$44-'Comparison Population'!$E$24), "")</f>
        <v/>
      </c>
      <c r="W44" s="8" t="str">
        <f>IFERROR(('PS Enrollment'!$AP$44-'Comparison Population'!$E$25), "")</f>
        <v/>
      </c>
      <c r="X44" s="8" t="str">
        <f>IFERROR(('PS Enrollment'!$AQ$44-'Comparison Population'!$E$26), "")</f>
        <v/>
      </c>
      <c r="Y44" s="8" t="str">
        <f>IFERROR(('PS Enrollment'!$AR$44-'Comparison Population'!$E$27), "")</f>
        <v/>
      </c>
    </row>
    <row r="45" spans="1:25" x14ac:dyDescent="0.25">
      <c r="A45" s="36">
        <f>'PS Enrollment'!$A$45</f>
        <v>0</v>
      </c>
      <c r="B45" s="36">
        <f>'PS Enrollment'!$B$45</f>
        <v>0</v>
      </c>
      <c r="C45" s="36">
        <f>'PS Enrollment'!$C$45</f>
        <v>0</v>
      </c>
      <c r="D45" s="8" t="str">
        <f>IFERROR('PS Enrollment'!$D$45/'PS Enrollment'!$D$108, "")</f>
        <v/>
      </c>
      <c r="E45" s="10">
        <f>'PS Enrollment'!D$45</f>
        <v>0</v>
      </c>
      <c r="F45" s="8" t="str">
        <f>IFERROR(('PS Enrollment'!$Y$45-'Comparison Population'!$E45), "")</f>
        <v/>
      </c>
      <c r="G45" s="8" t="str">
        <f>IFERROR(('PS Enrollment'!$Z$45-'Comparison Population'!$E$7), "")</f>
        <v/>
      </c>
      <c r="H45" s="8" t="str">
        <f>IFERROR(('PS Enrollment'!$AA$45-'Comparison Population'!$E$8), "")</f>
        <v/>
      </c>
      <c r="I45" s="8" t="str">
        <f>IFERROR(('PS Enrollment'!$AB$45-'Comparison Population'!$E$10), "")</f>
        <v/>
      </c>
      <c r="J45" s="8" t="str">
        <f>IFERROR(('PS Enrollment'!$AC$45-'Comparison Population'!$E$11), "")</f>
        <v/>
      </c>
      <c r="K45" s="8" t="str">
        <f>IFERROR(('PS Enrollment'!$AD$45-'Comparison Population'!$E$12), "")</f>
        <v/>
      </c>
      <c r="L45" s="8" t="str">
        <f>IFERROR(('PS Enrollment'!$AE$45-'Comparison Population'!$E$13), "")</f>
        <v/>
      </c>
      <c r="M45" s="8" t="str">
        <f>IFERROR(('PS Enrollment'!$AF$45-'Comparison Population'!$E$14), "")</f>
        <v/>
      </c>
      <c r="N45" s="8" t="str">
        <f>IFERROR(('PS Enrollment'!$AG$45-'Comparison Population'!$E$15), "")</f>
        <v/>
      </c>
      <c r="O45" s="8" t="str">
        <f>IFERROR(('PS Enrollment'!$AH$45-'Comparison Population'!$E$16), "")</f>
        <v/>
      </c>
      <c r="P45" s="8" t="str">
        <f>IFERROR(('PS Enrollment'!$AI$45-'Comparison Population'!$E$17), "")</f>
        <v/>
      </c>
      <c r="Q45" s="8" t="str">
        <f>IFERROR(('PS Enrollment'!$AJ$45-'Comparison Population'!$E$19), "")</f>
        <v/>
      </c>
      <c r="R45" s="8" t="str">
        <f>IFERROR(('PS Enrollment'!$AK$45-'Comparison Population'!$E$20), "")</f>
        <v/>
      </c>
      <c r="S45" s="8" t="str">
        <f>IFERROR(('PS Enrollment'!$AL$45-'Comparison Population'!$E$21), "")</f>
        <v/>
      </c>
      <c r="T45" s="8" t="str">
        <f>IFERROR(('PS Enrollment'!$AM$45-'Comparison Population'!$E$22), "")</f>
        <v/>
      </c>
      <c r="U45" s="8" t="str">
        <f>IFERROR(('PS Enrollment'!$AN$45-'Comparison Population'!$E$23), "")</f>
        <v/>
      </c>
      <c r="V45" s="8" t="str">
        <f>IFERROR(('PS Enrollment'!$AO$45-'Comparison Population'!$E$24), "")</f>
        <v/>
      </c>
      <c r="W45" s="8" t="str">
        <f>IFERROR(('PS Enrollment'!$AP$45-'Comparison Population'!$E$25), "")</f>
        <v/>
      </c>
      <c r="X45" s="8" t="str">
        <f>IFERROR(('PS Enrollment'!$AQ$45-'Comparison Population'!$E$26), "")</f>
        <v/>
      </c>
      <c r="Y45" s="8" t="str">
        <f>IFERROR(('PS Enrollment'!$AR$45-'Comparison Population'!$E$27), "")</f>
        <v/>
      </c>
    </row>
    <row r="46" spans="1:25" x14ac:dyDescent="0.25">
      <c r="A46" s="36">
        <f>'PS Enrollment'!$A$46</f>
        <v>0</v>
      </c>
      <c r="B46" s="36">
        <f>'PS Enrollment'!$B$46</f>
        <v>0</v>
      </c>
      <c r="C46" s="36">
        <f>'PS Enrollment'!$C$46</f>
        <v>0</v>
      </c>
      <c r="D46" s="8" t="str">
        <f>IFERROR('PS Enrollment'!$D$46/'PS Enrollment'!$D$108, "")</f>
        <v/>
      </c>
      <c r="E46" s="10">
        <f>'PS Enrollment'!D$46</f>
        <v>0</v>
      </c>
      <c r="F46" s="8" t="str">
        <f>IFERROR(('PS Enrollment'!$Y$46-'Comparison Population'!$E46), "")</f>
        <v/>
      </c>
      <c r="G46" s="8" t="str">
        <f>IFERROR(('PS Enrollment'!$Z$46-'Comparison Population'!$E$7), "")</f>
        <v/>
      </c>
      <c r="H46" s="8" t="str">
        <f>IFERROR(('PS Enrollment'!$AA$46-'Comparison Population'!$E$8), "")</f>
        <v/>
      </c>
      <c r="I46" s="8" t="str">
        <f>IFERROR(('PS Enrollment'!$AB$46-'Comparison Population'!$E$10), "")</f>
        <v/>
      </c>
      <c r="J46" s="8" t="str">
        <f>IFERROR(('PS Enrollment'!$AC$46-'Comparison Population'!$E$11), "")</f>
        <v/>
      </c>
      <c r="K46" s="8" t="str">
        <f>IFERROR(('PS Enrollment'!$AD$46-'Comparison Population'!$E$12), "")</f>
        <v/>
      </c>
      <c r="L46" s="8" t="str">
        <f>IFERROR(('PS Enrollment'!$AE$46-'Comparison Population'!$E$13), "")</f>
        <v/>
      </c>
      <c r="M46" s="8" t="str">
        <f>IFERROR(('PS Enrollment'!$AF$46-'Comparison Population'!$E$14), "")</f>
        <v/>
      </c>
      <c r="N46" s="8" t="str">
        <f>IFERROR(('PS Enrollment'!$AG$46-'Comparison Population'!$E$15), "")</f>
        <v/>
      </c>
      <c r="O46" s="8" t="str">
        <f>IFERROR(('PS Enrollment'!$AH$46-'Comparison Population'!$E$16), "")</f>
        <v/>
      </c>
      <c r="P46" s="8" t="str">
        <f>IFERROR(('PS Enrollment'!$AI$46-'Comparison Population'!$E$17), "")</f>
        <v/>
      </c>
      <c r="Q46" s="8" t="str">
        <f>IFERROR(('PS Enrollment'!$AJ$46-'Comparison Population'!$E$19), "")</f>
        <v/>
      </c>
      <c r="R46" s="8" t="str">
        <f>IFERROR(('PS Enrollment'!$AK$46-'Comparison Population'!$E$20), "")</f>
        <v/>
      </c>
      <c r="S46" s="8" t="str">
        <f>IFERROR(('PS Enrollment'!$AL$46-'Comparison Population'!$E$21), "")</f>
        <v/>
      </c>
      <c r="T46" s="8" t="str">
        <f>IFERROR(('PS Enrollment'!$AM$46-'Comparison Population'!$E$22), "")</f>
        <v/>
      </c>
      <c r="U46" s="8" t="str">
        <f>IFERROR(('PS Enrollment'!$AN$46-'Comparison Population'!$E$23), "")</f>
        <v/>
      </c>
      <c r="V46" s="8" t="str">
        <f>IFERROR(('PS Enrollment'!$AO$46-'Comparison Population'!$E$24), "")</f>
        <v/>
      </c>
      <c r="W46" s="8" t="str">
        <f>IFERROR(('PS Enrollment'!$AP$46-'Comparison Population'!$E$25), "")</f>
        <v/>
      </c>
      <c r="X46" s="8" t="str">
        <f>IFERROR(('PS Enrollment'!$AQ$46-'Comparison Population'!$E$26), "")</f>
        <v/>
      </c>
      <c r="Y46" s="8" t="str">
        <f>IFERROR(('PS Enrollment'!$AR$46-'Comparison Population'!$E$27), "")</f>
        <v/>
      </c>
    </row>
    <row r="47" spans="1:25" x14ac:dyDescent="0.25">
      <c r="A47" s="36">
        <f>'PS Enrollment'!$A$47</f>
        <v>0</v>
      </c>
      <c r="B47" s="36">
        <f>'PS Enrollment'!$B$47</f>
        <v>0</v>
      </c>
      <c r="C47" s="36">
        <f>'PS Enrollment'!$C$47</f>
        <v>0</v>
      </c>
      <c r="D47" s="8" t="str">
        <f>IFERROR('PS Enrollment'!$D$47/'PS Enrollment'!$D$108, "")</f>
        <v/>
      </c>
      <c r="E47" s="10">
        <f>'PS Enrollment'!D$47</f>
        <v>0</v>
      </c>
      <c r="F47" s="8" t="str">
        <f>IFERROR(('PS Enrollment'!$Y$47-'Comparison Population'!$E47), "")</f>
        <v/>
      </c>
      <c r="G47" s="8" t="str">
        <f>IFERROR(('PS Enrollment'!$Z$47-'Comparison Population'!$E$7), "")</f>
        <v/>
      </c>
      <c r="H47" s="8" t="str">
        <f>IFERROR(('PS Enrollment'!$AA$47-'Comparison Population'!$E$8), "")</f>
        <v/>
      </c>
      <c r="I47" s="8" t="str">
        <f>IFERROR(('PS Enrollment'!$AB$47-'Comparison Population'!$E$10), "")</f>
        <v/>
      </c>
      <c r="J47" s="8" t="str">
        <f>IFERROR(('PS Enrollment'!$AC$47-'Comparison Population'!$E$11), "")</f>
        <v/>
      </c>
      <c r="K47" s="8" t="str">
        <f>IFERROR(('PS Enrollment'!$AD$47-'Comparison Population'!$E$12), "")</f>
        <v/>
      </c>
      <c r="L47" s="8" t="str">
        <f>IFERROR(('PS Enrollment'!$AE$47-'Comparison Population'!$E$13), "")</f>
        <v/>
      </c>
      <c r="M47" s="8" t="str">
        <f>IFERROR(('PS Enrollment'!$AF$47-'Comparison Population'!$E$14), "")</f>
        <v/>
      </c>
      <c r="N47" s="8" t="str">
        <f>IFERROR(('PS Enrollment'!$AG$47-'Comparison Population'!$E$15), "")</f>
        <v/>
      </c>
      <c r="O47" s="8" t="str">
        <f>IFERROR(('PS Enrollment'!$AH$47-'Comparison Population'!$E$16), "")</f>
        <v/>
      </c>
      <c r="P47" s="8" t="str">
        <f>IFERROR(('PS Enrollment'!$AI$47-'Comparison Population'!$E$17), "")</f>
        <v/>
      </c>
      <c r="Q47" s="8" t="str">
        <f>IFERROR(('PS Enrollment'!$AJ$47-'Comparison Population'!$E$19), "")</f>
        <v/>
      </c>
      <c r="R47" s="8" t="str">
        <f>IFERROR(('PS Enrollment'!$AK$47-'Comparison Population'!$E$20), "")</f>
        <v/>
      </c>
      <c r="S47" s="8" t="str">
        <f>IFERROR(('PS Enrollment'!$AL$47-'Comparison Population'!$E$21), "")</f>
        <v/>
      </c>
      <c r="T47" s="8" t="str">
        <f>IFERROR(('PS Enrollment'!$AM$47-'Comparison Population'!$E$22), "")</f>
        <v/>
      </c>
      <c r="U47" s="8" t="str">
        <f>IFERROR(('PS Enrollment'!$AN$47-'Comparison Population'!$E$23), "")</f>
        <v/>
      </c>
      <c r="V47" s="8" t="str">
        <f>IFERROR(('PS Enrollment'!$AO$47-'Comparison Population'!$E$24), "")</f>
        <v/>
      </c>
      <c r="W47" s="8" t="str">
        <f>IFERROR(('PS Enrollment'!$AP$47-'Comparison Population'!$E$25), "")</f>
        <v/>
      </c>
      <c r="X47" s="8" t="str">
        <f>IFERROR(('PS Enrollment'!$AQ$47-'Comparison Population'!$E$26), "")</f>
        <v/>
      </c>
      <c r="Y47" s="8" t="str">
        <f>IFERROR(('PS Enrollment'!$AR$47-'Comparison Population'!$E$27), "")</f>
        <v/>
      </c>
    </row>
    <row r="48" spans="1:25" x14ac:dyDescent="0.25">
      <c r="A48" s="36">
        <f>'PS Enrollment'!$A$48</f>
        <v>0</v>
      </c>
      <c r="B48" s="36">
        <f>'PS Enrollment'!$B$48</f>
        <v>0</v>
      </c>
      <c r="C48" s="36">
        <f>'PS Enrollment'!$C$48</f>
        <v>0</v>
      </c>
      <c r="D48" s="8" t="str">
        <f>IFERROR('PS Enrollment'!$D$48/'PS Enrollment'!$D$108, "")</f>
        <v/>
      </c>
      <c r="E48" s="10">
        <f>'PS Enrollment'!D$48</f>
        <v>0</v>
      </c>
      <c r="F48" s="8" t="str">
        <f>IFERROR(('PS Enrollment'!$Y$48-'Comparison Population'!$E48), "")</f>
        <v/>
      </c>
      <c r="G48" s="8" t="str">
        <f>IFERROR(('PS Enrollment'!$Z$48-'Comparison Population'!$E$7), "")</f>
        <v/>
      </c>
      <c r="H48" s="8" t="str">
        <f>IFERROR(('PS Enrollment'!$AA$48-'Comparison Population'!$E$8), "")</f>
        <v/>
      </c>
      <c r="I48" s="8" t="str">
        <f>IFERROR(('PS Enrollment'!$AB$48-'Comparison Population'!$E$10), "")</f>
        <v/>
      </c>
      <c r="J48" s="8" t="str">
        <f>IFERROR(('PS Enrollment'!$AC$48-'Comparison Population'!$E$11), "")</f>
        <v/>
      </c>
      <c r="K48" s="8" t="str">
        <f>IFERROR(('PS Enrollment'!$AD$48-'Comparison Population'!$E$12), "")</f>
        <v/>
      </c>
      <c r="L48" s="8" t="str">
        <f>IFERROR(('PS Enrollment'!$AE$48-'Comparison Population'!$E$13), "")</f>
        <v/>
      </c>
      <c r="M48" s="8" t="str">
        <f>IFERROR(('PS Enrollment'!$AF$48-'Comparison Population'!$E$14), "")</f>
        <v/>
      </c>
      <c r="N48" s="8" t="str">
        <f>IFERROR(('PS Enrollment'!$AG$48-'Comparison Population'!$E$15), "")</f>
        <v/>
      </c>
      <c r="O48" s="8" t="str">
        <f>IFERROR(('PS Enrollment'!$AH$48-'Comparison Population'!$E$16), "")</f>
        <v/>
      </c>
      <c r="P48" s="8" t="str">
        <f>IFERROR(('PS Enrollment'!$AI$48-'Comparison Population'!$E$17), "")</f>
        <v/>
      </c>
      <c r="Q48" s="8" t="str">
        <f>IFERROR(('PS Enrollment'!$AJ$48-'Comparison Population'!$E$19), "")</f>
        <v/>
      </c>
      <c r="R48" s="8" t="str">
        <f>IFERROR(('PS Enrollment'!$AK$48-'Comparison Population'!$E$20), "")</f>
        <v/>
      </c>
      <c r="S48" s="8" t="str">
        <f>IFERROR(('PS Enrollment'!$AL$48-'Comparison Population'!$E$21), "")</f>
        <v/>
      </c>
      <c r="T48" s="8" t="str">
        <f>IFERROR(('PS Enrollment'!$AM$48-'Comparison Population'!$E$22), "")</f>
        <v/>
      </c>
      <c r="U48" s="8" t="str">
        <f>IFERROR(('PS Enrollment'!$AN$48-'Comparison Population'!$E$23), "")</f>
        <v/>
      </c>
      <c r="V48" s="8" t="str">
        <f>IFERROR(('PS Enrollment'!$AO$48-'Comparison Population'!$E$24), "")</f>
        <v/>
      </c>
      <c r="W48" s="8" t="str">
        <f>IFERROR(('PS Enrollment'!$AP$48-'Comparison Population'!$E$25), "")</f>
        <v/>
      </c>
      <c r="X48" s="8" t="str">
        <f>IFERROR(('PS Enrollment'!$AQ$48-'Comparison Population'!$E$26), "")</f>
        <v/>
      </c>
      <c r="Y48" s="8" t="str">
        <f>IFERROR(('PS Enrollment'!$AR$48-'Comparison Population'!$E$27), "")</f>
        <v/>
      </c>
    </row>
    <row r="49" spans="1:25" x14ac:dyDescent="0.25">
      <c r="A49" s="36">
        <f>'PS Enrollment'!$A$49</f>
        <v>0</v>
      </c>
      <c r="B49" s="36">
        <f>'PS Enrollment'!$B$49</f>
        <v>0</v>
      </c>
      <c r="C49" s="36">
        <f>'PS Enrollment'!$C$49</f>
        <v>0</v>
      </c>
      <c r="D49" s="8" t="str">
        <f>IFERROR('PS Enrollment'!$D$49/'PS Enrollment'!$D$108, "")</f>
        <v/>
      </c>
      <c r="E49" s="10">
        <f>'PS Enrollment'!D$49</f>
        <v>0</v>
      </c>
      <c r="F49" s="8" t="str">
        <f>IFERROR(('PS Enrollment'!$Y$49-'Comparison Population'!$E49), "")</f>
        <v/>
      </c>
      <c r="G49" s="8" t="str">
        <f>IFERROR(('PS Enrollment'!$Z$49-'Comparison Population'!$E$7), "")</f>
        <v/>
      </c>
      <c r="H49" s="8" t="str">
        <f>IFERROR(('PS Enrollment'!$AA$49-'Comparison Population'!$E$8), "")</f>
        <v/>
      </c>
      <c r="I49" s="8" t="str">
        <f>IFERROR(('PS Enrollment'!$AB$49-'Comparison Population'!$E$10), "")</f>
        <v/>
      </c>
      <c r="J49" s="8" t="str">
        <f>IFERROR(('PS Enrollment'!$AC$49-'Comparison Population'!$E$11), "")</f>
        <v/>
      </c>
      <c r="K49" s="8" t="str">
        <f>IFERROR(('PS Enrollment'!$AD$49-'Comparison Population'!$E$12), "")</f>
        <v/>
      </c>
      <c r="L49" s="8" t="str">
        <f>IFERROR(('PS Enrollment'!$AE$49-'Comparison Population'!$E$13), "")</f>
        <v/>
      </c>
      <c r="M49" s="8" t="str">
        <f>IFERROR(('PS Enrollment'!$AF$49-'Comparison Population'!$E$14), "")</f>
        <v/>
      </c>
      <c r="N49" s="8" t="str">
        <f>IFERROR(('PS Enrollment'!$AG$49-'Comparison Population'!$E$15), "")</f>
        <v/>
      </c>
      <c r="O49" s="8" t="str">
        <f>IFERROR(('PS Enrollment'!$AH$49-'Comparison Population'!$E$16), "")</f>
        <v/>
      </c>
      <c r="P49" s="8" t="str">
        <f>IFERROR(('PS Enrollment'!$AI$49-'Comparison Population'!$E$17), "")</f>
        <v/>
      </c>
      <c r="Q49" s="8" t="str">
        <f>IFERROR(('PS Enrollment'!$AJ$49-'Comparison Population'!$E$19), "")</f>
        <v/>
      </c>
      <c r="R49" s="8" t="str">
        <f>IFERROR(('PS Enrollment'!$AK$49-'Comparison Population'!$E$20), "")</f>
        <v/>
      </c>
      <c r="S49" s="8" t="str">
        <f>IFERROR(('PS Enrollment'!$AL$49-'Comparison Population'!$E$21), "")</f>
        <v/>
      </c>
      <c r="T49" s="8" t="str">
        <f>IFERROR(('PS Enrollment'!$AM$49-'Comparison Population'!$E$22), "")</f>
        <v/>
      </c>
      <c r="U49" s="8" t="str">
        <f>IFERROR(('PS Enrollment'!$AN$49-'Comparison Population'!$E$23), "")</f>
        <v/>
      </c>
      <c r="V49" s="8" t="str">
        <f>IFERROR(('PS Enrollment'!$AO$49-'Comparison Population'!$E$24), "")</f>
        <v/>
      </c>
      <c r="W49" s="8" t="str">
        <f>IFERROR(('PS Enrollment'!$AP$49-'Comparison Population'!$E$25), "")</f>
        <v/>
      </c>
      <c r="X49" s="8" t="str">
        <f>IFERROR(('PS Enrollment'!$AQ$49-'Comparison Population'!$E$26), "")</f>
        <v/>
      </c>
      <c r="Y49" s="8" t="str">
        <f>IFERROR(('PS Enrollment'!$AR$49-'Comparison Population'!$E$27), "")</f>
        <v/>
      </c>
    </row>
    <row r="50" spans="1:25" x14ac:dyDescent="0.25">
      <c r="A50" s="36">
        <f>'PS Enrollment'!$A$50</f>
        <v>0</v>
      </c>
      <c r="B50" s="36">
        <f>'PS Enrollment'!$B$50</f>
        <v>0</v>
      </c>
      <c r="C50" s="36">
        <f>'PS Enrollment'!$C$50</f>
        <v>0</v>
      </c>
      <c r="D50" s="8" t="str">
        <f>IFERROR('PS Enrollment'!$D$50/'PS Enrollment'!$D$108, "")</f>
        <v/>
      </c>
      <c r="E50" s="10">
        <f>'PS Enrollment'!D$50</f>
        <v>0</v>
      </c>
      <c r="F50" s="8" t="str">
        <f>IFERROR(('PS Enrollment'!$Y$50-'Comparison Population'!$E50), "")</f>
        <v/>
      </c>
      <c r="G50" s="8" t="str">
        <f>IFERROR(('PS Enrollment'!$Z$50-'Comparison Population'!$E$7), "")</f>
        <v/>
      </c>
      <c r="H50" s="8" t="str">
        <f>IFERROR(('PS Enrollment'!$AA$50-'Comparison Population'!$E$8), "")</f>
        <v/>
      </c>
      <c r="I50" s="8" t="str">
        <f>IFERROR(('PS Enrollment'!$AB$50-'Comparison Population'!$E$10), "")</f>
        <v/>
      </c>
      <c r="J50" s="8" t="str">
        <f>IFERROR(('PS Enrollment'!$AC$50-'Comparison Population'!$E$11), "")</f>
        <v/>
      </c>
      <c r="K50" s="8" t="str">
        <f>IFERROR(('PS Enrollment'!$AD$50-'Comparison Population'!$E$12), "")</f>
        <v/>
      </c>
      <c r="L50" s="8" t="str">
        <f>IFERROR(('PS Enrollment'!$AE$50-'Comparison Population'!$E$13), "")</f>
        <v/>
      </c>
      <c r="M50" s="8" t="str">
        <f>IFERROR(('PS Enrollment'!$AF$50-'Comparison Population'!$E$14), "")</f>
        <v/>
      </c>
      <c r="N50" s="8" t="str">
        <f>IFERROR(('PS Enrollment'!$AG$50-'Comparison Population'!$E$15), "")</f>
        <v/>
      </c>
      <c r="O50" s="8" t="str">
        <f>IFERROR(('PS Enrollment'!$AH$50-'Comparison Population'!$E$16), "")</f>
        <v/>
      </c>
      <c r="P50" s="8" t="str">
        <f>IFERROR(('PS Enrollment'!$AI$50-'Comparison Population'!$E$17), "")</f>
        <v/>
      </c>
      <c r="Q50" s="8" t="str">
        <f>IFERROR(('PS Enrollment'!$AJ$50-'Comparison Population'!$E$19), "")</f>
        <v/>
      </c>
      <c r="R50" s="8" t="str">
        <f>IFERROR(('PS Enrollment'!$AK$50-'Comparison Population'!$E$20), "")</f>
        <v/>
      </c>
      <c r="S50" s="8" t="str">
        <f>IFERROR(('PS Enrollment'!$AL$50-'Comparison Population'!$E$21), "")</f>
        <v/>
      </c>
      <c r="T50" s="8" t="str">
        <f>IFERROR(('PS Enrollment'!$AM$50-'Comparison Population'!$E$22), "")</f>
        <v/>
      </c>
      <c r="U50" s="8" t="str">
        <f>IFERROR(('PS Enrollment'!$AN$50-'Comparison Population'!$E$23), "")</f>
        <v/>
      </c>
      <c r="V50" s="8" t="str">
        <f>IFERROR(('PS Enrollment'!$AO$50-'Comparison Population'!$E$24), "")</f>
        <v/>
      </c>
      <c r="W50" s="8" t="str">
        <f>IFERROR(('PS Enrollment'!$AP$50-'Comparison Population'!$E$25), "")</f>
        <v/>
      </c>
      <c r="X50" s="8" t="str">
        <f>IFERROR(('PS Enrollment'!$AQ$50-'Comparison Population'!$E$26), "")</f>
        <v/>
      </c>
      <c r="Y50" s="8" t="str">
        <f>IFERROR(('PS Enrollment'!$AR$50-'Comparison Population'!$E$27), "")</f>
        <v/>
      </c>
    </row>
    <row r="51" spans="1:25" x14ac:dyDescent="0.25">
      <c r="A51" s="36">
        <f>'PS Enrollment'!$A$51</f>
        <v>0</v>
      </c>
      <c r="B51" s="36">
        <f>'PS Enrollment'!$B$51</f>
        <v>0</v>
      </c>
      <c r="C51" s="36">
        <f>'PS Enrollment'!$C$51</f>
        <v>0</v>
      </c>
      <c r="D51" s="8" t="str">
        <f>IFERROR('PS Enrollment'!$D$51/'PS Enrollment'!$D$108, "")</f>
        <v/>
      </c>
      <c r="E51" s="10">
        <f>'PS Enrollment'!D$51</f>
        <v>0</v>
      </c>
      <c r="F51" s="8" t="str">
        <f>IFERROR(('PS Enrollment'!$Y$51-'Comparison Population'!$E51), "")</f>
        <v/>
      </c>
      <c r="G51" s="8" t="str">
        <f>IFERROR(('PS Enrollment'!$Z$51-'Comparison Population'!$E$7), "")</f>
        <v/>
      </c>
      <c r="H51" s="8" t="str">
        <f>IFERROR(('PS Enrollment'!$AA$51-'Comparison Population'!$E$8), "")</f>
        <v/>
      </c>
      <c r="I51" s="8" t="str">
        <f>IFERROR(('PS Enrollment'!$AB$51-'Comparison Population'!$E$10), "")</f>
        <v/>
      </c>
      <c r="J51" s="8" t="str">
        <f>IFERROR(('PS Enrollment'!$AC$51-'Comparison Population'!$E$11), "")</f>
        <v/>
      </c>
      <c r="K51" s="8" t="str">
        <f>IFERROR(('PS Enrollment'!$AD$51-'Comparison Population'!$E$12), "")</f>
        <v/>
      </c>
      <c r="L51" s="8" t="str">
        <f>IFERROR(('PS Enrollment'!$AE$51-'Comparison Population'!$E$13), "")</f>
        <v/>
      </c>
      <c r="M51" s="8" t="str">
        <f>IFERROR(('PS Enrollment'!$AF$51-'Comparison Population'!$E$14), "")</f>
        <v/>
      </c>
      <c r="N51" s="8" t="str">
        <f>IFERROR(('PS Enrollment'!$AG$51-'Comparison Population'!$E$15), "")</f>
        <v/>
      </c>
      <c r="O51" s="8" t="str">
        <f>IFERROR(('PS Enrollment'!$AH$51-'Comparison Population'!$E$16), "")</f>
        <v/>
      </c>
      <c r="P51" s="8" t="str">
        <f>IFERROR(('PS Enrollment'!$AI$51-'Comparison Population'!$E$17), "")</f>
        <v/>
      </c>
      <c r="Q51" s="8" t="str">
        <f>IFERROR(('PS Enrollment'!$AJ$51-'Comparison Population'!$E$19), "")</f>
        <v/>
      </c>
      <c r="R51" s="8" t="str">
        <f>IFERROR(('PS Enrollment'!$AK$51-'Comparison Population'!$E$20), "")</f>
        <v/>
      </c>
      <c r="S51" s="8" t="str">
        <f>IFERROR(('PS Enrollment'!$AL$51-'Comparison Population'!$E$21), "")</f>
        <v/>
      </c>
      <c r="T51" s="8" t="str">
        <f>IFERROR(('PS Enrollment'!$AM$51-'Comparison Population'!$E$22), "")</f>
        <v/>
      </c>
      <c r="U51" s="8" t="str">
        <f>IFERROR(('PS Enrollment'!$AN$51-'Comparison Population'!$E$23), "")</f>
        <v/>
      </c>
      <c r="V51" s="8" t="str">
        <f>IFERROR(('PS Enrollment'!$AO$51-'Comparison Population'!$E$24), "")</f>
        <v/>
      </c>
      <c r="W51" s="8" t="str">
        <f>IFERROR(('PS Enrollment'!$AP$51-'Comparison Population'!$E$25), "")</f>
        <v/>
      </c>
      <c r="X51" s="8" t="str">
        <f>IFERROR(('PS Enrollment'!$AQ$51-'Comparison Population'!$E$26), "")</f>
        <v/>
      </c>
      <c r="Y51" s="8" t="str">
        <f>IFERROR(('PS Enrollment'!$AR$51-'Comparison Population'!$E$27), "")</f>
        <v/>
      </c>
    </row>
    <row r="52" spans="1:25" x14ac:dyDescent="0.25">
      <c r="A52" s="36">
        <f>'PS Enrollment'!$A$52</f>
        <v>0</v>
      </c>
      <c r="B52" s="36">
        <f>'PS Enrollment'!$B$52</f>
        <v>0</v>
      </c>
      <c r="C52" s="36">
        <f>'PS Enrollment'!$C$52</f>
        <v>0</v>
      </c>
      <c r="D52" s="8" t="str">
        <f>IFERROR('PS Enrollment'!$D$52/'PS Enrollment'!$D$108, "")</f>
        <v/>
      </c>
      <c r="E52" s="10">
        <f>'PS Enrollment'!D$52</f>
        <v>0</v>
      </c>
      <c r="F52" s="8" t="str">
        <f>IFERROR(('PS Enrollment'!$Y$52-'Comparison Population'!$E52), "")</f>
        <v/>
      </c>
      <c r="G52" s="8" t="str">
        <f>IFERROR(('PS Enrollment'!$Z$52-'Comparison Population'!$E$7), "")</f>
        <v/>
      </c>
      <c r="H52" s="8" t="str">
        <f>IFERROR(('PS Enrollment'!$AA$52-'Comparison Population'!$E$8), "")</f>
        <v/>
      </c>
      <c r="I52" s="8" t="str">
        <f>IFERROR(('PS Enrollment'!$AB$52-'Comparison Population'!$E$10), "")</f>
        <v/>
      </c>
      <c r="J52" s="8" t="str">
        <f>IFERROR(('PS Enrollment'!$AC$52-'Comparison Population'!$E$11), "")</f>
        <v/>
      </c>
      <c r="K52" s="8" t="str">
        <f>IFERROR(('PS Enrollment'!$AD$52-'Comparison Population'!$E$12), "")</f>
        <v/>
      </c>
      <c r="L52" s="8" t="str">
        <f>IFERROR(('PS Enrollment'!$AE$52-'Comparison Population'!$E$13), "")</f>
        <v/>
      </c>
      <c r="M52" s="8" t="str">
        <f>IFERROR(('PS Enrollment'!$AF$52-'Comparison Population'!$E$14), "")</f>
        <v/>
      </c>
      <c r="N52" s="8" t="str">
        <f>IFERROR(('PS Enrollment'!$AG$52-'Comparison Population'!$E$15), "")</f>
        <v/>
      </c>
      <c r="O52" s="8" t="str">
        <f>IFERROR(('PS Enrollment'!$AH$52-'Comparison Population'!$E$16), "")</f>
        <v/>
      </c>
      <c r="P52" s="8" t="str">
        <f>IFERROR(('PS Enrollment'!$AI$52-'Comparison Population'!$E$17), "")</f>
        <v/>
      </c>
      <c r="Q52" s="8" t="str">
        <f>IFERROR(('PS Enrollment'!$AJ$52-'Comparison Population'!$E$19), "")</f>
        <v/>
      </c>
      <c r="R52" s="8" t="str">
        <f>IFERROR(('PS Enrollment'!$AK$52-'Comparison Population'!$E$20), "")</f>
        <v/>
      </c>
      <c r="S52" s="8" t="str">
        <f>IFERROR(('PS Enrollment'!$AL$52-'Comparison Population'!$E$21), "")</f>
        <v/>
      </c>
      <c r="T52" s="8" t="str">
        <f>IFERROR(('PS Enrollment'!$AM$52-'Comparison Population'!$E$22), "")</f>
        <v/>
      </c>
      <c r="U52" s="8" t="str">
        <f>IFERROR(('PS Enrollment'!$AN$52-'Comparison Population'!$E$23), "")</f>
        <v/>
      </c>
      <c r="V52" s="8" t="str">
        <f>IFERROR(('PS Enrollment'!$AO$52-'Comparison Population'!$E$24), "")</f>
        <v/>
      </c>
      <c r="W52" s="8" t="str">
        <f>IFERROR(('PS Enrollment'!$AP$52-'Comparison Population'!$E$25), "")</f>
        <v/>
      </c>
      <c r="X52" s="8" t="str">
        <f>IFERROR(('PS Enrollment'!$AQ$52-'Comparison Population'!$E$26), "")</f>
        <v/>
      </c>
      <c r="Y52" s="8" t="str">
        <f>IFERROR(('PS Enrollment'!$AR$52-'Comparison Population'!$E$27), "")</f>
        <v/>
      </c>
    </row>
    <row r="53" spans="1:25" x14ac:dyDescent="0.25">
      <c r="A53" s="36">
        <f>'PS Enrollment'!$A$53</f>
        <v>0</v>
      </c>
      <c r="B53" s="36">
        <f>'PS Enrollment'!$B$53</f>
        <v>0</v>
      </c>
      <c r="C53" s="36">
        <f>'PS Enrollment'!$C$53</f>
        <v>0</v>
      </c>
      <c r="D53" s="8" t="str">
        <f>IFERROR('PS Enrollment'!$D$53/'PS Enrollment'!$D$108, "")</f>
        <v/>
      </c>
      <c r="E53" s="10">
        <f>'PS Enrollment'!D$53</f>
        <v>0</v>
      </c>
      <c r="F53" s="8" t="str">
        <f>IFERROR(('PS Enrollment'!$Y$53-'Comparison Population'!$E53), "")</f>
        <v/>
      </c>
      <c r="G53" s="8" t="str">
        <f>IFERROR(('PS Enrollment'!$Z$53-'Comparison Population'!$E$7), "")</f>
        <v/>
      </c>
      <c r="H53" s="8" t="str">
        <f>IFERROR(('PS Enrollment'!$AA$53-'Comparison Population'!$E$8), "")</f>
        <v/>
      </c>
      <c r="I53" s="8" t="str">
        <f>IFERROR(('PS Enrollment'!$AB$53-'Comparison Population'!$E$10), "")</f>
        <v/>
      </c>
      <c r="J53" s="8" t="str">
        <f>IFERROR(('PS Enrollment'!$AC$53-'Comparison Population'!$E$11), "")</f>
        <v/>
      </c>
      <c r="K53" s="8" t="str">
        <f>IFERROR(('PS Enrollment'!$AD$53-'Comparison Population'!$E$12), "")</f>
        <v/>
      </c>
      <c r="L53" s="8" t="str">
        <f>IFERROR(('PS Enrollment'!$AE$53-'Comparison Population'!$E$13), "")</f>
        <v/>
      </c>
      <c r="M53" s="8" t="str">
        <f>IFERROR(('PS Enrollment'!$AF$53-'Comparison Population'!$E$14), "")</f>
        <v/>
      </c>
      <c r="N53" s="8" t="str">
        <f>IFERROR(('PS Enrollment'!$AG$53-'Comparison Population'!$E$15), "")</f>
        <v/>
      </c>
      <c r="O53" s="8" t="str">
        <f>IFERROR(('PS Enrollment'!$AH$53-'Comparison Population'!$E$16), "")</f>
        <v/>
      </c>
      <c r="P53" s="8" t="str">
        <f>IFERROR(('PS Enrollment'!$AI$53-'Comparison Population'!$E$17), "")</f>
        <v/>
      </c>
      <c r="Q53" s="8" t="str">
        <f>IFERROR(('PS Enrollment'!$AJ$53-'Comparison Population'!$E$19), "")</f>
        <v/>
      </c>
      <c r="R53" s="8" t="str">
        <f>IFERROR(('PS Enrollment'!$AK$53-'Comparison Population'!$E$20), "")</f>
        <v/>
      </c>
      <c r="S53" s="8" t="str">
        <f>IFERROR(('PS Enrollment'!$AL$53-'Comparison Population'!$E$21), "")</f>
        <v/>
      </c>
      <c r="T53" s="8" t="str">
        <f>IFERROR(('PS Enrollment'!$AM$53-'Comparison Population'!$E$22), "")</f>
        <v/>
      </c>
      <c r="U53" s="8" t="str">
        <f>IFERROR(('PS Enrollment'!$AN$53-'Comparison Population'!$E$23), "")</f>
        <v/>
      </c>
      <c r="V53" s="8" t="str">
        <f>IFERROR(('PS Enrollment'!$AO$53-'Comparison Population'!$E$24), "")</f>
        <v/>
      </c>
      <c r="W53" s="8" t="str">
        <f>IFERROR(('PS Enrollment'!$AP$53-'Comparison Population'!$E$25), "")</f>
        <v/>
      </c>
      <c r="X53" s="8" t="str">
        <f>IFERROR(('PS Enrollment'!$AQ$53-'Comparison Population'!$E$26), "")</f>
        <v/>
      </c>
      <c r="Y53" s="8" t="str">
        <f>IFERROR(('PS Enrollment'!$AR$53-'Comparison Population'!$E$27), "")</f>
        <v/>
      </c>
    </row>
    <row r="54" spans="1:25" x14ac:dyDescent="0.25">
      <c r="A54" s="36">
        <f>'PS Enrollment'!$A$54</f>
        <v>0</v>
      </c>
      <c r="B54" s="36">
        <f>'PS Enrollment'!$B$54</f>
        <v>0</v>
      </c>
      <c r="C54" s="36">
        <f>'PS Enrollment'!$C$54</f>
        <v>0</v>
      </c>
      <c r="D54" s="8" t="str">
        <f>IFERROR('PS Enrollment'!$D$54/'PS Enrollment'!$D$108, "")</f>
        <v/>
      </c>
      <c r="E54" s="10">
        <f>'PS Enrollment'!D$54</f>
        <v>0</v>
      </c>
      <c r="F54" s="8" t="str">
        <f>IFERROR(('PS Enrollment'!$Y$54-'Comparison Population'!$E54), "")</f>
        <v/>
      </c>
      <c r="G54" s="8" t="str">
        <f>IFERROR(('PS Enrollment'!$Z$54-'Comparison Population'!$E$7), "")</f>
        <v/>
      </c>
      <c r="H54" s="8" t="str">
        <f>IFERROR(('PS Enrollment'!$AA$54-'Comparison Population'!$E$8), "")</f>
        <v/>
      </c>
      <c r="I54" s="8" t="str">
        <f>IFERROR(('PS Enrollment'!$AB$54-'Comparison Population'!$E$10), "")</f>
        <v/>
      </c>
      <c r="J54" s="8" t="str">
        <f>IFERROR(('PS Enrollment'!$AC$54-'Comparison Population'!$E$11), "")</f>
        <v/>
      </c>
      <c r="K54" s="8" t="str">
        <f>IFERROR(('PS Enrollment'!$AD$54-'Comparison Population'!$E$12), "")</f>
        <v/>
      </c>
      <c r="L54" s="8" t="str">
        <f>IFERROR(('PS Enrollment'!$AE$54-'Comparison Population'!$E$13), "")</f>
        <v/>
      </c>
      <c r="M54" s="8" t="str">
        <f>IFERROR(('PS Enrollment'!$AF$54-'Comparison Population'!$E$14), "")</f>
        <v/>
      </c>
      <c r="N54" s="8" t="str">
        <f>IFERROR(('PS Enrollment'!$AG$54-'Comparison Population'!$E$15), "")</f>
        <v/>
      </c>
      <c r="O54" s="8" t="str">
        <f>IFERROR(('PS Enrollment'!$AH$54-'Comparison Population'!$E$16), "")</f>
        <v/>
      </c>
      <c r="P54" s="8" t="str">
        <f>IFERROR(('PS Enrollment'!$AI$54-'Comparison Population'!$E$17), "")</f>
        <v/>
      </c>
      <c r="Q54" s="8" t="str">
        <f>IFERROR(('PS Enrollment'!$AJ$54-'Comparison Population'!$E$19), "")</f>
        <v/>
      </c>
      <c r="R54" s="8" t="str">
        <f>IFERROR(('PS Enrollment'!$AK$54-'Comparison Population'!$E$20), "")</f>
        <v/>
      </c>
      <c r="S54" s="8" t="str">
        <f>IFERROR(('PS Enrollment'!$AL$54-'Comparison Population'!$E$21), "")</f>
        <v/>
      </c>
      <c r="T54" s="8" t="str">
        <f>IFERROR(('PS Enrollment'!$AM$54-'Comparison Population'!$E$22), "")</f>
        <v/>
      </c>
      <c r="U54" s="8" t="str">
        <f>IFERROR(('PS Enrollment'!$AN$54-'Comparison Population'!$E$23), "")</f>
        <v/>
      </c>
      <c r="V54" s="8" t="str">
        <f>IFERROR(('PS Enrollment'!$AO$54-'Comparison Population'!$E$24), "")</f>
        <v/>
      </c>
      <c r="W54" s="8" t="str">
        <f>IFERROR(('PS Enrollment'!$AP$54-'Comparison Population'!$E$25), "")</f>
        <v/>
      </c>
      <c r="X54" s="8" t="str">
        <f>IFERROR(('PS Enrollment'!$AQ$54-'Comparison Population'!$E$26), "")</f>
        <v/>
      </c>
      <c r="Y54" s="8" t="str">
        <f>IFERROR(('PS Enrollment'!$AR$54-'Comparison Population'!$E$27), "")</f>
        <v/>
      </c>
    </row>
    <row r="55" spans="1:25" x14ac:dyDescent="0.25">
      <c r="A55" s="36">
        <f>'PS Enrollment'!$A$55</f>
        <v>0</v>
      </c>
      <c r="B55" s="36">
        <f>'PS Enrollment'!$B$55</f>
        <v>0</v>
      </c>
      <c r="C55" s="36">
        <f>'PS Enrollment'!$C$55</f>
        <v>0</v>
      </c>
      <c r="D55" s="8" t="str">
        <f>IFERROR('PS Enrollment'!$D$55/'PS Enrollment'!$D$108, "")</f>
        <v/>
      </c>
      <c r="E55" s="10">
        <f>'PS Enrollment'!D$55</f>
        <v>0</v>
      </c>
      <c r="F55" s="8" t="str">
        <f>IFERROR(('PS Enrollment'!$Y$55-'Comparison Population'!$E55), "")</f>
        <v/>
      </c>
      <c r="G55" s="8" t="str">
        <f>IFERROR(('PS Enrollment'!$Z$55-'Comparison Population'!$E$7), "")</f>
        <v/>
      </c>
      <c r="H55" s="8" t="str">
        <f>IFERROR(('PS Enrollment'!$AA$55-'Comparison Population'!$E$8), "")</f>
        <v/>
      </c>
      <c r="I55" s="8" t="str">
        <f>IFERROR(('PS Enrollment'!$AB$55-'Comparison Population'!$E$10), "")</f>
        <v/>
      </c>
      <c r="J55" s="8" t="str">
        <f>IFERROR(('PS Enrollment'!$AC$55-'Comparison Population'!$E$11), "")</f>
        <v/>
      </c>
      <c r="K55" s="8" t="str">
        <f>IFERROR(('PS Enrollment'!$AD$55-'Comparison Population'!$E$12), "")</f>
        <v/>
      </c>
      <c r="L55" s="8" t="str">
        <f>IFERROR(('PS Enrollment'!$AE$55-'Comparison Population'!$E$13), "")</f>
        <v/>
      </c>
      <c r="M55" s="8" t="str">
        <f>IFERROR(('PS Enrollment'!$AF$55-'Comparison Population'!$E$14), "")</f>
        <v/>
      </c>
      <c r="N55" s="8" t="str">
        <f>IFERROR(('PS Enrollment'!$AG$55-'Comparison Population'!$E$15), "")</f>
        <v/>
      </c>
      <c r="O55" s="8" t="str">
        <f>IFERROR(('PS Enrollment'!$AH$55-'Comparison Population'!$E$16), "")</f>
        <v/>
      </c>
      <c r="P55" s="8" t="str">
        <f>IFERROR(('PS Enrollment'!$AI$55-'Comparison Population'!$E$17), "")</f>
        <v/>
      </c>
      <c r="Q55" s="8" t="str">
        <f>IFERROR(('PS Enrollment'!$AJ$55-'Comparison Population'!$E$19), "")</f>
        <v/>
      </c>
      <c r="R55" s="8" t="str">
        <f>IFERROR(('PS Enrollment'!$AK$55-'Comparison Population'!$E$20), "")</f>
        <v/>
      </c>
      <c r="S55" s="8" t="str">
        <f>IFERROR(('PS Enrollment'!$AL$55-'Comparison Population'!$E$21), "")</f>
        <v/>
      </c>
      <c r="T55" s="8" t="str">
        <f>IFERROR(('PS Enrollment'!$AM$55-'Comparison Population'!$E$22), "")</f>
        <v/>
      </c>
      <c r="U55" s="8" t="str">
        <f>IFERROR(('PS Enrollment'!$AN$55-'Comparison Population'!$E$23), "")</f>
        <v/>
      </c>
      <c r="V55" s="8" t="str">
        <f>IFERROR(('PS Enrollment'!$AO$55-'Comparison Population'!$E$24), "")</f>
        <v/>
      </c>
      <c r="W55" s="8" t="str">
        <f>IFERROR(('PS Enrollment'!$AP$55-'Comparison Population'!$E$25), "")</f>
        <v/>
      </c>
      <c r="X55" s="8" t="str">
        <f>IFERROR(('PS Enrollment'!$AQ$55-'Comparison Population'!$E$26), "")</f>
        <v/>
      </c>
      <c r="Y55" s="8" t="str">
        <f>IFERROR(('PS Enrollment'!$AR$55-'Comparison Population'!$E$27), "")</f>
        <v/>
      </c>
    </row>
    <row r="56" spans="1:25" x14ac:dyDescent="0.25">
      <c r="A56" s="36">
        <f>'PS Enrollment'!$A$56</f>
        <v>0</v>
      </c>
      <c r="B56" s="36">
        <f>'PS Enrollment'!$B$56</f>
        <v>0</v>
      </c>
      <c r="C56" s="36">
        <f>'PS Enrollment'!$C$56</f>
        <v>0</v>
      </c>
      <c r="D56" s="8" t="str">
        <f>IFERROR('PS Enrollment'!$D$56/'PS Enrollment'!$D$108, "")</f>
        <v/>
      </c>
      <c r="E56" s="10">
        <f>'PS Enrollment'!D$56</f>
        <v>0</v>
      </c>
      <c r="F56" s="8" t="str">
        <f>IFERROR(('PS Enrollment'!$Y$56-'Comparison Population'!$E56), "")</f>
        <v/>
      </c>
      <c r="G56" s="8" t="str">
        <f>IFERROR(('PS Enrollment'!$Z$56-'Comparison Population'!$E$7), "")</f>
        <v/>
      </c>
      <c r="H56" s="8" t="str">
        <f>IFERROR(('PS Enrollment'!$AA$56-'Comparison Population'!$E$8), "")</f>
        <v/>
      </c>
      <c r="I56" s="8" t="str">
        <f>IFERROR(('PS Enrollment'!$AB$56-'Comparison Population'!$E$10), "")</f>
        <v/>
      </c>
      <c r="J56" s="8" t="str">
        <f>IFERROR(('PS Enrollment'!$AC$56-'Comparison Population'!$E$11), "")</f>
        <v/>
      </c>
      <c r="K56" s="8" t="str">
        <f>IFERROR(('PS Enrollment'!$AD$56-'Comparison Population'!$E$12), "")</f>
        <v/>
      </c>
      <c r="L56" s="8" t="str">
        <f>IFERROR(('PS Enrollment'!$AE$56-'Comparison Population'!$E$13), "")</f>
        <v/>
      </c>
      <c r="M56" s="8" t="str">
        <f>IFERROR(('PS Enrollment'!$AF$56-'Comparison Population'!$E$14), "")</f>
        <v/>
      </c>
      <c r="N56" s="8" t="str">
        <f>IFERROR(('PS Enrollment'!$AG$56-'Comparison Population'!$E$15), "")</f>
        <v/>
      </c>
      <c r="O56" s="8" t="str">
        <f>IFERROR(('PS Enrollment'!$AH$56-'Comparison Population'!$E$16), "")</f>
        <v/>
      </c>
      <c r="P56" s="8" t="str">
        <f>IFERROR(('PS Enrollment'!$AI$56-'Comparison Population'!$E$17), "")</f>
        <v/>
      </c>
      <c r="Q56" s="8" t="str">
        <f>IFERROR(('PS Enrollment'!$AJ$56-'Comparison Population'!$E$19), "")</f>
        <v/>
      </c>
      <c r="R56" s="8" t="str">
        <f>IFERROR(('PS Enrollment'!$AK$56-'Comparison Population'!$E$20), "")</f>
        <v/>
      </c>
      <c r="S56" s="8" t="str">
        <f>IFERROR(('PS Enrollment'!$AL$56-'Comparison Population'!$E$21), "")</f>
        <v/>
      </c>
      <c r="T56" s="8" t="str">
        <f>IFERROR(('PS Enrollment'!$AM$56-'Comparison Population'!$E$22), "")</f>
        <v/>
      </c>
      <c r="U56" s="8" t="str">
        <f>IFERROR(('PS Enrollment'!$AN$56-'Comparison Population'!$E$23), "")</f>
        <v/>
      </c>
      <c r="V56" s="8" t="str">
        <f>IFERROR(('PS Enrollment'!$AO$56-'Comparison Population'!$E$24), "")</f>
        <v/>
      </c>
      <c r="W56" s="8" t="str">
        <f>IFERROR(('PS Enrollment'!$AP$56-'Comparison Population'!$E$25), "")</f>
        <v/>
      </c>
      <c r="X56" s="8" t="str">
        <f>IFERROR(('PS Enrollment'!$AQ$56-'Comparison Population'!$E$26), "")</f>
        <v/>
      </c>
      <c r="Y56" s="8" t="str">
        <f>IFERROR(('PS Enrollment'!$AR$56-'Comparison Population'!$E$27), "")</f>
        <v/>
      </c>
    </row>
    <row r="57" spans="1:25" x14ac:dyDescent="0.25">
      <c r="A57" s="36">
        <f>'PS Enrollment'!$A$57</f>
        <v>0</v>
      </c>
      <c r="B57" s="36">
        <f>'PS Enrollment'!$B$57</f>
        <v>0</v>
      </c>
      <c r="C57" s="36">
        <f>'PS Enrollment'!$C$57</f>
        <v>0</v>
      </c>
      <c r="D57" s="8" t="str">
        <f>IFERROR('PS Enrollment'!$D$57/'PS Enrollment'!$D$108, "")</f>
        <v/>
      </c>
      <c r="E57" s="10">
        <f>'PS Enrollment'!D$57</f>
        <v>0</v>
      </c>
      <c r="F57" s="8" t="str">
        <f>IFERROR(('PS Enrollment'!$Y$57-'Comparison Population'!$E57), "")</f>
        <v/>
      </c>
      <c r="G57" s="8" t="str">
        <f>IFERROR(('PS Enrollment'!$Z$57-'Comparison Population'!$E$7), "")</f>
        <v/>
      </c>
      <c r="H57" s="8" t="str">
        <f>IFERROR(('PS Enrollment'!$AA$57-'Comparison Population'!$E$8), "")</f>
        <v/>
      </c>
      <c r="I57" s="8" t="str">
        <f>IFERROR(('PS Enrollment'!$AB$57-'Comparison Population'!$E$10), "")</f>
        <v/>
      </c>
      <c r="J57" s="8" t="str">
        <f>IFERROR(('PS Enrollment'!$AC$57-'Comparison Population'!$E$11), "")</f>
        <v/>
      </c>
      <c r="K57" s="8" t="str">
        <f>IFERROR(('PS Enrollment'!$AD$57-'Comparison Population'!$E$12), "")</f>
        <v/>
      </c>
      <c r="L57" s="8" t="str">
        <f>IFERROR(('PS Enrollment'!$AE$57-'Comparison Population'!$E$13), "")</f>
        <v/>
      </c>
      <c r="M57" s="8" t="str">
        <f>IFERROR(('PS Enrollment'!$AF$57-'Comparison Population'!$E$14), "")</f>
        <v/>
      </c>
      <c r="N57" s="8" t="str">
        <f>IFERROR(('PS Enrollment'!$AG$57-'Comparison Population'!$E$15), "")</f>
        <v/>
      </c>
      <c r="O57" s="8" t="str">
        <f>IFERROR(('PS Enrollment'!$AH$57-'Comparison Population'!$E$16), "")</f>
        <v/>
      </c>
      <c r="P57" s="8" t="str">
        <f>IFERROR(('PS Enrollment'!$AI$57-'Comparison Population'!$E$17), "")</f>
        <v/>
      </c>
      <c r="Q57" s="8" t="str">
        <f>IFERROR(('PS Enrollment'!$AJ$57-'Comparison Population'!$E$19), "")</f>
        <v/>
      </c>
      <c r="R57" s="8" t="str">
        <f>IFERROR(('PS Enrollment'!$AK$57-'Comparison Population'!$E$20), "")</f>
        <v/>
      </c>
      <c r="S57" s="8" t="str">
        <f>IFERROR(('PS Enrollment'!$AL$57-'Comparison Population'!$E$21), "")</f>
        <v/>
      </c>
      <c r="T57" s="8" t="str">
        <f>IFERROR(('PS Enrollment'!$AM$57-'Comparison Population'!$E$22), "")</f>
        <v/>
      </c>
      <c r="U57" s="8" t="str">
        <f>IFERROR(('PS Enrollment'!$AN$57-'Comparison Population'!$E$23), "")</f>
        <v/>
      </c>
      <c r="V57" s="8" t="str">
        <f>IFERROR(('PS Enrollment'!$AO$57-'Comparison Population'!$E$24), "")</f>
        <v/>
      </c>
      <c r="W57" s="8" t="str">
        <f>IFERROR(('PS Enrollment'!$AP$57-'Comparison Population'!$E$25), "")</f>
        <v/>
      </c>
      <c r="X57" s="8" t="str">
        <f>IFERROR(('PS Enrollment'!$AQ$57-'Comparison Population'!$E$26), "")</f>
        <v/>
      </c>
      <c r="Y57" s="8" t="str">
        <f>IFERROR(('PS Enrollment'!$AR$57-'Comparison Population'!$E$27), "")</f>
        <v/>
      </c>
    </row>
    <row r="58" spans="1:25" x14ac:dyDescent="0.25">
      <c r="A58" s="36">
        <f>'PS Enrollment'!$A$58</f>
        <v>0</v>
      </c>
      <c r="B58" s="36">
        <f>'PS Enrollment'!$B$58</f>
        <v>0</v>
      </c>
      <c r="C58" s="36">
        <f>'PS Enrollment'!$C$58</f>
        <v>0</v>
      </c>
      <c r="D58" s="8" t="str">
        <f>IFERROR('PS Enrollment'!$D$58/'PS Enrollment'!$D$108, "")</f>
        <v/>
      </c>
      <c r="E58" s="10">
        <f>'PS Enrollment'!D$58</f>
        <v>0</v>
      </c>
      <c r="F58" s="8" t="str">
        <f>IFERROR(('PS Enrollment'!$Y$58-'Comparison Population'!$E58), "")</f>
        <v/>
      </c>
      <c r="G58" s="8" t="str">
        <f>IFERROR(('PS Enrollment'!$Z$58-'Comparison Population'!$E$7), "")</f>
        <v/>
      </c>
      <c r="H58" s="8" t="str">
        <f>IFERROR(('PS Enrollment'!$AA$58-'Comparison Population'!$E$8), "")</f>
        <v/>
      </c>
      <c r="I58" s="8" t="str">
        <f>IFERROR(('PS Enrollment'!$AB$58-'Comparison Population'!$E$10), "")</f>
        <v/>
      </c>
      <c r="J58" s="8" t="str">
        <f>IFERROR(('PS Enrollment'!$AC$58-'Comparison Population'!$E$11), "")</f>
        <v/>
      </c>
      <c r="K58" s="8" t="str">
        <f>IFERROR(('PS Enrollment'!$AD$58-'Comparison Population'!$E$12), "")</f>
        <v/>
      </c>
      <c r="L58" s="8" t="str">
        <f>IFERROR(('PS Enrollment'!$AE$58-'Comparison Population'!$E$13), "")</f>
        <v/>
      </c>
      <c r="M58" s="8" t="str">
        <f>IFERROR(('PS Enrollment'!$AF$58-'Comparison Population'!$E$14), "")</f>
        <v/>
      </c>
      <c r="N58" s="8" t="str">
        <f>IFERROR(('PS Enrollment'!$AG$58-'Comparison Population'!$E$15), "")</f>
        <v/>
      </c>
      <c r="O58" s="8" t="str">
        <f>IFERROR(('PS Enrollment'!$AH$58-'Comparison Population'!$E$16), "")</f>
        <v/>
      </c>
      <c r="P58" s="8" t="str">
        <f>IFERROR(('PS Enrollment'!$AI$58-'Comparison Population'!$E$17), "")</f>
        <v/>
      </c>
      <c r="Q58" s="8" t="str">
        <f>IFERROR(('PS Enrollment'!$AJ$58-'Comparison Population'!$E$19), "")</f>
        <v/>
      </c>
      <c r="R58" s="8" t="str">
        <f>IFERROR(('PS Enrollment'!$AK$58-'Comparison Population'!$E$20), "")</f>
        <v/>
      </c>
      <c r="S58" s="8" t="str">
        <f>IFERROR(('PS Enrollment'!$AL$58-'Comparison Population'!$E$21), "")</f>
        <v/>
      </c>
      <c r="T58" s="8" t="str">
        <f>IFERROR(('PS Enrollment'!$AM$58-'Comparison Population'!$E$22), "")</f>
        <v/>
      </c>
      <c r="U58" s="8" t="str">
        <f>IFERROR(('PS Enrollment'!$AN$58-'Comparison Population'!$E$23), "")</f>
        <v/>
      </c>
      <c r="V58" s="8" t="str">
        <f>IFERROR(('PS Enrollment'!$AO$58-'Comparison Population'!$E$24), "")</f>
        <v/>
      </c>
      <c r="W58" s="8" t="str">
        <f>IFERROR(('PS Enrollment'!$AP$58-'Comparison Population'!$E$25), "")</f>
        <v/>
      </c>
      <c r="X58" s="8" t="str">
        <f>IFERROR(('PS Enrollment'!$AQ$58-'Comparison Population'!$E$26), "")</f>
        <v/>
      </c>
      <c r="Y58" s="8" t="str">
        <f>IFERROR(('PS Enrollment'!$AR$58-'Comparison Population'!$E$27), "")</f>
        <v/>
      </c>
    </row>
    <row r="59" spans="1:25" x14ac:dyDescent="0.25">
      <c r="A59" s="36">
        <f>'PS Enrollment'!$A$59</f>
        <v>0</v>
      </c>
      <c r="B59" s="36">
        <f>'PS Enrollment'!$B$59</f>
        <v>0</v>
      </c>
      <c r="C59" s="36">
        <f>'PS Enrollment'!$C$59</f>
        <v>0</v>
      </c>
      <c r="D59" s="8" t="str">
        <f>IFERROR('PS Enrollment'!$D$59/'PS Enrollment'!$D$108, "")</f>
        <v/>
      </c>
      <c r="E59" s="10">
        <f>'PS Enrollment'!D$59</f>
        <v>0</v>
      </c>
      <c r="F59" s="8" t="str">
        <f>IFERROR(('PS Enrollment'!$Y$59-'Comparison Population'!$E59), "")</f>
        <v/>
      </c>
      <c r="G59" s="8" t="str">
        <f>IFERROR(('PS Enrollment'!$Z$59-'Comparison Population'!$E$7), "")</f>
        <v/>
      </c>
      <c r="H59" s="8" t="str">
        <f>IFERROR(('PS Enrollment'!$AA$59-'Comparison Population'!$E$8), "")</f>
        <v/>
      </c>
      <c r="I59" s="8" t="str">
        <f>IFERROR(('PS Enrollment'!$AB$59-'Comparison Population'!$E$10), "")</f>
        <v/>
      </c>
      <c r="J59" s="8" t="str">
        <f>IFERROR(('PS Enrollment'!$AC$59-'Comparison Population'!$E$11), "")</f>
        <v/>
      </c>
      <c r="K59" s="8" t="str">
        <f>IFERROR(('PS Enrollment'!$AD$59-'Comparison Population'!$E$12), "")</f>
        <v/>
      </c>
      <c r="L59" s="8" t="str">
        <f>IFERROR(('PS Enrollment'!$AE$59-'Comparison Population'!$E$13), "")</f>
        <v/>
      </c>
      <c r="M59" s="8" t="str">
        <f>IFERROR(('PS Enrollment'!$AF$59-'Comparison Population'!$E$14), "")</f>
        <v/>
      </c>
      <c r="N59" s="8" t="str">
        <f>IFERROR(('PS Enrollment'!$AG$59-'Comparison Population'!$E$15), "")</f>
        <v/>
      </c>
      <c r="O59" s="8" t="str">
        <f>IFERROR(('PS Enrollment'!$AH$59-'Comparison Population'!$E$16), "")</f>
        <v/>
      </c>
      <c r="P59" s="8" t="str">
        <f>IFERROR(('PS Enrollment'!$AI$59-'Comparison Population'!$E$17), "")</f>
        <v/>
      </c>
      <c r="Q59" s="8" t="str">
        <f>IFERROR(('PS Enrollment'!$AJ$59-'Comparison Population'!$E$19), "")</f>
        <v/>
      </c>
      <c r="R59" s="8" t="str">
        <f>IFERROR(('PS Enrollment'!$AK$59-'Comparison Population'!$E$20), "")</f>
        <v/>
      </c>
      <c r="S59" s="8" t="str">
        <f>IFERROR(('PS Enrollment'!$AL$59-'Comparison Population'!$E$21), "")</f>
        <v/>
      </c>
      <c r="T59" s="8" t="str">
        <f>IFERROR(('PS Enrollment'!$AM$59-'Comparison Population'!$E$22), "")</f>
        <v/>
      </c>
      <c r="U59" s="8" t="str">
        <f>IFERROR(('PS Enrollment'!$AN$59-'Comparison Population'!$E$23), "")</f>
        <v/>
      </c>
      <c r="V59" s="8" t="str">
        <f>IFERROR(('PS Enrollment'!$AO$59-'Comparison Population'!$E$24), "")</f>
        <v/>
      </c>
      <c r="W59" s="8" t="str">
        <f>IFERROR(('PS Enrollment'!$AP$59-'Comparison Population'!$E$25), "")</f>
        <v/>
      </c>
      <c r="X59" s="8" t="str">
        <f>IFERROR(('PS Enrollment'!$AQ$59-'Comparison Population'!$E$26), "")</f>
        <v/>
      </c>
      <c r="Y59" s="8" t="str">
        <f>IFERROR(('PS Enrollment'!$AR$59-'Comparison Population'!$E$27), "")</f>
        <v/>
      </c>
    </row>
    <row r="60" spans="1:25" x14ac:dyDescent="0.25">
      <c r="A60" s="36">
        <f>'PS Enrollment'!$A$60</f>
        <v>0</v>
      </c>
      <c r="B60" s="36">
        <f>'PS Enrollment'!$B$60</f>
        <v>0</v>
      </c>
      <c r="C60" s="36">
        <f>'PS Enrollment'!$C$60</f>
        <v>0</v>
      </c>
      <c r="D60" s="8" t="str">
        <f>IFERROR('PS Enrollment'!$D$60/'PS Enrollment'!$D$108, "")</f>
        <v/>
      </c>
      <c r="E60" s="10">
        <f>'PS Enrollment'!D$60</f>
        <v>0</v>
      </c>
      <c r="F60" s="8" t="str">
        <f>IFERROR(('PS Enrollment'!$Y$60-'Comparison Population'!$E60), "")</f>
        <v/>
      </c>
      <c r="G60" s="8" t="str">
        <f>IFERROR(('PS Enrollment'!$Z$60-'Comparison Population'!$E$7), "")</f>
        <v/>
      </c>
      <c r="H60" s="8" t="str">
        <f>IFERROR(('PS Enrollment'!$AA$60-'Comparison Population'!$E$8), "")</f>
        <v/>
      </c>
      <c r="I60" s="8" t="str">
        <f>IFERROR(('PS Enrollment'!$AB$60-'Comparison Population'!$E$10), "")</f>
        <v/>
      </c>
      <c r="J60" s="8" t="str">
        <f>IFERROR(('PS Enrollment'!$AC$60-'Comparison Population'!$E$11), "")</f>
        <v/>
      </c>
      <c r="K60" s="8" t="str">
        <f>IFERROR(('PS Enrollment'!$AD$60-'Comparison Population'!$E$12), "")</f>
        <v/>
      </c>
      <c r="L60" s="8" t="str">
        <f>IFERROR(('PS Enrollment'!$AE$60-'Comparison Population'!$E$13), "")</f>
        <v/>
      </c>
      <c r="M60" s="8" t="str">
        <f>IFERROR(('PS Enrollment'!$AF$60-'Comparison Population'!$E$14), "")</f>
        <v/>
      </c>
      <c r="N60" s="8" t="str">
        <f>IFERROR(('PS Enrollment'!$AG$60-'Comparison Population'!$E$15), "")</f>
        <v/>
      </c>
      <c r="O60" s="8" t="str">
        <f>IFERROR(('PS Enrollment'!$AH$60-'Comparison Population'!$E$16), "")</f>
        <v/>
      </c>
      <c r="P60" s="8" t="str">
        <f>IFERROR(('PS Enrollment'!$AI$60-'Comparison Population'!$E$17), "")</f>
        <v/>
      </c>
      <c r="Q60" s="8" t="str">
        <f>IFERROR(('PS Enrollment'!$AJ$60-'Comparison Population'!$E$19), "")</f>
        <v/>
      </c>
      <c r="R60" s="8" t="str">
        <f>IFERROR(('PS Enrollment'!$AK$60-'Comparison Population'!$E$20), "")</f>
        <v/>
      </c>
      <c r="S60" s="8" t="str">
        <f>IFERROR(('PS Enrollment'!$AL$60-'Comparison Population'!$E$21), "")</f>
        <v/>
      </c>
      <c r="T60" s="8" t="str">
        <f>IFERROR(('PS Enrollment'!$AM$60-'Comparison Population'!$E$22), "")</f>
        <v/>
      </c>
      <c r="U60" s="8" t="str">
        <f>IFERROR(('PS Enrollment'!$AN$60-'Comparison Population'!$E$23), "")</f>
        <v/>
      </c>
      <c r="V60" s="8" t="str">
        <f>IFERROR(('PS Enrollment'!$AO$60-'Comparison Population'!$E$24), "")</f>
        <v/>
      </c>
      <c r="W60" s="8" t="str">
        <f>IFERROR(('PS Enrollment'!$AP$60-'Comparison Population'!$E$25), "")</f>
        <v/>
      </c>
      <c r="X60" s="8" t="str">
        <f>IFERROR(('PS Enrollment'!$AQ$60-'Comparison Population'!$E$26), "")</f>
        <v/>
      </c>
      <c r="Y60" s="8" t="str">
        <f>IFERROR(('PS Enrollment'!$AR$60-'Comparison Population'!$E$27), "")</f>
        <v/>
      </c>
    </row>
    <row r="61" spans="1:25" x14ac:dyDescent="0.25">
      <c r="A61" s="36">
        <f>'PS Enrollment'!$A$61</f>
        <v>0</v>
      </c>
      <c r="B61" s="36">
        <f>'PS Enrollment'!$B$61</f>
        <v>0</v>
      </c>
      <c r="C61" s="36">
        <f>'PS Enrollment'!$C$61</f>
        <v>0</v>
      </c>
      <c r="D61" s="8" t="str">
        <f>IFERROR('PS Enrollment'!$D$61/'PS Enrollment'!$D$108, "")</f>
        <v/>
      </c>
      <c r="E61" s="10">
        <f>'PS Enrollment'!D$61</f>
        <v>0</v>
      </c>
      <c r="F61" s="8" t="str">
        <f>IFERROR(('PS Enrollment'!$Y$61-'Comparison Population'!$E61), "")</f>
        <v/>
      </c>
      <c r="G61" s="8" t="str">
        <f>IFERROR(('PS Enrollment'!$Z$61-'Comparison Population'!$E$7), "")</f>
        <v/>
      </c>
      <c r="H61" s="8" t="str">
        <f>IFERROR(('PS Enrollment'!$AA$61-'Comparison Population'!$E$8), "")</f>
        <v/>
      </c>
      <c r="I61" s="8" t="str">
        <f>IFERROR(('PS Enrollment'!$AB$61-'Comparison Population'!$E$10), "")</f>
        <v/>
      </c>
      <c r="J61" s="8" t="str">
        <f>IFERROR(('PS Enrollment'!$AC$61-'Comparison Population'!$E$11), "")</f>
        <v/>
      </c>
      <c r="K61" s="8" t="str">
        <f>IFERROR(('PS Enrollment'!$AD$61-'Comparison Population'!$E$12), "")</f>
        <v/>
      </c>
      <c r="L61" s="8" t="str">
        <f>IFERROR(('PS Enrollment'!$AE$61-'Comparison Population'!$E$13), "")</f>
        <v/>
      </c>
      <c r="M61" s="8" t="str">
        <f>IFERROR(('PS Enrollment'!$AF$61-'Comparison Population'!$E$14), "")</f>
        <v/>
      </c>
      <c r="N61" s="8" t="str">
        <f>IFERROR(('PS Enrollment'!$AG$61-'Comparison Population'!$E$15), "")</f>
        <v/>
      </c>
      <c r="O61" s="8" t="str">
        <f>IFERROR(('PS Enrollment'!$AH$61-'Comparison Population'!$E$16), "")</f>
        <v/>
      </c>
      <c r="P61" s="8" t="str">
        <f>IFERROR(('PS Enrollment'!$AI$61-'Comparison Population'!$E$17), "")</f>
        <v/>
      </c>
      <c r="Q61" s="8" t="str">
        <f>IFERROR(('PS Enrollment'!$AJ$61-'Comparison Population'!$E$19), "")</f>
        <v/>
      </c>
      <c r="R61" s="8" t="str">
        <f>IFERROR(('PS Enrollment'!$AK$61-'Comparison Population'!$E$20), "")</f>
        <v/>
      </c>
      <c r="S61" s="8" t="str">
        <f>IFERROR(('PS Enrollment'!$AL$61-'Comparison Population'!$E$21), "")</f>
        <v/>
      </c>
      <c r="T61" s="8" t="str">
        <f>IFERROR(('PS Enrollment'!$AM$61-'Comparison Population'!$E$22), "")</f>
        <v/>
      </c>
      <c r="U61" s="8" t="str">
        <f>IFERROR(('PS Enrollment'!$AN$61-'Comparison Population'!$E$23), "")</f>
        <v/>
      </c>
      <c r="V61" s="8" t="str">
        <f>IFERROR(('PS Enrollment'!$AO$61-'Comparison Population'!$E$24), "")</f>
        <v/>
      </c>
      <c r="W61" s="8" t="str">
        <f>IFERROR(('PS Enrollment'!$AP$61-'Comparison Population'!$E$25), "")</f>
        <v/>
      </c>
      <c r="X61" s="8" t="str">
        <f>IFERROR(('PS Enrollment'!$AQ$61-'Comparison Population'!$E$26), "")</f>
        <v/>
      </c>
      <c r="Y61" s="8" t="str">
        <f>IFERROR(('PS Enrollment'!$AR$61-'Comparison Population'!$E$27), "")</f>
        <v/>
      </c>
    </row>
    <row r="62" spans="1:25" x14ac:dyDescent="0.25">
      <c r="A62" s="36">
        <f>'PS Enrollment'!$A$62</f>
        <v>0</v>
      </c>
      <c r="B62" s="36">
        <f>'PS Enrollment'!$B$62</f>
        <v>0</v>
      </c>
      <c r="C62" s="36">
        <f>'PS Enrollment'!$C$62</f>
        <v>0</v>
      </c>
      <c r="D62" s="8" t="str">
        <f>IFERROR('PS Enrollment'!$D$62/'PS Enrollment'!$D$108, "")</f>
        <v/>
      </c>
      <c r="E62" s="10">
        <f>'PS Enrollment'!D$62</f>
        <v>0</v>
      </c>
      <c r="F62" s="8" t="str">
        <f>IFERROR(('PS Enrollment'!$Y$62-'Comparison Population'!$E62), "")</f>
        <v/>
      </c>
      <c r="G62" s="8" t="str">
        <f>IFERROR(('PS Enrollment'!$Z$62-'Comparison Population'!$E$7), "")</f>
        <v/>
      </c>
      <c r="H62" s="8" t="str">
        <f>IFERROR(('PS Enrollment'!$AA$62-'Comparison Population'!$E$8), "")</f>
        <v/>
      </c>
      <c r="I62" s="8" t="str">
        <f>IFERROR(('PS Enrollment'!$AB$62-'Comparison Population'!$E$10), "")</f>
        <v/>
      </c>
      <c r="J62" s="8" t="str">
        <f>IFERROR(('PS Enrollment'!$AC$62-'Comparison Population'!$E$11), "")</f>
        <v/>
      </c>
      <c r="K62" s="8" t="str">
        <f>IFERROR(('PS Enrollment'!$AD$62-'Comparison Population'!$E$12), "")</f>
        <v/>
      </c>
      <c r="L62" s="8" t="str">
        <f>IFERROR(('PS Enrollment'!$AE$62-'Comparison Population'!$E$13), "")</f>
        <v/>
      </c>
      <c r="M62" s="8" t="str">
        <f>IFERROR(('PS Enrollment'!$AF$62-'Comparison Population'!$E$14), "")</f>
        <v/>
      </c>
      <c r="N62" s="8" t="str">
        <f>IFERROR(('PS Enrollment'!$AG$62-'Comparison Population'!$E$15), "")</f>
        <v/>
      </c>
      <c r="O62" s="8" t="str">
        <f>IFERROR(('PS Enrollment'!$AH$62-'Comparison Population'!$E$16), "")</f>
        <v/>
      </c>
      <c r="P62" s="8" t="str">
        <f>IFERROR(('PS Enrollment'!$AI$62-'Comparison Population'!$E$17), "")</f>
        <v/>
      </c>
      <c r="Q62" s="8" t="str">
        <f>IFERROR(('PS Enrollment'!$AJ$62-'Comparison Population'!$E$19), "")</f>
        <v/>
      </c>
      <c r="R62" s="8" t="str">
        <f>IFERROR(('PS Enrollment'!$AK$62-'Comparison Population'!$E$20), "")</f>
        <v/>
      </c>
      <c r="S62" s="8" t="str">
        <f>IFERROR(('PS Enrollment'!$AL$62-'Comparison Population'!$E$21), "")</f>
        <v/>
      </c>
      <c r="T62" s="8" t="str">
        <f>IFERROR(('PS Enrollment'!$AM$62-'Comparison Population'!$E$22), "")</f>
        <v/>
      </c>
      <c r="U62" s="8" t="str">
        <f>IFERROR(('PS Enrollment'!$AN$62-'Comparison Population'!$E$23), "")</f>
        <v/>
      </c>
      <c r="V62" s="8" t="str">
        <f>IFERROR(('PS Enrollment'!$AO$62-'Comparison Population'!$E$24), "")</f>
        <v/>
      </c>
      <c r="W62" s="8" t="str">
        <f>IFERROR(('PS Enrollment'!$AP$62-'Comparison Population'!$E$25), "")</f>
        <v/>
      </c>
      <c r="X62" s="8" t="str">
        <f>IFERROR(('PS Enrollment'!$AQ$62-'Comparison Population'!$E$26), "")</f>
        <v/>
      </c>
      <c r="Y62" s="8" t="str">
        <f>IFERROR(('PS Enrollment'!$AR$62-'Comparison Population'!$E$27), "")</f>
        <v/>
      </c>
    </row>
    <row r="63" spans="1:25" x14ac:dyDescent="0.25">
      <c r="A63" s="36">
        <f>'PS Enrollment'!$A$63</f>
        <v>0</v>
      </c>
      <c r="B63" s="36">
        <f>'PS Enrollment'!$B$63</f>
        <v>0</v>
      </c>
      <c r="C63" s="36">
        <f>'PS Enrollment'!$C$63</f>
        <v>0</v>
      </c>
      <c r="D63" s="8" t="str">
        <f>IFERROR('PS Enrollment'!$D$63/'PS Enrollment'!$D$108, "")</f>
        <v/>
      </c>
      <c r="E63" s="10">
        <f>'PS Enrollment'!D$63</f>
        <v>0</v>
      </c>
      <c r="F63" s="8" t="str">
        <f>IFERROR(('PS Enrollment'!$Y$63-'Comparison Population'!$E63), "")</f>
        <v/>
      </c>
      <c r="G63" s="8" t="str">
        <f>IFERROR(('PS Enrollment'!$Z$63-'Comparison Population'!$E$7), "")</f>
        <v/>
      </c>
      <c r="H63" s="8" t="str">
        <f>IFERROR(('PS Enrollment'!$AA$63-'Comparison Population'!$E$8), "")</f>
        <v/>
      </c>
      <c r="I63" s="8" t="str">
        <f>IFERROR(('PS Enrollment'!$AB$63-'Comparison Population'!$E$10), "")</f>
        <v/>
      </c>
      <c r="J63" s="8" t="str">
        <f>IFERROR(('PS Enrollment'!$AC$63-'Comparison Population'!$E$11), "")</f>
        <v/>
      </c>
      <c r="K63" s="8" t="str">
        <f>IFERROR(('PS Enrollment'!$AD$63-'Comparison Population'!$E$12), "")</f>
        <v/>
      </c>
      <c r="L63" s="8" t="str">
        <f>IFERROR(('PS Enrollment'!$AE$63-'Comparison Population'!$E$13), "")</f>
        <v/>
      </c>
      <c r="M63" s="8" t="str">
        <f>IFERROR(('PS Enrollment'!$AF$63-'Comparison Population'!$E$14), "")</f>
        <v/>
      </c>
      <c r="N63" s="8" t="str">
        <f>IFERROR(('PS Enrollment'!$AG$63-'Comparison Population'!$E$15), "")</f>
        <v/>
      </c>
      <c r="O63" s="8" t="str">
        <f>IFERROR(('PS Enrollment'!$AH$63-'Comparison Population'!$E$16), "")</f>
        <v/>
      </c>
      <c r="P63" s="8" t="str">
        <f>IFERROR(('PS Enrollment'!$AI$63-'Comparison Population'!$E$17), "")</f>
        <v/>
      </c>
      <c r="Q63" s="8" t="str">
        <f>IFERROR(('PS Enrollment'!$AJ$63-'Comparison Population'!$E$19), "")</f>
        <v/>
      </c>
      <c r="R63" s="8" t="str">
        <f>IFERROR(('PS Enrollment'!$AK$63-'Comparison Population'!$E$20), "")</f>
        <v/>
      </c>
      <c r="S63" s="8" t="str">
        <f>IFERROR(('PS Enrollment'!$AL$63-'Comparison Population'!$E$21), "")</f>
        <v/>
      </c>
      <c r="T63" s="8" t="str">
        <f>IFERROR(('PS Enrollment'!$AM$63-'Comparison Population'!$E$22), "")</f>
        <v/>
      </c>
      <c r="U63" s="8" t="str">
        <f>IFERROR(('PS Enrollment'!$AN$63-'Comparison Population'!$E$23), "")</f>
        <v/>
      </c>
      <c r="V63" s="8" t="str">
        <f>IFERROR(('PS Enrollment'!$AO$63-'Comparison Population'!$E$24), "")</f>
        <v/>
      </c>
      <c r="W63" s="8" t="str">
        <f>IFERROR(('PS Enrollment'!$AP$63-'Comparison Population'!$E$25), "")</f>
        <v/>
      </c>
      <c r="X63" s="8" t="str">
        <f>IFERROR(('PS Enrollment'!$AQ$63-'Comparison Population'!$E$26), "")</f>
        <v/>
      </c>
      <c r="Y63" s="8" t="str">
        <f>IFERROR(('PS Enrollment'!$AR$63-'Comparison Population'!$E$27), "")</f>
        <v/>
      </c>
    </row>
    <row r="64" spans="1:25" x14ac:dyDescent="0.25">
      <c r="A64" s="36">
        <f>'PS Enrollment'!$A$64</f>
        <v>0</v>
      </c>
      <c r="B64" s="36">
        <f>'PS Enrollment'!$B$64</f>
        <v>0</v>
      </c>
      <c r="C64" s="36">
        <f>'PS Enrollment'!$C$64</f>
        <v>0</v>
      </c>
      <c r="D64" s="8" t="str">
        <f>IFERROR('PS Enrollment'!$D$64/'PS Enrollment'!$D$108, "")</f>
        <v/>
      </c>
      <c r="E64" s="10">
        <f>'PS Enrollment'!D$64</f>
        <v>0</v>
      </c>
      <c r="F64" s="8" t="str">
        <f>IFERROR(('PS Enrollment'!$Y$64-'Comparison Population'!$E64), "")</f>
        <v/>
      </c>
      <c r="G64" s="8" t="str">
        <f>IFERROR(('PS Enrollment'!$Z$64-'Comparison Population'!$E$7), "")</f>
        <v/>
      </c>
      <c r="H64" s="8" t="str">
        <f>IFERROR(('PS Enrollment'!$AA$64-'Comparison Population'!$E$8), "")</f>
        <v/>
      </c>
      <c r="I64" s="8" t="str">
        <f>IFERROR(('PS Enrollment'!$AB$64-'Comparison Population'!$E$10), "")</f>
        <v/>
      </c>
      <c r="J64" s="8" t="str">
        <f>IFERROR(('PS Enrollment'!$AC$64-'Comparison Population'!$E$11), "")</f>
        <v/>
      </c>
      <c r="K64" s="8" t="str">
        <f>IFERROR(('PS Enrollment'!$AD$64-'Comparison Population'!$E$12), "")</f>
        <v/>
      </c>
      <c r="L64" s="8" t="str">
        <f>IFERROR(('PS Enrollment'!$AE$64-'Comparison Population'!$E$13), "")</f>
        <v/>
      </c>
      <c r="M64" s="8" t="str">
        <f>IFERROR(('PS Enrollment'!$AF$64-'Comparison Population'!$E$14), "")</f>
        <v/>
      </c>
      <c r="N64" s="8" t="str">
        <f>IFERROR(('PS Enrollment'!$AG$64-'Comparison Population'!$E$15), "")</f>
        <v/>
      </c>
      <c r="O64" s="8" t="str">
        <f>IFERROR(('PS Enrollment'!$AH$64-'Comparison Population'!$E$16), "")</f>
        <v/>
      </c>
      <c r="P64" s="8" t="str">
        <f>IFERROR(('PS Enrollment'!$AI$64-'Comparison Population'!$E$17), "")</f>
        <v/>
      </c>
      <c r="Q64" s="8" t="str">
        <f>IFERROR(('PS Enrollment'!$AJ$64-'Comparison Population'!$E$19), "")</f>
        <v/>
      </c>
      <c r="R64" s="8" t="str">
        <f>IFERROR(('PS Enrollment'!$AK$64-'Comparison Population'!$E$20), "")</f>
        <v/>
      </c>
      <c r="S64" s="8" t="str">
        <f>IFERROR(('PS Enrollment'!$AL$64-'Comparison Population'!$E$21), "")</f>
        <v/>
      </c>
      <c r="T64" s="8" t="str">
        <f>IFERROR(('PS Enrollment'!$AM$64-'Comparison Population'!$E$22), "")</f>
        <v/>
      </c>
      <c r="U64" s="8" t="str">
        <f>IFERROR(('PS Enrollment'!$AN$64-'Comparison Population'!$E$23), "")</f>
        <v/>
      </c>
      <c r="V64" s="8" t="str">
        <f>IFERROR(('PS Enrollment'!$AO$64-'Comparison Population'!$E$24), "")</f>
        <v/>
      </c>
      <c r="W64" s="8" t="str">
        <f>IFERROR(('PS Enrollment'!$AP$64-'Comparison Population'!$E$25), "")</f>
        <v/>
      </c>
      <c r="X64" s="8" t="str">
        <f>IFERROR(('PS Enrollment'!$AQ$64-'Comparison Population'!$E$26), "")</f>
        <v/>
      </c>
      <c r="Y64" s="8" t="str">
        <f>IFERROR(('PS Enrollment'!$AR$64-'Comparison Population'!$E$27), "")</f>
        <v/>
      </c>
    </row>
    <row r="65" spans="1:25" x14ac:dyDescent="0.25">
      <c r="A65" s="36">
        <f>'PS Enrollment'!$A$65</f>
        <v>0</v>
      </c>
      <c r="B65" s="36">
        <f>'PS Enrollment'!$B$65</f>
        <v>0</v>
      </c>
      <c r="C65" s="36">
        <f>'PS Enrollment'!$C$65</f>
        <v>0</v>
      </c>
      <c r="D65" s="8" t="str">
        <f>IFERROR('PS Enrollment'!$D$65/'PS Enrollment'!$D$108, "")</f>
        <v/>
      </c>
      <c r="E65" s="10">
        <f>'PS Enrollment'!D$65</f>
        <v>0</v>
      </c>
      <c r="F65" s="8" t="str">
        <f>IFERROR(('PS Enrollment'!$Y$65-'Comparison Population'!$E65), "")</f>
        <v/>
      </c>
      <c r="G65" s="8" t="str">
        <f>IFERROR(('PS Enrollment'!$Z$65-'Comparison Population'!$E$7), "")</f>
        <v/>
      </c>
      <c r="H65" s="8" t="str">
        <f>IFERROR(('PS Enrollment'!$AA$65-'Comparison Population'!$E$8), "")</f>
        <v/>
      </c>
      <c r="I65" s="8" t="str">
        <f>IFERROR(('PS Enrollment'!$AB$65-'Comparison Population'!$E$10), "")</f>
        <v/>
      </c>
      <c r="J65" s="8" t="str">
        <f>IFERROR(('PS Enrollment'!$AC$65-'Comparison Population'!$E$11), "")</f>
        <v/>
      </c>
      <c r="K65" s="8" t="str">
        <f>IFERROR(('PS Enrollment'!$AD$65-'Comparison Population'!$E$12), "")</f>
        <v/>
      </c>
      <c r="L65" s="8" t="str">
        <f>IFERROR(('PS Enrollment'!$AE$65-'Comparison Population'!$E$13), "")</f>
        <v/>
      </c>
      <c r="M65" s="8" t="str">
        <f>IFERROR(('PS Enrollment'!$AF$65-'Comparison Population'!$E$14), "")</f>
        <v/>
      </c>
      <c r="N65" s="8" t="str">
        <f>IFERROR(('PS Enrollment'!$AG$65-'Comparison Population'!$E$15), "")</f>
        <v/>
      </c>
      <c r="O65" s="8" t="str">
        <f>IFERROR(('PS Enrollment'!$AH$65-'Comparison Population'!$E$16), "")</f>
        <v/>
      </c>
      <c r="P65" s="8" t="str">
        <f>IFERROR(('PS Enrollment'!$AI$65-'Comparison Population'!$E$17), "")</f>
        <v/>
      </c>
      <c r="Q65" s="8" t="str">
        <f>IFERROR(('PS Enrollment'!$AJ$65-'Comparison Population'!$E$19), "")</f>
        <v/>
      </c>
      <c r="R65" s="8" t="str">
        <f>IFERROR(('PS Enrollment'!$AK$65-'Comparison Population'!$E$20), "")</f>
        <v/>
      </c>
      <c r="S65" s="8" t="str">
        <f>IFERROR(('PS Enrollment'!$AL$65-'Comparison Population'!$E$21), "")</f>
        <v/>
      </c>
      <c r="T65" s="8" t="str">
        <f>IFERROR(('PS Enrollment'!$AM$65-'Comparison Population'!$E$22), "")</f>
        <v/>
      </c>
      <c r="U65" s="8" t="str">
        <f>IFERROR(('PS Enrollment'!$AN$65-'Comparison Population'!$E$23), "")</f>
        <v/>
      </c>
      <c r="V65" s="8" t="str">
        <f>IFERROR(('PS Enrollment'!$AO$65-'Comparison Population'!$E$24), "")</f>
        <v/>
      </c>
      <c r="W65" s="8" t="str">
        <f>IFERROR(('PS Enrollment'!$AP$65-'Comparison Population'!$E$25), "")</f>
        <v/>
      </c>
      <c r="X65" s="8" t="str">
        <f>IFERROR(('PS Enrollment'!$AQ$65-'Comparison Population'!$E$26), "")</f>
        <v/>
      </c>
      <c r="Y65" s="8" t="str">
        <f>IFERROR(('PS Enrollment'!$AR$65-'Comparison Population'!$E$27), "")</f>
        <v/>
      </c>
    </row>
    <row r="66" spans="1:25" x14ac:dyDescent="0.25">
      <c r="A66" s="36">
        <f>'PS Enrollment'!$A$66</f>
        <v>0</v>
      </c>
      <c r="B66" s="36">
        <f>'PS Enrollment'!$B$66</f>
        <v>0</v>
      </c>
      <c r="C66" s="36">
        <f>'PS Enrollment'!$C$66</f>
        <v>0</v>
      </c>
      <c r="D66" s="8" t="str">
        <f>IFERROR('PS Enrollment'!$D$66/'PS Enrollment'!$D$108, "")</f>
        <v/>
      </c>
      <c r="E66" s="10">
        <f>'PS Enrollment'!D$66</f>
        <v>0</v>
      </c>
      <c r="F66" s="8" t="str">
        <f>IFERROR(('PS Enrollment'!$Y$66-'Comparison Population'!$E66), "")</f>
        <v/>
      </c>
      <c r="G66" s="8" t="str">
        <f>IFERROR(('PS Enrollment'!$Z$66-'Comparison Population'!$E$7), "")</f>
        <v/>
      </c>
      <c r="H66" s="8" t="str">
        <f>IFERROR(('PS Enrollment'!$AA$66-'Comparison Population'!$E$8), "")</f>
        <v/>
      </c>
      <c r="I66" s="8" t="str">
        <f>IFERROR(('PS Enrollment'!$AB$66-'Comparison Population'!$E$10), "")</f>
        <v/>
      </c>
      <c r="J66" s="8" t="str">
        <f>IFERROR(('PS Enrollment'!$AC$66-'Comparison Population'!$E$11), "")</f>
        <v/>
      </c>
      <c r="K66" s="8" t="str">
        <f>IFERROR(('PS Enrollment'!$AD$66-'Comparison Population'!$E$12), "")</f>
        <v/>
      </c>
      <c r="L66" s="8" t="str">
        <f>IFERROR(('PS Enrollment'!$AE$66-'Comparison Population'!$E$13), "")</f>
        <v/>
      </c>
      <c r="M66" s="8" t="str">
        <f>IFERROR(('PS Enrollment'!$AF$66-'Comparison Population'!$E$14), "")</f>
        <v/>
      </c>
      <c r="N66" s="8" t="str">
        <f>IFERROR(('PS Enrollment'!$AG$66-'Comparison Population'!$E$15), "")</f>
        <v/>
      </c>
      <c r="O66" s="8" t="str">
        <f>IFERROR(('PS Enrollment'!$AH$66-'Comparison Population'!$E$16), "")</f>
        <v/>
      </c>
      <c r="P66" s="8" t="str">
        <f>IFERROR(('PS Enrollment'!$AI$66-'Comparison Population'!$E$17), "")</f>
        <v/>
      </c>
      <c r="Q66" s="8" t="str">
        <f>IFERROR(('PS Enrollment'!$AJ$66-'Comparison Population'!$E$19), "")</f>
        <v/>
      </c>
      <c r="R66" s="8" t="str">
        <f>IFERROR(('PS Enrollment'!$AK$66-'Comparison Population'!$E$20), "")</f>
        <v/>
      </c>
      <c r="S66" s="8" t="str">
        <f>IFERROR(('PS Enrollment'!$AL$66-'Comparison Population'!$E$21), "")</f>
        <v/>
      </c>
      <c r="T66" s="8" t="str">
        <f>IFERROR(('PS Enrollment'!$AM$66-'Comparison Population'!$E$22), "")</f>
        <v/>
      </c>
      <c r="U66" s="8" t="str">
        <f>IFERROR(('PS Enrollment'!$AN$66-'Comparison Population'!$E$23), "")</f>
        <v/>
      </c>
      <c r="V66" s="8" t="str">
        <f>IFERROR(('PS Enrollment'!$AO$66-'Comparison Population'!$E$24), "")</f>
        <v/>
      </c>
      <c r="W66" s="8" t="str">
        <f>IFERROR(('PS Enrollment'!$AP$66-'Comparison Population'!$E$25), "")</f>
        <v/>
      </c>
      <c r="X66" s="8" t="str">
        <f>IFERROR(('PS Enrollment'!$AQ$66-'Comparison Population'!$E$26), "")</f>
        <v/>
      </c>
      <c r="Y66" s="8" t="str">
        <f>IFERROR(('PS Enrollment'!$AR$66-'Comparison Population'!$E$27), "")</f>
        <v/>
      </c>
    </row>
    <row r="67" spans="1:25" x14ac:dyDescent="0.25">
      <c r="A67" s="36">
        <f>'PS Enrollment'!$A$67</f>
        <v>0</v>
      </c>
      <c r="B67" s="36">
        <f>'PS Enrollment'!$B$67</f>
        <v>0</v>
      </c>
      <c r="C67" s="36">
        <f>'PS Enrollment'!$C$67</f>
        <v>0</v>
      </c>
      <c r="D67" s="8" t="str">
        <f>IFERROR('PS Enrollment'!$D$67/'PS Enrollment'!$D$108, "")</f>
        <v/>
      </c>
      <c r="E67" s="10">
        <f>'PS Enrollment'!D$67</f>
        <v>0</v>
      </c>
      <c r="F67" s="8" t="str">
        <f>IFERROR(('PS Enrollment'!$Y$67-'Comparison Population'!$E67), "")</f>
        <v/>
      </c>
      <c r="G67" s="8" t="str">
        <f>IFERROR(('PS Enrollment'!$Z$67-'Comparison Population'!$E$7), "")</f>
        <v/>
      </c>
      <c r="H67" s="8" t="str">
        <f>IFERROR(('PS Enrollment'!$AA$67-'Comparison Population'!$E$8), "")</f>
        <v/>
      </c>
      <c r="I67" s="8" t="str">
        <f>IFERROR(('PS Enrollment'!$AB$67-'Comparison Population'!$E$10), "")</f>
        <v/>
      </c>
      <c r="J67" s="8" t="str">
        <f>IFERROR(('PS Enrollment'!$AC$67-'Comparison Population'!$E$11), "")</f>
        <v/>
      </c>
      <c r="K67" s="8" t="str">
        <f>IFERROR(('PS Enrollment'!$AD$67-'Comparison Population'!$E$12), "")</f>
        <v/>
      </c>
      <c r="L67" s="8" t="str">
        <f>IFERROR(('PS Enrollment'!$AE$67-'Comparison Population'!$E$13), "")</f>
        <v/>
      </c>
      <c r="M67" s="8" t="str">
        <f>IFERROR(('PS Enrollment'!$AF$67-'Comparison Population'!$E$14), "")</f>
        <v/>
      </c>
      <c r="N67" s="8" t="str">
        <f>IFERROR(('PS Enrollment'!$AG$67-'Comparison Population'!$E$15), "")</f>
        <v/>
      </c>
      <c r="O67" s="8" t="str">
        <f>IFERROR(('PS Enrollment'!$AH$67-'Comparison Population'!$E$16), "")</f>
        <v/>
      </c>
      <c r="P67" s="8" t="str">
        <f>IFERROR(('PS Enrollment'!$AI$67-'Comparison Population'!$E$17), "")</f>
        <v/>
      </c>
      <c r="Q67" s="8" t="str">
        <f>IFERROR(('PS Enrollment'!$AJ$67-'Comparison Population'!$E$19), "")</f>
        <v/>
      </c>
      <c r="R67" s="8" t="str">
        <f>IFERROR(('PS Enrollment'!$AK$67-'Comparison Population'!$E$20), "")</f>
        <v/>
      </c>
      <c r="S67" s="8" t="str">
        <f>IFERROR(('PS Enrollment'!$AL$67-'Comparison Population'!$E$21), "")</f>
        <v/>
      </c>
      <c r="T67" s="8" t="str">
        <f>IFERROR(('PS Enrollment'!$AM$67-'Comparison Population'!$E$22), "")</f>
        <v/>
      </c>
      <c r="U67" s="8" t="str">
        <f>IFERROR(('PS Enrollment'!$AN$67-'Comparison Population'!$E$23), "")</f>
        <v/>
      </c>
      <c r="V67" s="8" t="str">
        <f>IFERROR(('PS Enrollment'!$AO$67-'Comparison Population'!$E$24), "")</f>
        <v/>
      </c>
      <c r="W67" s="8" t="str">
        <f>IFERROR(('PS Enrollment'!$AP$67-'Comparison Population'!$E$25), "")</f>
        <v/>
      </c>
      <c r="X67" s="8" t="str">
        <f>IFERROR(('PS Enrollment'!$AQ$67-'Comparison Population'!$E$26), "")</f>
        <v/>
      </c>
      <c r="Y67" s="8" t="str">
        <f>IFERROR(('PS Enrollment'!$AR$67-'Comparison Population'!$E$27), "")</f>
        <v/>
      </c>
    </row>
    <row r="68" spans="1:25" x14ac:dyDescent="0.25">
      <c r="A68" s="36">
        <f>'PS Enrollment'!$A$68</f>
        <v>0</v>
      </c>
      <c r="B68" s="36">
        <f>'PS Enrollment'!$B$68</f>
        <v>0</v>
      </c>
      <c r="C68" s="36">
        <f>'PS Enrollment'!$C$68</f>
        <v>0</v>
      </c>
      <c r="D68" s="8" t="str">
        <f>IFERROR('PS Enrollment'!$D$68/'PS Enrollment'!$D$108, "")</f>
        <v/>
      </c>
      <c r="E68" s="10">
        <f>'PS Enrollment'!D$68</f>
        <v>0</v>
      </c>
      <c r="F68" s="8" t="str">
        <f>IFERROR(('PS Enrollment'!$Y$68-'Comparison Population'!$E68), "")</f>
        <v/>
      </c>
      <c r="G68" s="8" t="str">
        <f>IFERROR(('PS Enrollment'!$Z$68-'Comparison Population'!$E$7), "")</f>
        <v/>
      </c>
      <c r="H68" s="8" t="str">
        <f>IFERROR(('PS Enrollment'!$AA$68-'Comparison Population'!$E$8), "")</f>
        <v/>
      </c>
      <c r="I68" s="8" t="str">
        <f>IFERROR(('PS Enrollment'!$AB$68-'Comparison Population'!$E$10), "")</f>
        <v/>
      </c>
      <c r="J68" s="8" t="str">
        <f>IFERROR(('PS Enrollment'!$AC$68-'Comparison Population'!$E$11), "")</f>
        <v/>
      </c>
      <c r="K68" s="8" t="str">
        <f>IFERROR(('PS Enrollment'!$AD$68-'Comparison Population'!$E$12), "")</f>
        <v/>
      </c>
      <c r="L68" s="8" t="str">
        <f>IFERROR(('PS Enrollment'!$AE$68-'Comparison Population'!$E$13), "")</f>
        <v/>
      </c>
      <c r="M68" s="8" t="str">
        <f>IFERROR(('PS Enrollment'!$AF$68-'Comparison Population'!$E$14), "")</f>
        <v/>
      </c>
      <c r="N68" s="8" t="str">
        <f>IFERROR(('PS Enrollment'!$AG$68-'Comparison Population'!$E$15), "")</f>
        <v/>
      </c>
      <c r="O68" s="8" t="str">
        <f>IFERROR(('PS Enrollment'!$AH$68-'Comparison Population'!$E$16), "")</f>
        <v/>
      </c>
      <c r="P68" s="8" t="str">
        <f>IFERROR(('PS Enrollment'!$AI$68-'Comparison Population'!$E$17), "")</f>
        <v/>
      </c>
      <c r="Q68" s="8" t="str">
        <f>IFERROR(('PS Enrollment'!$AJ$68-'Comparison Population'!$E$19), "")</f>
        <v/>
      </c>
      <c r="R68" s="8" t="str">
        <f>IFERROR(('PS Enrollment'!$AK$68-'Comparison Population'!$E$20), "")</f>
        <v/>
      </c>
      <c r="S68" s="8" t="str">
        <f>IFERROR(('PS Enrollment'!$AL$68-'Comparison Population'!$E$21), "")</f>
        <v/>
      </c>
      <c r="T68" s="8" t="str">
        <f>IFERROR(('PS Enrollment'!$AM$68-'Comparison Population'!$E$22), "")</f>
        <v/>
      </c>
      <c r="U68" s="8" t="str">
        <f>IFERROR(('PS Enrollment'!$AN$68-'Comparison Population'!$E$23), "")</f>
        <v/>
      </c>
      <c r="V68" s="8" t="str">
        <f>IFERROR(('PS Enrollment'!$AO$68-'Comparison Population'!$E$24), "")</f>
        <v/>
      </c>
      <c r="W68" s="8" t="str">
        <f>IFERROR(('PS Enrollment'!$AP$68-'Comparison Population'!$E$25), "")</f>
        <v/>
      </c>
      <c r="X68" s="8" t="str">
        <f>IFERROR(('PS Enrollment'!$AQ$68-'Comparison Population'!$E$26), "")</f>
        <v/>
      </c>
      <c r="Y68" s="8" t="str">
        <f>IFERROR(('PS Enrollment'!$AR$68-'Comparison Population'!$E$27), "")</f>
        <v/>
      </c>
    </row>
    <row r="69" spans="1:25" x14ac:dyDescent="0.25">
      <c r="A69" s="36">
        <f>'PS Enrollment'!$A$69</f>
        <v>0</v>
      </c>
      <c r="B69" s="36">
        <f>'PS Enrollment'!$B$69</f>
        <v>0</v>
      </c>
      <c r="C69" s="36">
        <f>'PS Enrollment'!$C$69</f>
        <v>0</v>
      </c>
      <c r="D69" s="8" t="str">
        <f>IFERROR('PS Enrollment'!$D$69/'PS Enrollment'!$D$108, "")</f>
        <v/>
      </c>
      <c r="E69" s="10">
        <f>'PS Enrollment'!D$69</f>
        <v>0</v>
      </c>
      <c r="F69" s="8" t="str">
        <f>IFERROR(('PS Enrollment'!$Y$69-'Comparison Population'!$E69), "")</f>
        <v/>
      </c>
      <c r="G69" s="8" t="str">
        <f>IFERROR(('PS Enrollment'!$Z$69-'Comparison Population'!$E$7), "")</f>
        <v/>
      </c>
      <c r="H69" s="8" t="str">
        <f>IFERROR(('PS Enrollment'!$AA$69-'Comparison Population'!$E$8), "")</f>
        <v/>
      </c>
      <c r="I69" s="8" t="str">
        <f>IFERROR(('PS Enrollment'!$AB$69-'Comparison Population'!$E$10), "")</f>
        <v/>
      </c>
      <c r="J69" s="8" t="str">
        <f>IFERROR(('PS Enrollment'!$AC$69-'Comparison Population'!$E$11), "")</f>
        <v/>
      </c>
      <c r="K69" s="8" t="str">
        <f>IFERROR(('PS Enrollment'!$AD$69-'Comparison Population'!$E$12), "")</f>
        <v/>
      </c>
      <c r="L69" s="8" t="str">
        <f>IFERROR(('PS Enrollment'!$AE$69-'Comparison Population'!$E$13), "")</f>
        <v/>
      </c>
      <c r="M69" s="8" t="str">
        <f>IFERROR(('PS Enrollment'!$AF$69-'Comparison Population'!$E$14), "")</f>
        <v/>
      </c>
      <c r="N69" s="8" t="str">
        <f>IFERROR(('PS Enrollment'!$AG$69-'Comparison Population'!$E$15), "")</f>
        <v/>
      </c>
      <c r="O69" s="8" t="str">
        <f>IFERROR(('PS Enrollment'!$AH$69-'Comparison Population'!$E$16), "")</f>
        <v/>
      </c>
      <c r="P69" s="8" t="str">
        <f>IFERROR(('PS Enrollment'!$AI$69-'Comparison Population'!$E$17), "")</f>
        <v/>
      </c>
      <c r="Q69" s="8" t="str">
        <f>IFERROR(('PS Enrollment'!$AJ$69-'Comparison Population'!$E$19), "")</f>
        <v/>
      </c>
      <c r="R69" s="8" t="str">
        <f>IFERROR(('PS Enrollment'!$AK$69-'Comparison Population'!$E$20), "")</f>
        <v/>
      </c>
      <c r="S69" s="8" t="str">
        <f>IFERROR(('PS Enrollment'!$AL$69-'Comparison Population'!$E$21), "")</f>
        <v/>
      </c>
      <c r="T69" s="8" t="str">
        <f>IFERROR(('PS Enrollment'!$AM$69-'Comparison Population'!$E$22), "")</f>
        <v/>
      </c>
      <c r="U69" s="8" t="str">
        <f>IFERROR(('PS Enrollment'!$AN$69-'Comparison Population'!$E$23), "")</f>
        <v/>
      </c>
      <c r="V69" s="8" t="str">
        <f>IFERROR(('PS Enrollment'!$AO$69-'Comparison Population'!$E$24), "")</f>
        <v/>
      </c>
      <c r="W69" s="8" t="str">
        <f>IFERROR(('PS Enrollment'!$AP$69-'Comparison Population'!$E$25), "")</f>
        <v/>
      </c>
      <c r="X69" s="8" t="str">
        <f>IFERROR(('PS Enrollment'!$AQ$69-'Comparison Population'!$E$26), "")</f>
        <v/>
      </c>
      <c r="Y69" s="8" t="str">
        <f>IFERROR(('PS Enrollment'!$AR$69-'Comparison Population'!$E$27), "")</f>
        <v/>
      </c>
    </row>
    <row r="70" spans="1:25" x14ac:dyDescent="0.25">
      <c r="A70" s="36">
        <f>'PS Enrollment'!$A$70</f>
        <v>0</v>
      </c>
      <c r="B70" s="36">
        <f>'PS Enrollment'!$B$70</f>
        <v>0</v>
      </c>
      <c r="C70" s="36">
        <f>'PS Enrollment'!$C$70</f>
        <v>0</v>
      </c>
      <c r="D70" s="8" t="str">
        <f>IFERROR('PS Enrollment'!$D$70/'PS Enrollment'!$D$108, "")</f>
        <v/>
      </c>
      <c r="E70" s="10">
        <f>'PS Enrollment'!D$70</f>
        <v>0</v>
      </c>
      <c r="F70" s="8" t="str">
        <f>IFERROR(('PS Enrollment'!$Y$70-'Comparison Population'!$E70), "")</f>
        <v/>
      </c>
      <c r="G70" s="8" t="str">
        <f>IFERROR(('PS Enrollment'!$Z$70-'Comparison Population'!$E$7), "")</f>
        <v/>
      </c>
      <c r="H70" s="8" t="str">
        <f>IFERROR(('PS Enrollment'!$AA$70-'Comparison Population'!$E$8), "")</f>
        <v/>
      </c>
      <c r="I70" s="8" t="str">
        <f>IFERROR(('PS Enrollment'!$AB$70-'Comparison Population'!$E$10), "")</f>
        <v/>
      </c>
      <c r="J70" s="8" t="str">
        <f>IFERROR(('PS Enrollment'!$AC$70-'Comparison Population'!$E$11), "")</f>
        <v/>
      </c>
      <c r="K70" s="8" t="str">
        <f>IFERROR(('PS Enrollment'!$AD$70-'Comparison Population'!$E$12), "")</f>
        <v/>
      </c>
      <c r="L70" s="8" t="str">
        <f>IFERROR(('PS Enrollment'!$AE$70-'Comparison Population'!$E$13), "")</f>
        <v/>
      </c>
      <c r="M70" s="8" t="str">
        <f>IFERROR(('PS Enrollment'!$AF$70-'Comparison Population'!$E$14), "")</f>
        <v/>
      </c>
      <c r="N70" s="8" t="str">
        <f>IFERROR(('PS Enrollment'!$AG$70-'Comparison Population'!$E$15), "")</f>
        <v/>
      </c>
      <c r="O70" s="8" t="str">
        <f>IFERROR(('PS Enrollment'!$AH$70-'Comparison Population'!$E$16), "")</f>
        <v/>
      </c>
      <c r="P70" s="8" t="str">
        <f>IFERROR(('PS Enrollment'!$AI$70-'Comparison Population'!$E$17), "")</f>
        <v/>
      </c>
      <c r="Q70" s="8" t="str">
        <f>IFERROR(('PS Enrollment'!$AJ$70-'Comparison Population'!$E$19), "")</f>
        <v/>
      </c>
      <c r="R70" s="8" t="str">
        <f>IFERROR(('PS Enrollment'!$AK$70-'Comparison Population'!$E$20), "")</f>
        <v/>
      </c>
      <c r="S70" s="8" t="str">
        <f>IFERROR(('PS Enrollment'!$AL$70-'Comparison Population'!$E$21), "")</f>
        <v/>
      </c>
      <c r="T70" s="8" t="str">
        <f>IFERROR(('PS Enrollment'!$AM$70-'Comparison Population'!$E$22), "")</f>
        <v/>
      </c>
      <c r="U70" s="8" t="str">
        <f>IFERROR(('PS Enrollment'!$AN$70-'Comparison Population'!$E$23), "")</f>
        <v/>
      </c>
      <c r="V70" s="8" t="str">
        <f>IFERROR(('PS Enrollment'!$AO$70-'Comparison Population'!$E$24), "")</f>
        <v/>
      </c>
      <c r="W70" s="8" t="str">
        <f>IFERROR(('PS Enrollment'!$AP$70-'Comparison Population'!$E$25), "")</f>
        <v/>
      </c>
      <c r="X70" s="8" t="str">
        <f>IFERROR(('PS Enrollment'!$AQ$70-'Comparison Population'!$E$26), "")</f>
        <v/>
      </c>
      <c r="Y70" s="8" t="str">
        <f>IFERROR(('PS Enrollment'!$AR$70-'Comparison Population'!$E$27), "")</f>
        <v/>
      </c>
    </row>
    <row r="71" spans="1:25" x14ac:dyDescent="0.25">
      <c r="A71" s="36">
        <f>'PS Enrollment'!$A$71</f>
        <v>0</v>
      </c>
      <c r="B71" s="36">
        <f>'PS Enrollment'!$B$71</f>
        <v>0</v>
      </c>
      <c r="C71" s="36">
        <f>'PS Enrollment'!$C$71</f>
        <v>0</v>
      </c>
      <c r="D71" s="8" t="str">
        <f>IFERROR('PS Enrollment'!$D$71/'PS Enrollment'!$D$108, "")</f>
        <v/>
      </c>
      <c r="E71" s="10">
        <f>'PS Enrollment'!D$71</f>
        <v>0</v>
      </c>
      <c r="F71" s="8" t="str">
        <f>IFERROR(('PS Enrollment'!$Y$71-'Comparison Population'!$E71), "")</f>
        <v/>
      </c>
      <c r="G71" s="8" t="str">
        <f>IFERROR(('PS Enrollment'!$Z$71-'Comparison Population'!$E$7), "")</f>
        <v/>
      </c>
      <c r="H71" s="8" t="str">
        <f>IFERROR(('PS Enrollment'!$AA$71-'Comparison Population'!$E$8), "")</f>
        <v/>
      </c>
      <c r="I71" s="8" t="str">
        <f>IFERROR(('PS Enrollment'!$AB$71-'Comparison Population'!$E$10), "")</f>
        <v/>
      </c>
      <c r="J71" s="8" t="str">
        <f>IFERROR(('PS Enrollment'!$AC$71-'Comparison Population'!$E$11), "")</f>
        <v/>
      </c>
      <c r="K71" s="8" t="str">
        <f>IFERROR(('PS Enrollment'!$AD$71-'Comparison Population'!$E$12), "")</f>
        <v/>
      </c>
      <c r="L71" s="8" t="str">
        <f>IFERROR(('PS Enrollment'!$AE$71-'Comparison Population'!$E$13), "")</f>
        <v/>
      </c>
      <c r="M71" s="8" t="str">
        <f>IFERROR(('PS Enrollment'!$AF$71-'Comparison Population'!$E$14), "")</f>
        <v/>
      </c>
      <c r="N71" s="8" t="str">
        <f>IFERROR(('PS Enrollment'!$AG$71-'Comparison Population'!$E$15), "")</f>
        <v/>
      </c>
      <c r="O71" s="8" t="str">
        <f>IFERROR(('PS Enrollment'!$AH$71-'Comparison Population'!$E$16), "")</f>
        <v/>
      </c>
      <c r="P71" s="8" t="str">
        <f>IFERROR(('PS Enrollment'!$AI$71-'Comparison Population'!$E$17), "")</f>
        <v/>
      </c>
      <c r="Q71" s="8" t="str">
        <f>IFERROR(('PS Enrollment'!$AJ$71-'Comparison Population'!$E$19), "")</f>
        <v/>
      </c>
      <c r="R71" s="8" t="str">
        <f>IFERROR(('PS Enrollment'!$AK$71-'Comparison Population'!$E$20), "")</f>
        <v/>
      </c>
      <c r="S71" s="8" t="str">
        <f>IFERROR(('PS Enrollment'!$AL$71-'Comparison Population'!$E$21), "")</f>
        <v/>
      </c>
      <c r="T71" s="8" t="str">
        <f>IFERROR(('PS Enrollment'!$AM$71-'Comparison Population'!$E$22), "")</f>
        <v/>
      </c>
      <c r="U71" s="8" t="str">
        <f>IFERROR(('PS Enrollment'!$AN$71-'Comparison Population'!$E$23), "")</f>
        <v/>
      </c>
      <c r="V71" s="8" t="str">
        <f>IFERROR(('PS Enrollment'!$AO$71-'Comparison Population'!$E$24), "")</f>
        <v/>
      </c>
      <c r="W71" s="8" t="str">
        <f>IFERROR(('PS Enrollment'!$AP$71-'Comparison Population'!$E$25), "")</f>
        <v/>
      </c>
      <c r="X71" s="8" t="str">
        <f>IFERROR(('PS Enrollment'!$AQ$71-'Comparison Population'!$E$26), "")</f>
        <v/>
      </c>
      <c r="Y71" s="8" t="str">
        <f>IFERROR(('PS Enrollment'!$AR$71-'Comparison Population'!$E$27), "")</f>
        <v/>
      </c>
    </row>
    <row r="72" spans="1:25" x14ac:dyDescent="0.25">
      <c r="A72" s="36">
        <f>'PS Enrollment'!$A$72</f>
        <v>0</v>
      </c>
      <c r="B72" s="36">
        <f>'PS Enrollment'!$B$72</f>
        <v>0</v>
      </c>
      <c r="C72" s="36">
        <f>'PS Enrollment'!$C$72</f>
        <v>0</v>
      </c>
      <c r="D72" s="8" t="str">
        <f>IFERROR('PS Enrollment'!$D$72/'PS Enrollment'!$D$108, "")</f>
        <v/>
      </c>
      <c r="E72" s="10">
        <f>'PS Enrollment'!D$72</f>
        <v>0</v>
      </c>
      <c r="F72" s="8" t="str">
        <f>IFERROR(('PS Enrollment'!$Y$72-'Comparison Population'!$E72), "")</f>
        <v/>
      </c>
      <c r="G72" s="8" t="str">
        <f>IFERROR(('PS Enrollment'!$Z$72-'Comparison Population'!$E$7), "")</f>
        <v/>
      </c>
      <c r="H72" s="8" t="str">
        <f>IFERROR(('PS Enrollment'!$AA$72-'Comparison Population'!$E$8), "")</f>
        <v/>
      </c>
      <c r="I72" s="8" t="str">
        <f>IFERROR(('PS Enrollment'!$AB$72-'Comparison Population'!$E$10), "")</f>
        <v/>
      </c>
      <c r="J72" s="8" t="str">
        <f>IFERROR(('PS Enrollment'!$AC$72-'Comparison Population'!$E$11), "")</f>
        <v/>
      </c>
      <c r="K72" s="8" t="str">
        <f>IFERROR(('PS Enrollment'!$AD$72-'Comparison Population'!$E$12), "")</f>
        <v/>
      </c>
      <c r="L72" s="8" t="str">
        <f>IFERROR(('PS Enrollment'!$AE$72-'Comparison Population'!$E$13), "")</f>
        <v/>
      </c>
      <c r="M72" s="8" t="str">
        <f>IFERROR(('PS Enrollment'!$AF$72-'Comparison Population'!$E$14), "")</f>
        <v/>
      </c>
      <c r="N72" s="8" t="str">
        <f>IFERROR(('PS Enrollment'!$AG$72-'Comparison Population'!$E$15), "")</f>
        <v/>
      </c>
      <c r="O72" s="8" t="str">
        <f>IFERROR(('PS Enrollment'!$AH$72-'Comparison Population'!$E$16), "")</f>
        <v/>
      </c>
      <c r="P72" s="8" t="str">
        <f>IFERROR(('PS Enrollment'!$AI$72-'Comparison Population'!$E$17), "")</f>
        <v/>
      </c>
      <c r="Q72" s="8" t="str">
        <f>IFERROR(('PS Enrollment'!$AJ$72-'Comparison Population'!$E$19), "")</f>
        <v/>
      </c>
      <c r="R72" s="8" t="str">
        <f>IFERROR(('PS Enrollment'!$AK$72-'Comparison Population'!$E$20), "")</f>
        <v/>
      </c>
      <c r="S72" s="8" t="str">
        <f>IFERROR(('PS Enrollment'!$AL$72-'Comparison Population'!$E$21), "")</f>
        <v/>
      </c>
      <c r="T72" s="8" t="str">
        <f>IFERROR(('PS Enrollment'!$AM$72-'Comparison Population'!$E$22), "")</f>
        <v/>
      </c>
      <c r="U72" s="8" t="str">
        <f>IFERROR(('PS Enrollment'!$AN$72-'Comparison Population'!$E$23), "")</f>
        <v/>
      </c>
      <c r="V72" s="8" t="str">
        <f>IFERROR(('PS Enrollment'!$AO$72-'Comparison Population'!$E$24), "")</f>
        <v/>
      </c>
      <c r="W72" s="8" t="str">
        <f>IFERROR(('PS Enrollment'!$AP$72-'Comparison Population'!$E$25), "")</f>
        <v/>
      </c>
      <c r="X72" s="8" t="str">
        <f>IFERROR(('PS Enrollment'!$AQ$72-'Comparison Population'!$E$26), "")</f>
        <v/>
      </c>
      <c r="Y72" s="8" t="str">
        <f>IFERROR(('PS Enrollment'!$AR$72-'Comparison Population'!$E$27), "")</f>
        <v/>
      </c>
    </row>
    <row r="73" spans="1:25" x14ac:dyDescent="0.25">
      <c r="A73" s="36">
        <f>'PS Enrollment'!$A$73</f>
        <v>0</v>
      </c>
      <c r="B73" s="36">
        <f>'PS Enrollment'!$B$73</f>
        <v>0</v>
      </c>
      <c r="C73" s="36">
        <f>'PS Enrollment'!$C$73</f>
        <v>0</v>
      </c>
      <c r="D73" s="8" t="str">
        <f>IFERROR('PS Enrollment'!$D$73/'PS Enrollment'!$D$108, "")</f>
        <v/>
      </c>
      <c r="E73" s="10">
        <f>'PS Enrollment'!D$73</f>
        <v>0</v>
      </c>
      <c r="F73" s="8" t="str">
        <f>IFERROR(('PS Enrollment'!$Y$73-'Comparison Population'!$E73), "")</f>
        <v/>
      </c>
      <c r="G73" s="8" t="str">
        <f>IFERROR(('PS Enrollment'!$Z$73-'Comparison Population'!$E$7), "")</f>
        <v/>
      </c>
      <c r="H73" s="8" t="str">
        <f>IFERROR(('PS Enrollment'!$AA$73-'Comparison Population'!$E$8), "")</f>
        <v/>
      </c>
      <c r="I73" s="8" t="str">
        <f>IFERROR(('PS Enrollment'!$AB$73-'Comparison Population'!$E$10), "")</f>
        <v/>
      </c>
      <c r="J73" s="8" t="str">
        <f>IFERROR(('PS Enrollment'!$AC$73-'Comparison Population'!$E$11), "")</f>
        <v/>
      </c>
      <c r="K73" s="8" t="str">
        <f>IFERROR(('PS Enrollment'!$AD$73-'Comparison Population'!$E$12), "")</f>
        <v/>
      </c>
      <c r="L73" s="8" t="str">
        <f>IFERROR(('PS Enrollment'!$AE$73-'Comparison Population'!$E$13), "")</f>
        <v/>
      </c>
      <c r="M73" s="8" t="str">
        <f>IFERROR(('PS Enrollment'!$AF$73-'Comparison Population'!$E$14), "")</f>
        <v/>
      </c>
      <c r="N73" s="8" t="str">
        <f>IFERROR(('PS Enrollment'!$AG$73-'Comparison Population'!$E$15), "")</f>
        <v/>
      </c>
      <c r="O73" s="8" t="str">
        <f>IFERROR(('PS Enrollment'!$AH$73-'Comparison Population'!$E$16), "")</f>
        <v/>
      </c>
      <c r="P73" s="8" t="str">
        <f>IFERROR(('PS Enrollment'!$AI$73-'Comparison Population'!$E$17), "")</f>
        <v/>
      </c>
      <c r="Q73" s="8" t="str">
        <f>IFERROR(('PS Enrollment'!$AJ$73-'Comparison Population'!$E$19), "")</f>
        <v/>
      </c>
      <c r="R73" s="8" t="str">
        <f>IFERROR(('PS Enrollment'!$AK$73-'Comparison Population'!$E$20), "")</f>
        <v/>
      </c>
      <c r="S73" s="8" t="str">
        <f>IFERROR(('PS Enrollment'!$AL$73-'Comparison Population'!$E$21), "")</f>
        <v/>
      </c>
      <c r="T73" s="8" t="str">
        <f>IFERROR(('PS Enrollment'!$AM$73-'Comparison Population'!$E$22), "")</f>
        <v/>
      </c>
      <c r="U73" s="8" t="str">
        <f>IFERROR(('PS Enrollment'!$AN$73-'Comparison Population'!$E$23), "")</f>
        <v/>
      </c>
      <c r="V73" s="8" t="str">
        <f>IFERROR(('PS Enrollment'!$AO$73-'Comparison Population'!$E$24), "")</f>
        <v/>
      </c>
      <c r="W73" s="8" t="str">
        <f>IFERROR(('PS Enrollment'!$AP$73-'Comparison Population'!$E$25), "")</f>
        <v/>
      </c>
      <c r="X73" s="8" t="str">
        <f>IFERROR(('PS Enrollment'!$AQ$73-'Comparison Population'!$E$26), "")</f>
        <v/>
      </c>
      <c r="Y73" s="8" t="str">
        <f>IFERROR(('PS Enrollment'!$AR$73-'Comparison Population'!$E$27), "")</f>
        <v/>
      </c>
    </row>
    <row r="74" spans="1:25" x14ac:dyDescent="0.25">
      <c r="A74" s="36">
        <f>'PS Enrollment'!$A$74</f>
        <v>0</v>
      </c>
      <c r="B74" s="36">
        <f>'PS Enrollment'!$B$74</f>
        <v>0</v>
      </c>
      <c r="C74" s="36">
        <f>'PS Enrollment'!$C$74</f>
        <v>0</v>
      </c>
      <c r="D74" s="8" t="str">
        <f>IFERROR('PS Enrollment'!$D$74/'PS Enrollment'!$D$108, "")</f>
        <v/>
      </c>
      <c r="E74" s="10">
        <f>'PS Enrollment'!D$74</f>
        <v>0</v>
      </c>
      <c r="F74" s="8" t="str">
        <f>IFERROR(('PS Enrollment'!$Y$74-'Comparison Population'!$E74), "")</f>
        <v/>
      </c>
      <c r="G74" s="8" t="str">
        <f>IFERROR(('PS Enrollment'!$Z$74-'Comparison Population'!$E$7), "")</f>
        <v/>
      </c>
      <c r="H74" s="8" t="str">
        <f>IFERROR(('PS Enrollment'!$AA$74-'Comparison Population'!$E$8), "")</f>
        <v/>
      </c>
      <c r="I74" s="8" t="str">
        <f>IFERROR(('PS Enrollment'!$AB$74-'Comparison Population'!$E$10), "")</f>
        <v/>
      </c>
      <c r="J74" s="8" t="str">
        <f>IFERROR(('PS Enrollment'!$AC$74-'Comparison Population'!$E$11), "")</f>
        <v/>
      </c>
      <c r="K74" s="8" t="str">
        <f>IFERROR(('PS Enrollment'!$AD$74-'Comparison Population'!$E$12), "")</f>
        <v/>
      </c>
      <c r="L74" s="8" t="str">
        <f>IFERROR(('PS Enrollment'!$AE$74-'Comparison Population'!$E$13), "")</f>
        <v/>
      </c>
      <c r="M74" s="8" t="str">
        <f>IFERROR(('PS Enrollment'!$AF$74-'Comparison Population'!$E$14), "")</f>
        <v/>
      </c>
      <c r="N74" s="8" t="str">
        <f>IFERROR(('PS Enrollment'!$AG$74-'Comparison Population'!$E$15), "")</f>
        <v/>
      </c>
      <c r="O74" s="8" t="str">
        <f>IFERROR(('PS Enrollment'!$AH$74-'Comparison Population'!$E$16), "")</f>
        <v/>
      </c>
      <c r="P74" s="8" t="str">
        <f>IFERROR(('PS Enrollment'!$AI$74-'Comparison Population'!$E$17), "")</f>
        <v/>
      </c>
      <c r="Q74" s="8" t="str">
        <f>IFERROR(('PS Enrollment'!$AJ$74-'Comparison Population'!$E$19), "")</f>
        <v/>
      </c>
      <c r="R74" s="8" t="str">
        <f>IFERROR(('PS Enrollment'!$AK$74-'Comparison Population'!$E$20), "")</f>
        <v/>
      </c>
      <c r="S74" s="8" t="str">
        <f>IFERROR(('PS Enrollment'!$AL$74-'Comparison Population'!$E$21), "")</f>
        <v/>
      </c>
      <c r="T74" s="8" t="str">
        <f>IFERROR(('PS Enrollment'!$AM$74-'Comparison Population'!$E$22), "")</f>
        <v/>
      </c>
      <c r="U74" s="8" t="str">
        <f>IFERROR(('PS Enrollment'!$AN$74-'Comparison Population'!$E$23), "")</f>
        <v/>
      </c>
      <c r="V74" s="8" t="str">
        <f>IFERROR(('PS Enrollment'!$AO$74-'Comparison Population'!$E$24), "")</f>
        <v/>
      </c>
      <c r="W74" s="8" t="str">
        <f>IFERROR(('PS Enrollment'!$AP$74-'Comparison Population'!$E$25), "")</f>
        <v/>
      </c>
      <c r="X74" s="8" t="str">
        <f>IFERROR(('PS Enrollment'!$AQ$74-'Comparison Population'!$E$26), "")</f>
        <v/>
      </c>
      <c r="Y74" s="8" t="str">
        <f>IFERROR(('PS Enrollment'!$AR$74-'Comparison Population'!$E$27), "")</f>
        <v/>
      </c>
    </row>
    <row r="75" spans="1:25" x14ac:dyDescent="0.25">
      <c r="A75" s="36">
        <f>'PS Enrollment'!$A$75</f>
        <v>0</v>
      </c>
      <c r="B75" s="36">
        <f>'PS Enrollment'!$B$75</f>
        <v>0</v>
      </c>
      <c r="C75" s="36">
        <f>'PS Enrollment'!$C$75</f>
        <v>0</v>
      </c>
      <c r="D75" s="8" t="str">
        <f>IFERROR('PS Enrollment'!$D$75/'PS Enrollment'!$D$108, "")</f>
        <v/>
      </c>
      <c r="E75" s="10">
        <f>'PS Enrollment'!D$75</f>
        <v>0</v>
      </c>
      <c r="F75" s="8" t="str">
        <f>IFERROR(('PS Enrollment'!$Y$75-'Comparison Population'!$E75), "")</f>
        <v/>
      </c>
      <c r="G75" s="8" t="str">
        <f>IFERROR(('PS Enrollment'!$Z$75-'Comparison Population'!$E$7), "")</f>
        <v/>
      </c>
      <c r="H75" s="8" t="str">
        <f>IFERROR(('PS Enrollment'!$AA$75-'Comparison Population'!$E$8), "")</f>
        <v/>
      </c>
      <c r="I75" s="8" t="str">
        <f>IFERROR(('PS Enrollment'!$AB$75-'Comparison Population'!$E$10), "")</f>
        <v/>
      </c>
      <c r="J75" s="8" t="str">
        <f>IFERROR(('PS Enrollment'!$AC$75-'Comparison Population'!$E$11), "")</f>
        <v/>
      </c>
      <c r="K75" s="8" t="str">
        <f>IFERROR(('PS Enrollment'!$AD$75-'Comparison Population'!$E$12), "")</f>
        <v/>
      </c>
      <c r="L75" s="8" t="str">
        <f>IFERROR(('PS Enrollment'!$AE$75-'Comparison Population'!$E$13), "")</f>
        <v/>
      </c>
      <c r="M75" s="8" t="str">
        <f>IFERROR(('PS Enrollment'!$AF$75-'Comparison Population'!$E$14), "")</f>
        <v/>
      </c>
      <c r="N75" s="8" t="str">
        <f>IFERROR(('PS Enrollment'!$AG$75-'Comparison Population'!$E$15), "")</f>
        <v/>
      </c>
      <c r="O75" s="8" t="str">
        <f>IFERROR(('PS Enrollment'!$AH$75-'Comparison Population'!$E$16), "")</f>
        <v/>
      </c>
      <c r="P75" s="8" t="str">
        <f>IFERROR(('PS Enrollment'!$AI$75-'Comparison Population'!$E$17), "")</f>
        <v/>
      </c>
      <c r="Q75" s="8" t="str">
        <f>IFERROR(('PS Enrollment'!$AJ$75-'Comparison Population'!$E$19), "")</f>
        <v/>
      </c>
      <c r="R75" s="8" t="str">
        <f>IFERROR(('PS Enrollment'!$AK$75-'Comparison Population'!$E$20), "")</f>
        <v/>
      </c>
      <c r="S75" s="8" t="str">
        <f>IFERROR(('PS Enrollment'!$AL$75-'Comparison Population'!$E$21), "")</f>
        <v/>
      </c>
      <c r="T75" s="8" t="str">
        <f>IFERROR(('PS Enrollment'!$AM$75-'Comparison Population'!$E$22), "")</f>
        <v/>
      </c>
      <c r="U75" s="8" t="str">
        <f>IFERROR(('PS Enrollment'!$AN$75-'Comparison Population'!$E$23), "")</f>
        <v/>
      </c>
      <c r="V75" s="8" t="str">
        <f>IFERROR(('PS Enrollment'!$AO$75-'Comparison Population'!$E$24), "")</f>
        <v/>
      </c>
      <c r="W75" s="8" t="str">
        <f>IFERROR(('PS Enrollment'!$AP$75-'Comparison Population'!$E$25), "")</f>
        <v/>
      </c>
      <c r="X75" s="8" t="str">
        <f>IFERROR(('PS Enrollment'!$AQ$75-'Comparison Population'!$E$26), "")</f>
        <v/>
      </c>
      <c r="Y75" s="8" t="str">
        <f>IFERROR(('PS Enrollment'!$AR$75-'Comparison Population'!$E$27), "")</f>
        <v/>
      </c>
    </row>
    <row r="76" spans="1:25" x14ac:dyDescent="0.25">
      <c r="A76" s="36">
        <f>'PS Enrollment'!$A$76</f>
        <v>0</v>
      </c>
      <c r="B76" s="36">
        <f>'PS Enrollment'!$B$76</f>
        <v>0</v>
      </c>
      <c r="C76" s="36">
        <f>'PS Enrollment'!$C$76</f>
        <v>0</v>
      </c>
      <c r="D76" s="8" t="str">
        <f>IFERROR('PS Enrollment'!$D$76/'PS Enrollment'!$D$108, "")</f>
        <v/>
      </c>
      <c r="E76" s="10">
        <f>'PS Enrollment'!D$76</f>
        <v>0</v>
      </c>
      <c r="F76" s="8" t="str">
        <f>IFERROR(('PS Enrollment'!$Y$76-'Comparison Population'!$E76), "")</f>
        <v/>
      </c>
      <c r="G76" s="8" t="str">
        <f>IFERROR(('PS Enrollment'!$Z$76-'Comparison Population'!$E$7), "")</f>
        <v/>
      </c>
      <c r="H76" s="8" t="str">
        <f>IFERROR(('PS Enrollment'!$AA$76-'Comparison Population'!$E$8), "")</f>
        <v/>
      </c>
      <c r="I76" s="8" t="str">
        <f>IFERROR(('PS Enrollment'!$AB$76-'Comparison Population'!$E$10), "")</f>
        <v/>
      </c>
      <c r="J76" s="8" t="str">
        <f>IFERROR(('PS Enrollment'!$AC$76-'Comparison Population'!$E$11), "")</f>
        <v/>
      </c>
      <c r="K76" s="8" t="str">
        <f>IFERROR(('PS Enrollment'!$AD$76-'Comparison Population'!$E$12), "")</f>
        <v/>
      </c>
      <c r="L76" s="8" t="str">
        <f>IFERROR(('PS Enrollment'!$AE$76-'Comparison Population'!$E$13), "")</f>
        <v/>
      </c>
      <c r="M76" s="8" t="str">
        <f>IFERROR(('PS Enrollment'!$AF$76-'Comparison Population'!$E$14), "")</f>
        <v/>
      </c>
      <c r="N76" s="8" t="str">
        <f>IFERROR(('PS Enrollment'!$AG$76-'Comparison Population'!$E$15), "")</f>
        <v/>
      </c>
      <c r="O76" s="8" t="str">
        <f>IFERROR(('PS Enrollment'!$AH$76-'Comparison Population'!$E$16), "")</f>
        <v/>
      </c>
      <c r="P76" s="8" t="str">
        <f>IFERROR(('PS Enrollment'!$AI$76-'Comparison Population'!$E$17), "")</f>
        <v/>
      </c>
      <c r="Q76" s="8" t="str">
        <f>IFERROR(('PS Enrollment'!$AJ$76-'Comparison Population'!$E$19), "")</f>
        <v/>
      </c>
      <c r="R76" s="8" t="str">
        <f>IFERROR(('PS Enrollment'!$AK$76-'Comparison Population'!$E$20), "")</f>
        <v/>
      </c>
      <c r="S76" s="8" t="str">
        <f>IFERROR(('PS Enrollment'!$AL$76-'Comparison Population'!$E$21), "")</f>
        <v/>
      </c>
      <c r="T76" s="8" t="str">
        <f>IFERROR(('PS Enrollment'!$AM$76-'Comparison Population'!$E$22), "")</f>
        <v/>
      </c>
      <c r="U76" s="8" t="str">
        <f>IFERROR(('PS Enrollment'!$AN$76-'Comparison Population'!$E$23), "")</f>
        <v/>
      </c>
      <c r="V76" s="8" t="str">
        <f>IFERROR(('PS Enrollment'!$AO$76-'Comparison Population'!$E$24), "")</f>
        <v/>
      </c>
      <c r="W76" s="8" t="str">
        <f>IFERROR(('PS Enrollment'!$AP$76-'Comparison Population'!$E$25), "")</f>
        <v/>
      </c>
      <c r="X76" s="8" t="str">
        <f>IFERROR(('PS Enrollment'!$AQ$76-'Comparison Population'!$E$26), "")</f>
        <v/>
      </c>
      <c r="Y76" s="8" t="str">
        <f>IFERROR(('PS Enrollment'!$AR$76-'Comparison Population'!$E$27), "")</f>
        <v/>
      </c>
    </row>
    <row r="77" spans="1:25" x14ac:dyDescent="0.25">
      <c r="A77" s="36">
        <f>'PS Enrollment'!$A$77</f>
        <v>0</v>
      </c>
      <c r="B77" s="36">
        <f>'PS Enrollment'!$B$77</f>
        <v>0</v>
      </c>
      <c r="C77" s="36">
        <f>'PS Enrollment'!$C$77</f>
        <v>0</v>
      </c>
      <c r="D77" s="8" t="str">
        <f>IFERROR('PS Enrollment'!$D$77/'PS Enrollment'!$D$108, "")</f>
        <v/>
      </c>
      <c r="E77" s="10">
        <f>'PS Enrollment'!D$77</f>
        <v>0</v>
      </c>
      <c r="F77" s="8" t="str">
        <f>IFERROR(('PS Enrollment'!$Y$77-'Comparison Population'!$E77), "")</f>
        <v/>
      </c>
      <c r="G77" s="8" t="str">
        <f>IFERROR(('PS Enrollment'!$Z$77-'Comparison Population'!$E$7), "")</f>
        <v/>
      </c>
      <c r="H77" s="8" t="str">
        <f>IFERROR(('PS Enrollment'!$AA$77-'Comparison Population'!$E$8), "")</f>
        <v/>
      </c>
      <c r="I77" s="8" t="str">
        <f>IFERROR(('PS Enrollment'!$AB$77-'Comparison Population'!$E$10), "")</f>
        <v/>
      </c>
      <c r="J77" s="8" t="str">
        <f>IFERROR(('PS Enrollment'!$AC$77-'Comparison Population'!$E$11), "")</f>
        <v/>
      </c>
      <c r="K77" s="8" t="str">
        <f>IFERROR(('PS Enrollment'!$AD$77-'Comparison Population'!$E$12), "")</f>
        <v/>
      </c>
      <c r="L77" s="8" t="str">
        <f>IFERROR(('PS Enrollment'!$AE$77-'Comparison Population'!$E$13), "")</f>
        <v/>
      </c>
      <c r="M77" s="8" t="str">
        <f>IFERROR(('PS Enrollment'!$AF$77-'Comparison Population'!$E$14), "")</f>
        <v/>
      </c>
      <c r="N77" s="8" t="str">
        <f>IFERROR(('PS Enrollment'!$AG$77-'Comparison Population'!$E$15), "")</f>
        <v/>
      </c>
      <c r="O77" s="8" t="str">
        <f>IFERROR(('PS Enrollment'!$AH$77-'Comparison Population'!$E$16), "")</f>
        <v/>
      </c>
      <c r="P77" s="8" t="str">
        <f>IFERROR(('PS Enrollment'!$AI$77-'Comparison Population'!$E$17), "")</f>
        <v/>
      </c>
      <c r="Q77" s="8" t="str">
        <f>IFERROR(('PS Enrollment'!$AJ$77-'Comparison Population'!$E$19), "")</f>
        <v/>
      </c>
      <c r="R77" s="8" t="str">
        <f>IFERROR(('PS Enrollment'!$AK$77-'Comparison Population'!$E$20), "")</f>
        <v/>
      </c>
      <c r="S77" s="8" t="str">
        <f>IFERROR(('PS Enrollment'!$AL$77-'Comparison Population'!$E$21), "")</f>
        <v/>
      </c>
      <c r="T77" s="8" t="str">
        <f>IFERROR(('PS Enrollment'!$AM$77-'Comparison Population'!$E$22), "")</f>
        <v/>
      </c>
      <c r="U77" s="8" t="str">
        <f>IFERROR(('PS Enrollment'!$AN$77-'Comparison Population'!$E$23), "")</f>
        <v/>
      </c>
      <c r="V77" s="8" t="str">
        <f>IFERROR(('PS Enrollment'!$AO$77-'Comparison Population'!$E$24), "")</f>
        <v/>
      </c>
      <c r="W77" s="8" t="str">
        <f>IFERROR(('PS Enrollment'!$AP$77-'Comparison Population'!$E$25), "")</f>
        <v/>
      </c>
      <c r="X77" s="8" t="str">
        <f>IFERROR(('PS Enrollment'!$AQ$77-'Comparison Population'!$E$26), "")</f>
        <v/>
      </c>
      <c r="Y77" s="8" t="str">
        <f>IFERROR(('PS Enrollment'!$AR$77-'Comparison Population'!$E$27), "")</f>
        <v/>
      </c>
    </row>
    <row r="78" spans="1:25" x14ac:dyDescent="0.25">
      <c r="A78" s="36">
        <f>'PS Enrollment'!$A$78</f>
        <v>0</v>
      </c>
      <c r="B78" s="36">
        <f>'PS Enrollment'!$B$78</f>
        <v>0</v>
      </c>
      <c r="C78" s="36">
        <f>'PS Enrollment'!$C$78</f>
        <v>0</v>
      </c>
      <c r="D78" s="8" t="str">
        <f>IFERROR('PS Enrollment'!$D$78/'PS Enrollment'!$D$108, "")</f>
        <v/>
      </c>
      <c r="E78" s="10">
        <f>'PS Enrollment'!D$78</f>
        <v>0</v>
      </c>
      <c r="F78" s="8" t="str">
        <f>IFERROR(('PS Enrollment'!$Y$78-'Comparison Population'!$E78), "")</f>
        <v/>
      </c>
      <c r="G78" s="8" t="str">
        <f>IFERROR(('PS Enrollment'!$Z$78-'Comparison Population'!$E$7), "")</f>
        <v/>
      </c>
      <c r="H78" s="8" t="str">
        <f>IFERROR(('PS Enrollment'!$AA$78-'Comparison Population'!$E$8), "")</f>
        <v/>
      </c>
      <c r="I78" s="8" t="str">
        <f>IFERROR(('PS Enrollment'!$AB$78-'Comparison Population'!$E$10), "")</f>
        <v/>
      </c>
      <c r="J78" s="8" t="str">
        <f>IFERROR(('PS Enrollment'!$AC$78-'Comparison Population'!$E$11), "")</f>
        <v/>
      </c>
      <c r="K78" s="8" t="str">
        <f>IFERROR(('PS Enrollment'!$AD$78-'Comparison Population'!$E$12), "")</f>
        <v/>
      </c>
      <c r="L78" s="8" t="str">
        <f>IFERROR(('PS Enrollment'!$AE$78-'Comparison Population'!$E$13), "")</f>
        <v/>
      </c>
      <c r="M78" s="8" t="str">
        <f>IFERROR(('PS Enrollment'!$AF$78-'Comparison Population'!$E$14), "")</f>
        <v/>
      </c>
      <c r="N78" s="8" t="str">
        <f>IFERROR(('PS Enrollment'!$AG$78-'Comparison Population'!$E$15), "")</f>
        <v/>
      </c>
      <c r="O78" s="8" t="str">
        <f>IFERROR(('PS Enrollment'!$AH$78-'Comparison Population'!$E$16), "")</f>
        <v/>
      </c>
      <c r="P78" s="8" t="str">
        <f>IFERROR(('PS Enrollment'!$AI$78-'Comparison Population'!$E$17), "")</f>
        <v/>
      </c>
      <c r="Q78" s="8" t="str">
        <f>IFERROR(('PS Enrollment'!$AJ$78-'Comparison Population'!$E$19), "")</f>
        <v/>
      </c>
      <c r="R78" s="8" t="str">
        <f>IFERROR(('PS Enrollment'!$AK$78-'Comparison Population'!$E$20), "")</f>
        <v/>
      </c>
      <c r="S78" s="8" t="str">
        <f>IFERROR(('PS Enrollment'!$AL$78-'Comparison Population'!$E$21), "")</f>
        <v/>
      </c>
      <c r="T78" s="8" t="str">
        <f>IFERROR(('PS Enrollment'!$AM$78-'Comparison Population'!$E$22), "")</f>
        <v/>
      </c>
      <c r="U78" s="8" t="str">
        <f>IFERROR(('PS Enrollment'!$AN$78-'Comparison Population'!$E$23), "")</f>
        <v/>
      </c>
      <c r="V78" s="8" t="str">
        <f>IFERROR(('PS Enrollment'!$AO$78-'Comparison Population'!$E$24), "")</f>
        <v/>
      </c>
      <c r="W78" s="8" t="str">
        <f>IFERROR(('PS Enrollment'!$AP$78-'Comparison Population'!$E$25), "")</f>
        <v/>
      </c>
      <c r="X78" s="8" t="str">
        <f>IFERROR(('PS Enrollment'!$AQ$78-'Comparison Population'!$E$26), "")</f>
        <v/>
      </c>
      <c r="Y78" s="8" t="str">
        <f>IFERROR(('PS Enrollment'!$AR$78-'Comparison Population'!$E$27), "")</f>
        <v/>
      </c>
    </row>
    <row r="79" spans="1:25" x14ac:dyDescent="0.25">
      <c r="A79" s="36">
        <f>'PS Enrollment'!$A$79</f>
        <v>0</v>
      </c>
      <c r="B79" s="36">
        <f>'PS Enrollment'!$B$79</f>
        <v>0</v>
      </c>
      <c r="C79" s="36">
        <f>'PS Enrollment'!$C$79</f>
        <v>0</v>
      </c>
      <c r="D79" s="8" t="str">
        <f>IFERROR('PS Enrollment'!$D$79/'PS Enrollment'!$D$108, "")</f>
        <v/>
      </c>
      <c r="E79" s="10">
        <f>'PS Enrollment'!D$79</f>
        <v>0</v>
      </c>
      <c r="F79" s="8" t="str">
        <f>IFERROR(('PS Enrollment'!$Y$79-'Comparison Population'!$E79), "")</f>
        <v/>
      </c>
      <c r="G79" s="8" t="str">
        <f>IFERROR(('PS Enrollment'!$Z$79-'Comparison Population'!$E$7), "")</f>
        <v/>
      </c>
      <c r="H79" s="8" t="str">
        <f>IFERROR(('PS Enrollment'!$AA$79-'Comparison Population'!$E$8), "")</f>
        <v/>
      </c>
      <c r="I79" s="8" t="str">
        <f>IFERROR(('PS Enrollment'!$AB$79-'Comparison Population'!$E$10), "")</f>
        <v/>
      </c>
      <c r="J79" s="8" t="str">
        <f>IFERROR(('PS Enrollment'!$AC$79-'Comparison Population'!$E$11), "")</f>
        <v/>
      </c>
      <c r="K79" s="8" t="str">
        <f>IFERROR(('PS Enrollment'!$AD$79-'Comparison Population'!$E$12), "")</f>
        <v/>
      </c>
      <c r="L79" s="8" t="str">
        <f>IFERROR(('PS Enrollment'!$AE$79-'Comparison Population'!$E$13), "")</f>
        <v/>
      </c>
      <c r="M79" s="8" t="str">
        <f>IFERROR(('PS Enrollment'!$AF$79-'Comparison Population'!$E$14), "")</f>
        <v/>
      </c>
      <c r="N79" s="8" t="str">
        <f>IFERROR(('PS Enrollment'!$AG$79-'Comparison Population'!$E$15), "")</f>
        <v/>
      </c>
      <c r="O79" s="8" t="str">
        <f>IFERROR(('PS Enrollment'!$AH$79-'Comparison Population'!$E$16), "")</f>
        <v/>
      </c>
      <c r="P79" s="8" t="str">
        <f>IFERROR(('PS Enrollment'!$AI$79-'Comparison Population'!$E$17), "")</f>
        <v/>
      </c>
      <c r="Q79" s="8" t="str">
        <f>IFERROR(('PS Enrollment'!$AJ$79-'Comparison Population'!$E$19), "")</f>
        <v/>
      </c>
      <c r="R79" s="8" t="str">
        <f>IFERROR(('PS Enrollment'!$AK$79-'Comparison Population'!$E$20), "")</f>
        <v/>
      </c>
      <c r="S79" s="8" t="str">
        <f>IFERROR(('PS Enrollment'!$AL$79-'Comparison Population'!$E$21), "")</f>
        <v/>
      </c>
      <c r="T79" s="8" t="str">
        <f>IFERROR(('PS Enrollment'!$AM$79-'Comparison Population'!$E$22), "")</f>
        <v/>
      </c>
      <c r="U79" s="8" t="str">
        <f>IFERROR(('PS Enrollment'!$AN$79-'Comparison Population'!$E$23), "")</f>
        <v/>
      </c>
      <c r="V79" s="8" t="str">
        <f>IFERROR(('PS Enrollment'!$AO$79-'Comparison Population'!$E$24), "")</f>
        <v/>
      </c>
      <c r="W79" s="8" t="str">
        <f>IFERROR(('PS Enrollment'!$AP$79-'Comparison Population'!$E$25), "")</f>
        <v/>
      </c>
      <c r="X79" s="8" t="str">
        <f>IFERROR(('PS Enrollment'!$AQ$79-'Comparison Population'!$E$26), "")</f>
        <v/>
      </c>
      <c r="Y79" s="8" t="str">
        <f>IFERROR(('PS Enrollment'!$AR$79-'Comparison Population'!$E$27), "")</f>
        <v/>
      </c>
    </row>
    <row r="80" spans="1:25" x14ac:dyDescent="0.25">
      <c r="A80" s="36">
        <f>'PS Enrollment'!$A$80</f>
        <v>0</v>
      </c>
      <c r="B80" s="36">
        <f>'PS Enrollment'!$B$80</f>
        <v>0</v>
      </c>
      <c r="C80" s="36">
        <f>'PS Enrollment'!$C$80</f>
        <v>0</v>
      </c>
      <c r="D80" s="8" t="str">
        <f>IFERROR('PS Enrollment'!$D$80/'PS Enrollment'!$D$108, "")</f>
        <v/>
      </c>
      <c r="E80" s="10">
        <f>'PS Enrollment'!D$80</f>
        <v>0</v>
      </c>
      <c r="F80" s="8" t="str">
        <f>IFERROR(('PS Enrollment'!$Y$80-'Comparison Population'!$E80), "")</f>
        <v/>
      </c>
      <c r="G80" s="8" t="str">
        <f>IFERROR(('PS Enrollment'!$Z$80-'Comparison Population'!$E$7), "")</f>
        <v/>
      </c>
      <c r="H80" s="8" t="str">
        <f>IFERROR(('PS Enrollment'!$AA$80-'Comparison Population'!$E$8), "")</f>
        <v/>
      </c>
      <c r="I80" s="8" t="str">
        <f>IFERROR(('PS Enrollment'!$AB$80-'Comparison Population'!$E$10), "")</f>
        <v/>
      </c>
      <c r="J80" s="8" t="str">
        <f>IFERROR(('PS Enrollment'!$AC$80-'Comparison Population'!$E$11), "")</f>
        <v/>
      </c>
      <c r="K80" s="8" t="str">
        <f>IFERROR(('PS Enrollment'!$AD$80-'Comparison Population'!$E$12), "")</f>
        <v/>
      </c>
      <c r="L80" s="8" t="str">
        <f>IFERROR(('PS Enrollment'!$AE$80-'Comparison Population'!$E$13), "")</f>
        <v/>
      </c>
      <c r="M80" s="8" t="str">
        <f>IFERROR(('PS Enrollment'!$AF$80-'Comparison Population'!$E$14), "")</f>
        <v/>
      </c>
      <c r="N80" s="8" t="str">
        <f>IFERROR(('PS Enrollment'!$AG$80-'Comparison Population'!$E$15), "")</f>
        <v/>
      </c>
      <c r="O80" s="8" t="str">
        <f>IFERROR(('PS Enrollment'!$AH$80-'Comparison Population'!$E$16), "")</f>
        <v/>
      </c>
      <c r="P80" s="8" t="str">
        <f>IFERROR(('PS Enrollment'!$AI$80-'Comparison Population'!$E$17), "")</f>
        <v/>
      </c>
      <c r="Q80" s="8" t="str">
        <f>IFERROR(('PS Enrollment'!$AJ$80-'Comparison Population'!$E$19), "")</f>
        <v/>
      </c>
      <c r="R80" s="8" t="str">
        <f>IFERROR(('PS Enrollment'!$AK$80-'Comparison Population'!$E$20), "")</f>
        <v/>
      </c>
      <c r="S80" s="8" t="str">
        <f>IFERROR(('PS Enrollment'!$AL$80-'Comparison Population'!$E$21), "")</f>
        <v/>
      </c>
      <c r="T80" s="8" t="str">
        <f>IFERROR(('PS Enrollment'!$AM$80-'Comparison Population'!$E$22), "")</f>
        <v/>
      </c>
      <c r="U80" s="8" t="str">
        <f>IFERROR(('PS Enrollment'!$AN$80-'Comparison Population'!$E$23), "")</f>
        <v/>
      </c>
      <c r="V80" s="8" t="str">
        <f>IFERROR(('PS Enrollment'!$AO$80-'Comparison Population'!$E$24), "")</f>
        <v/>
      </c>
      <c r="W80" s="8" t="str">
        <f>IFERROR(('PS Enrollment'!$AP$80-'Comparison Population'!$E$25), "")</f>
        <v/>
      </c>
      <c r="X80" s="8" t="str">
        <f>IFERROR(('PS Enrollment'!$AQ$80-'Comparison Population'!$E$26), "")</f>
        <v/>
      </c>
      <c r="Y80" s="8" t="str">
        <f>IFERROR(('PS Enrollment'!$AR$80-'Comparison Population'!$E$27), "")</f>
        <v/>
      </c>
    </row>
    <row r="81" spans="1:25" x14ac:dyDescent="0.25">
      <c r="A81" s="36">
        <f>'PS Enrollment'!$A$81</f>
        <v>0</v>
      </c>
      <c r="B81" s="36">
        <f>'PS Enrollment'!$B$81</f>
        <v>0</v>
      </c>
      <c r="C81" s="36">
        <f>'PS Enrollment'!$C$81</f>
        <v>0</v>
      </c>
      <c r="D81" s="8" t="str">
        <f>IFERROR('PS Enrollment'!$D$81/'PS Enrollment'!$D$108, "")</f>
        <v/>
      </c>
      <c r="E81" s="10">
        <f>'PS Enrollment'!D$81</f>
        <v>0</v>
      </c>
      <c r="F81" s="8" t="str">
        <f>IFERROR(('PS Enrollment'!$Y$81-'Comparison Population'!$E81), "")</f>
        <v/>
      </c>
      <c r="G81" s="8" t="str">
        <f>IFERROR(('PS Enrollment'!$Z$81-'Comparison Population'!$E$7), "")</f>
        <v/>
      </c>
      <c r="H81" s="8" t="str">
        <f>IFERROR(('PS Enrollment'!$AA$81-'Comparison Population'!$E$8), "")</f>
        <v/>
      </c>
      <c r="I81" s="8" t="str">
        <f>IFERROR(('PS Enrollment'!$AB$81-'Comparison Population'!$E$10), "")</f>
        <v/>
      </c>
      <c r="J81" s="8" t="str">
        <f>IFERROR(('PS Enrollment'!$AC$81-'Comparison Population'!$E$11), "")</f>
        <v/>
      </c>
      <c r="K81" s="8" t="str">
        <f>IFERROR(('PS Enrollment'!$AD$81-'Comparison Population'!$E$12), "")</f>
        <v/>
      </c>
      <c r="L81" s="8" t="str">
        <f>IFERROR(('PS Enrollment'!$AE$81-'Comparison Population'!$E$13), "")</f>
        <v/>
      </c>
      <c r="M81" s="8" t="str">
        <f>IFERROR(('PS Enrollment'!$AF$81-'Comparison Population'!$E$14), "")</f>
        <v/>
      </c>
      <c r="N81" s="8" t="str">
        <f>IFERROR(('PS Enrollment'!$AG$81-'Comparison Population'!$E$15), "")</f>
        <v/>
      </c>
      <c r="O81" s="8" t="str">
        <f>IFERROR(('PS Enrollment'!$AH$81-'Comparison Population'!$E$16), "")</f>
        <v/>
      </c>
      <c r="P81" s="8" t="str">
        <f>IFERROR(('PS Enrollment'!$AI$81-'Comparison Population'!$E$17), "")</f>
        <v/>
      </c>
      <c r="Q81" s="8" t="str">
        <f>IFERROR(('PS Enrollment'!$AJ$81-'Comparison Population'!$E$19), "")</f>
        <v/>
      </c>
      <c r="R81" s="8" t="str">
        <f>IFERROR(('PS Enrollment'!$AK$81-'Comparison Population'!$E$20), "")</f>
        <v/>
      </c>
      <c r="S81" s="8" t="str">
        <f>IFERROR(('PS Enrollment'!$AL$81-'Comparison Population'!$E$21), "")</f>
        <v/>
      </c>
      <c r="T81" s="8" t="str">
        <f>IFERROR(('PS Enrollment'!$AM$81-'Comparison Population'!$E$22), "")</f>
        <v/>
      </c>
      <c r="U81" s="8" t="str">
        <f>IFERROR(('PS Enrollment'!$AN$81-'Comparison Population'!$E$23), "")</f>
        <v/>
      </c>
      <c r="V81" s="8" t="str">
        <f>IFERROR(('PS Enrollment'!$AO$81-'Comparison Population'!$E$24), "")</f>
        <v/>
      </c>
      <c r="W81" s="8" t="str">
        <f>IFERROR(('PS Enrollment'!$AP$81-'Comparison Population'!$E$25), "")</f>
        <v/>
      </c>
      <c r="X81" s="8" t="str">
        <f>IFERROR(('PS Enrollment'!$AQ$81-'Comparison Population'!$E$26), "")</f>
        <v/>
      </c>
      <c r="Y81" s="8" t="str">
        <f>IFERROR(('PS Enrollment'!$AR$81-'Comparison Population'!$E$27), "")</f>
        <v/>
      </c>
    </row>
    <row r="82" spans="1:25" x14ac:dyDescent="0.25">
      <c r="A82" s="36">
        <f>'PS Enrollment'!$A$82</f>
        <v>0</v>
      </c>
      <c r="B82" s="36">
        <f>'PS Enrollment'!$B$82</f>
        <v>0</v>
      </c>
      <c r="C82" s="36">
        <f>'PS Enrollment'!$C$82</f>
        <v>0</v>
      </c>
      <c r="D82" s="8" t="str">
        <f>IFERROR('PS Enrollment'!$D$82/'PS Enrollment'!$D$108, "")</f>
        <v/>
      </c>
      <c r="E82" s="10">
        <f>'PS Enrollment'!D$82</f>
        <v>0</v>
      </c>
      <c r="F82" s="8" t="str">
        <f>IFERROR(('PS Enrollment'!$Y$82-'Comparison Population'!$E82), "")</f>
        <v/>
      </c>
      <c r="G82" s="8" t="str">
        <f>IFERROR(('PS Enrollment'!$Z$82-'Comparison Population'!$E$7), "")</f>
        <v/>
      </c>
      <c r="H82" s="8" t="str">
        <f>IFERROR(('PS Enrollment'!$AA$82-'Comparison Population'!$E$8), "")</f>
        <v/>
      </c>
      <c r="I82" s="8" t="str">
        <f>IFERROR(('PS Enrollment'!$AB$82-'Comparison Population'!$E$10), "")</f>
        <v/>
      </c>
      <c r="J82" s="8" t="str">
        <f>IFERROR(('PS Enrollment'!$AC$82-'Comparison Population'!$E$11), "")</f>
        <v/>
      </c>
      <c r="K82" s="8" t="str">
        <f>IFERROR(('PS Enrollment'!$AD$82-'Comparison Population'!$E$12), "")</f>
        <v/>
      </c>
      <c r="L82" s="8" t="str">
        <f>IFERROR(('PS Enrollment'!$AE$82-'Comparison Population'!$E$13), "")</f>
        <v/>
      </c>
      <c r="M82" s="8" t="str">
        <f>IFERROR(('PS Enrollment'!$AF$82-'Comparison Population'!$E$14), "")</f>
        <v/>
      </c>
      <c r="N82" s="8" t="str">
        <f>IFERROR(('PS Enrollment'!$AG$82-'Comparison Population'!$E$15), "")</f>
        <v/>
      </c>
      <c r="O82" s="8" t="str">
        <f>IFERROR(('PS Enrollment'!$AH$82-'Comparison Population'!$E$16), "")</f>
        <v/>
      </c>
      <c r="P82" s="8" t="str">
        <f>IFERROR(('PS Enrollment'!$AI$82-'Comparison Population'!$E$17), "")</f>
        <v/>
      </c>
      <c r="Q82" s="8" t="str">
        <f>IFERROR(('PS Enrollment'!$AJ$82-'Comparison Population'!$E$19), "")</f>
        <v/>
      </c>
      <c r="R82" s="8" t="str">
        <f>IFERROR(('PS Enrollment'!$AK$82-'Comparison Population'!$E$20), "")</f>
        <v/>
      </c>
      <c r="S82" s="8" t="str">
        <f>IFERROR(('PS Enrollment'!$AL$82-'Comparison Population'!$E$21), "")</f>
        <v/>
      </c>
      <c r="T82" s="8" t="str">
        <f>IFERROR(('PS Enrollment'!$AM$82-'Comparison Population'!$E$22), "")</f>
        <v/>
      </c>
      <c r="U82" s="8" t="str">
        <f>IFERROR(('PS Enrollment'!$AN$82-'Comparison Population'!$E$23), "")</f>
        <v/>
      </c>
      <c r="V82" s="8" t="str">
        <f>IFERROR(('PS Enrollment'!$AO$82-'Comparison Population'!$E$24), "")</f>
        <v/>
      </c>
      <c r="W82" s="8" t="str">
        <f>IFERROR(('PS Enrollment'!$AP$82-'Comparison Population'!$E$25), "")</f>
        <v/>
      </c>
      <c r="X82" s="8" t="str">
        <f>IFERROR(('PS Enrollment'!$AQ$82-'Comparison Population'!$E$26), "")</f>
        <v/>
      </c>
      <c r="Y82" s="8" t="str">
        <f>IFERROR(('PS Enrollment'!$AR$82-'Comparison Population'!$E$27), "")</f>
        <v/>
      </c>
    </row>
    <row r="83" spans="1:25" x14ac:dyDescent="0.25">
      <c r="A83" s="36">
        <f>'PS Enrollment'!$A$83</f>
        <v>0</v>
      </c>
      <c r="B83" s="36">
        <f>'PS Enrollment'!$B$83</f>
        <v>0</v>
      </c>
      <c r="C83" s="36">
        <f>'PS Enrollment'!$C$83</f>
        <v>0</v>
      </c>
      <c r="D83" s="8" t="str">
        <f>IFERROR('PS Enrollment'!$D$83/'PS Enrollment'!$D$108, "")</f>
        <v/>
      </c>
      <c r="E83" s="10">
        <f>'PS Enrollment'!D$83</f>
        <v>0</v>
      </c>
      <c r="F83" s="8" t="str">
        <f>IFERROR(('PS Enrollment'!$Y$83-'Comparison Population'!$E83), "")</f>
        <v/>
      </c>
      <c r="G83" s="8" t="str">
        <f>IFERROR(('PS Enrollment'!$Z$83-'Comparison Population'!$E$7), "")</f>
        <v/>
      </c>
      <c r="H83" s="8" t="str">
        <f>IFERROR(('PS Enrollment'!$AA$83-'Comparison Population'!$E$8), "")</f>
        <v/>
      </c>
      <c r="I83" s="8" t="str">
        <f>IFERROR(('PS Enrollment'!$AB$83-'Comparison Population'!$E$10), "")</f>
        <v/>
      </c>
      <c r="J83" s="8" t="str">
        <f>IFERROR(('PS Enrollment'!$AC$83-'Comparison Population'!$E$11), "")</f>
        <v/>
      </c>
      <c r="K83" s="8" t="str">
        <f>IFERROR(('PS Enrollment'!$AD$83-'Comparison Population'!$E$12), "")</f>
        <v/>
      </c>
      <c r="L83" s="8" t="str">
        <f>IFERROR(('PS Enrollment'!$AE$83-'Comparison Population'!$E$13), "")</f>
        <v/>
      </c>
      <c r="M83" s="8" t="str">
        <f>IFERROR(('PS Enrollment'!$AF$83-'Comparison Population'!$E$14), "")</f>
        <v/>
      </c>
      <c r="N83" s="8" t="str">
        <f>IFERROR(('PS Enrollment'!$AG$83-'Comparison Population'!$E$15), "")</f>
        <v/>
      </c>
      <c r="O83" s="8" t="str">
        <f>IFERROR(('PS Enrollment'!$AH$83-'Comparison Population'!$E$16), "")</f>
        <v/>
      </c>
      <c r="P83" s="8" t="str">
        <f>IFERROR(('PS Enrollment'!$AI$83-'Comparison Population'!$E$17), "")</f>
        <v/>
      </c>
      <c r="Q83" s="8" t="str">
        <f>IFERROR(('PS Enrollment'!$AJ$83-'Comparison Population'!$E$19), "")</f>
        <v/>
      </c>
      <c r="R83" s="8" t="str">
        <f>IFERROR(('PS Enrollment'!$AK$83-'Comparison Population'!$E$20), "")</f>
        <v/>
      </c>
      <c r="S83" s="8" t="str">
        <f>IFERROR(('PS Enrollment'!$AL$83-'Comparison Population'!$E$21), "")</f>
        <v/>
      </c>
      <c r="T83" s="8" t="str">
        <f>IFERROR(('PS Enrollment'!$AM$83-'Comparison Population'!$E$22), "")</f>
        <v/>
      </c>
      <c r="U83" s="8" t="str">
        <f>IFERROR(('PS Enrollment'!$AN$83-'Comparison Population'!$E$23), "")</f>
        <v/>
      </c>
      <c r="V83" s="8" t="str">
        <f>IFERROR(('PS Enrollment'!$AO$83-'Comparison Population'!$E$24), "")</f>
        <v/>
      </c>
      <c r="W83" s="8" t="str">
        <f>IFERROR(('PS Enrollment'!$AP$83-'Comparison Population'!$E$25), "")</f>
        <v/>
      </c>
      <c r="X83" s="8" t="str">
        <f>IFERROR(('PS Enrollment'!$AQ$83-'Comparison Population'!$E$26), "")</f>
        <v/>
      </c>
      <c r="Y83" s="8" t="str">
        <f>IFERROR(('PS Enrollment'!$AR$83-'Comparison Population'!$E$27), "")</f>
        <v/>
      </c>
    </row>
    <row r="84" spans="1:25" x14ac:dyDescent="0.25">
      <c r="A84" s="36">
        <f>'PS Enrollment'!$A$84</f>
        <v>0</v>
      </c>
      <c r="B84" s="36">
        <f>'PS Enrollment'!$B$84</f>
        <v>0</v>
      </c>
      <c r="C84" s="36">
        <f>'PS Enrollment'!$C$84</f>
        <v>0</v>
      </c>
      <c r="D84" s="8" t="str">
        <f>IFERROR('PS Enrollment'!$D$84/'PS Enrollment'!$D$108, "")</f>
        <v/>
      </c>
      <c r="E84" s="10">
        <f>'PS Enrollment'!D$84</f>
        <v>0</v>
      </c>
      <c r="F84" s="8" t="str">
        <f>IFERROR(('PS Enrollment'!$Y$84-'Comparison Population'!$E84), "")</f>
        <v/>
      </c>
      <c r="G84" s="8" t="str">
        <f>IFERROR(('PS Enrollment'!$Z$84-'Comparison Population'!$E$7), "")</f>
        <v/>
      </c>
      <c r="H84" s="8" t="str">
        <f>IFERROR(('PS Enrollment'!$AA$84-'Comparison Population'!$E$8), "")</f>
        <v/>
      </c>
      <c r="I84" s="8" t="str">
        <f>IFERROR(('PS Enrollment'!$AB$84-'Comparison Population'!$E$10), "")</f>
        <v/>
      </c>
      <c r="J84" s="8" t="str">
        <f>IFERROR(('PS Enrollment'!$AC$84-'Comparison Population'!$E$11), "")</f>
        <v/>
      </c>
      <c r="K84" s="8" t="str">
        <f>IFERROR(('PS Enrollment'!$AD$84-'Comparison Population'!$E$12), "")</f>
        <v/>
      </c>
      <c r="L84" s="8" t="str">
        <f>IFERROR(('PS Enrollment'!$AE$84-'Comparison Population'!$E$13), "")</f>
        <v/>
      </c>
      <c r="M84" s="8" t="str">
        <f>IFERROR(('PS Enrollment'!$AF$84-'Comparison Population'!$E$14), "")</f>
        <v/>
      </c>
      <c r="N84" s="8" t="str">
        <f>IFERROR(('PS Enrollment'!$AG$84-'Comparison Population'!$E$15), "")</f>
        <v/>
      </c>
      <c r="O84" s="8" t="str">
        <f>IFERROR(('PS Enrollment'!$AH$84-'Comparison Population'!$E$16), "")</f>
        <v/>
      </c>
      <c r="P84" s="8" t="str">
        <f>IFERROR(('PS Enrollment'!$AI$84-'Comparison Population'!$E$17), "")</f>
        <v/>
      </c>
      <c r="Q84" s="8" t="str">
        <f>IFERROR(('PS Enrollment'!$AJ$84-'Comparison Population'!$E$19), "")</f>
        <v/>
      </c>
      <c r="R84" s="8" t="str">
        <f>IFERROR(('PS Enrollment'!$AK$84-'Comparison Population'!$E$20), "")</f>
        <v/>
      </c>
      <c r="S84" s="8" t="str">
        <f>IFERROR(('PS Enrollment'!$AL$84-'Comparison Population'!$E$21), "")</f>
        <v/>
      </c>
      <c r="T84" s="8" t="str">
        <f>IFERROR(('PS Enrollment'!$AM$84-'Comparison Population'!$E$22), "")</f>
        <v/>
      </c>
      <c r="U84" s="8" t="str">
        <f>IFERROR(('PS Enrollment'!$AN$84-'Comparison Population'!$E$23), "")</f>
        <v/>
      </c>
      <c r="V84" s="8" t="str">
        <f>IFERROR(('PS Enrollment'!$AO$84-'Comparison Population'!$E$24), "")</f>
        <v/>
      </c>
      <c r="W84" s="8" t="str">
        <f>IFERROR(('PS Enrollment'!$AP$84-'Comparison Population'!$E$25), "")</f>
        <v/>
      </c>
      <c r="X84" s="8" t="str">
        <f>IFERROR(('PS Enrollment'!$AQ$84-'Comparison Population'!$E$26), "")</f>
        <v/>
      </c>
      <c r="Y84" s="8" t="str">
        <f>IFERROR(('PS Enrollment'!$AR$84-'Comparison Population'!$E$27), "")</f>
        <v/>
      </c>
    </row>
    <row r="85" spans="1:25" x14ac:dyDescent="0.25">
      <c r="A85" s="36">
        <f>'PS Enrollment'!$A$85</f>
        <v>0</v>
      </c>
      <c r="B85" s="36">
        <f>'PS Enrollment'!$B$85</f>
        <v>0</v>
      </c>
      <c r="C85" s="36">
        <f>'PS Enrollment'!$C$85</f>
        <v>0</v>
      </c>
      <c r="D85" s="8" t="str">
        <f>IFERROR('PS Enrollment'!$D$85/'PS Enrollment'!$D$108, "")</f>
        <v/>
      </c>
      <c r="E85" s="10">
        <f>'PS Enrollment'!D$85</f>
        <v>0</v>
      </c>
      <c r="F85" s="8" t="str">
        <f>IFERROR(('PS Enrollment'!$Y$85-'Comparison Population'!$E85), "")</f>
        <v/>
      </c>
      <c r="G85" s="8" t="str">
        <f>IFERROR(('PS Enrollment'!$Z$85-'Comparison Population'!$E$7), "")</f>
        <v/>
      </c>
      <c r="H85" s="8" t="str">
        <f>IFERROR(('PS Enrollment'!$AA$85-'Comparison Population'!$E$8), "")</f>
        <v/>
      </c>
      <c r="I85" s="8" t="str">
        <f>IFERROR(('PS Enrollment'!$AB$85-'Comparison Population'!$E$10), "")</f>
        <v/>
      </c>
      <c r="J85" s="8" t="str">
        <f>IFERROR(('PS Enrollment'!$AC$85-'Comparison Population'!$E$11), "")</f>
        <v/>
      </c>
      <c r="K85" s="8" t="str">
        <f>IFERROR(('PS Enrollment'!$AD$85-'Comparison Population'!$E$12), "")</f>
        <v/>
      </c>
      <c r="L85" s="8" t="str">
        <f>IFERROR(('PS Enrollment'!$AE$85-'Comparison Population'!$E$13), "")</f>
        <v/>
      </c>
      <c r="M85" s="8" t="str">
        <f>IFERROR(('PS Enrollment'!$AF$85-'Comparison Population'!$E$14), "")</f>
        <v/>
      </c>
      <c r="N85" s="8" t="str">
        <f>IFERROR(('PS Enrollment'!$AG$85-'Comparison Population'!$E$15), "")</f>
        <v/>
      </c>
      <c r="O85" s="8" t="str">
        <f>IFERROR(('PS Enrollment'!$AH$85-'Comparison Population'!$E$16), "")</f>
        <v/>
      </c>
      <c r="P85" s="8" t="str">
        <f>IFERROR(('PS Enrollment'!$AI$85-'Comparison Population'!$E$17), "")</f>
        <v/>
      </c>
      <c r="Q85" s="8" t="str">
        <f>IFERROR(('PS Enrollment'!$AJ$85-'Comparison Population'!$E$19), "")</f>
        <v/>
      </c>
      <c r="R85" s="8" t="str">
        <f>IFERROR(('PS Enrollment'!$AK$85-'Comparison Population'!$E$20), "")</f>
        <v/>
      </c>
      <c r="S85" s="8" t="str">
        <f>IFERROR(('PS Enrollment'!$AL$85-'Comparison Population'!$E$21), "")</f>
        <v/>
      </c>
      <c r="T85" s="8" t="str">
        <f>IFERROR(('PS Enrollment'!$AM$85-'Comparison Population'!$E$22), "")</f>
        <v/>
      </c>
      <c r="U85" s="8" t="str">
        <f>IFERROR(('PS Enrollment'!$AN$85-'Comparison Population'!$E$23), "")</f>
        <v/>
      </c>
      <c r="V85" s="8" t="str">
        <f>IFERROR(('PS Enrollment'!$AO$85-'Comparison Population'!$E$24), "")</f>
        <v/>
      </c>
      <c r="W85" s="8" t="str">
        <f>IFERROR(('PS Enrollment'!$AP$85-'Comparison Population'!$E$25), "")</f>
        <v/>
      </c>
      <c r="X85" s="8" t="str">
        <f>IFERROR(('PS Enrollment'!$AQ$85-'Comparison Population'!$E$26), "")</f>
        <v/>
      </c>
      <c r="Y85" s="8" t="str">
        <f>IFERROR(('PS Enrollment'!$AR$85-'Comparison Population'!$E$27), "")</f>
        <v/>
      </c>
    </row>
    <row r="86" spans="1:25" x14ac:dyDescent="0.25">
      <c r="A86" s="36">
        <f>'PS Enrollment'!$A$86</f>
        <v>0</v>
      </c>
      <c r="B86" s="36">
        <f>'PS Enrollment'!$B$86</f>
        <v>0</v>
      </c>
      <c r="C86" s="36">
        <f>'PS Enrollment'!$C$86</f>
        <v>0</v>
      </c>
      <c r="D86" s="8" t="str">
        <f>IFERROR('PS Enrollment'!$D$86/'PS Enrollment'!$D$108, "")</f>
        <v/>
      </c>
      <c r="E86" s="10">
        <f>'PS Enrollment'!D$86</f>
        <v>0</v>
      </c>
      <c r="F86" s="8" t="str">
        <f>IFERROR(('PS Enrollment'!$Y$86-'Comparison Population'!$E86), "")</f>
        <v/>
      </c>
      <c r="G86" s="8" t="str">
        <f>IFERROR(('PS Enrollment'!$Z$86-'Comparison Population'!$E$7), "")</f>
        <v/>
      </c>
      <c r="H86" s="8" t="str">
        <f>IFERROR(('PS Enrollment'!$AA$86-'Comparison Population'!$E$8), "")</f>
        <v/>
      </c>
      <c r="I86" s="8" t="str">
        <f>IFERROR(('PS Enrollment'!$AB$86-'Comparison Population'!$E$10), "")</f>
        <v/>
      </c>
      <c r="J86" s="8" t="str">
        <f>IFERROR(('PS Enrollment'!$AC$86-'Comparison Population'!$E$11), "")</f>
        <v/>
      </c>
      <c r="K86" s="8" t="str">
        <f>IFERROR(('PS Enrollment'!$AD$86-'Comparison Population'!$E$12), "")</f>
        <v/>
      </c>
      <c r="L86" s="8" t="str">
        <f>IFERROR(('PS Enrollment'!$AE$86-'Comparison Population'!$E$13), "")</f>
        <v/>
      </c>
      <c r="M86" s="8" t="str">
        <f>IFERROR(('PS Enrollment'!$AF$86-'Comparison Population'!$E$14), "")</f>
        <v/>
      </c>
      <c r="N86" s="8" t="str">
        <f>IFERROR(('PS Enrollment'!$AG$86-'Comparison Population'!$E$15), "")</f>
        <v/>
      </c>
      <c r="O86" s="8" t="str">
        <f>IFERROR(('PS Enrollment'!$AH$86-'Comparison Population'!$E$16), "")</f>
        <v/>
      </c>
      <c r="P86" s="8" t="str">
        <f>IFERROR(('PS Enrollment'!$AI$86-'Comparison Population'!$E$17), "")</f>
        <v/>
      </c>
      <c r="Q86" s="8" t="str">
        <f>IFERROR(('PS Enrollment'!$AJ$86-'Comparison Population'!$E$19), "")</f>
        <v/>
      </c>
      <c r="R86" s="8" t="str">
        <f>IFERROR(('PS Enrollment'!$AK$86-'Comparison Population'!$E$20), "")</f>
        <v/>
      </c>
      <c r="S86" s="8" t="str">
        <f>IFERROR(('PS Enrollment'!$AL$86-'Comparison Population'!$E$21), "")</f>
        <v/>
      </c>
      <c r="T86" s="8" t="str">
        <f>IFERROR(('PS Enrollment'!$AM$86-'Comparison Population'!$E$22), "")</f>
        <v/>
      </c>
      <c r="U86" s="8" t="str">
        <f>IFERROR(('PS Enrollment'!$AN$86-'Comparison Population'!$E$23), "")</f>
        <v/>
      </c>
      <c r="V86" s="8" t="str">
        <f>IFERROR(('PS Enrollment'!$AO$86-'Comparison Population'!$E$24), "")</f>
        <v/>
      </c>
      <c r="W86" s="8" t="str">
        <f>IFERROR(('PS Enrollment'!$AP$86-'Comparison Population'!$E$25), "")</f>
        <v/>
      </c>
      <c r="X86" s="8" t="str">
        <f>IFERROR(('PS Enrollment'!$AQ$86-'Comparison Population'!$E$26), "")</f>
        <v/>
      </c>
      <c r="Y86" s="8" t="str">
        <f>IFERROR(('PS Enrollment'!$AR$86-'Comparison Population'!$E$27), "")</f>
        <v/>
      </c>
    </row>
    <row r="87" spans="1:25" x14ac:dyDescent="0.25">
      <c r="A87" s="36">
        <f>'PS Enrollment'!$A$87</f>
        <v>0</v>
      </c>
      <c r="B87" s="36">
        <f>'PS Enrollment'!$B$87</f>
        <v>0</v>
      </c>
      <c r="C87" s="36">
        <f>'PS Enrollment'!$C$87</f>
        <v>0</v>
      </c>
      <c r="D87" s="8" t="str">
        <f>IFERROR('PS Enrollment'!$D$87/'PS Enrollment'!$D$108, "")</f>
        <v/>
      </c>
      <c r="E87" s="10">
        <f>'PS Enrollment'!D$87</f>
        <v>0</v>
      </c>
      <c r="F87" s="8" t="str">
        <f>IFERROR(('PS Enrollment'!$Y$87-'Comparison Population'!$E87), "")</f>
        <v/>
      </c>
      <c r="G87" s="8" t="str">
        <f>IFERROR(('PS Enrollment'!$Z$87-'Comparison Population'!$E$7), "")</f>
        <v/>
      </c>
      <c r="H87" s="8" t="str">
        <f>IFERROR(('PS Enrollment'!$AA$87-'Comparison Population'!$E$8), "")</f>
        <v/>
      </c>
      <c r="I87" s="8" t="str">
        <f>IFERROR(('PS Enrollment'!$AB$87-'Comparison Population'!$E$10), "")</f>
        <v/>
      </c>
      <c r="J87" s="8" t="str">
        <f>IFERROR(('PS Enrollment'!$AC$87-'Comparison Population'!$E$11), "")</f>
        <v/>
      </c>
      <c r="K87" s="8" t="str">
        <f>IFERROR(('PS Enrollment'!$AD$87-'Comparison Population'!$E$12), "")</f>
        <v/>
      </c>
      <c r="L87" s="8" t="str">
        <f>IFERROR(('PS Enrollment'!$AE$87-'Comparison Population'!$E$13), "")</f>
        <v/>
      </c>
      <c r="M87" s="8" t="str">
        <f>IFERROR(('PS Enrollment'!$AF$87-'Comparison Population'!$E$14), "")</f>
        <v/>
      </c>
      <c r="N87" s="8" t="str">
        <f>IFERROR(('PS Enrollment'!$AG$87-'Comparison Population'!$E$15), "")</f>
        <v/>
      </c>
      <c r="O87" s="8" t="str">
        <f>IFERROR(('PS Enrollment'!$AH$87-'Comparison Population'!$E$16), "")</f>
        <v/>
      </c>
      <c r="P87" s="8" t="str">
        <f>IFERROR(('PS Enrollment'!$AI$87-'Comparison Population'!$E$17), "")</f>
        <v/>
      </c>
      <c r="Q87" s="8" t="str">
        <f>IFERROR(('PS Enrollment'!$AJ$87-'Comparison Population'!$E$19), "")</f>
        <v/>
      </c>
      <c r="R87" s="8" t="str">
        <f>IFERROR(('PS Enrollment'!$AK$87-'Comparison Population'!$E$20), "")</f>
        <v/>
      </c>
      <c r="S87" s="8" t="str">
        <f>IFERROR(('PS Enrollment'!$AL$87-'Comparison Population'!$E$21), "")</f>
        <v/>
      </c>
      <c r="T87" s="8" t="str">
        <f>IFERROR(('PS Enrollment'!$AM$87-'Comparison Population'!$E$22), "")</f>
        <v/>
      </c>
      <c r="U87" s="8" t="str">
        <f>IFERROR(('PS Enrollment'!$AN$87-'Comparison Population'!$E$23), "")</f>
        <v/>
      </c>
      <c r="V87" s="8" t="str">
        <f>IFERROR(('PS Enrollment'!$AO$87-'Comparison Population'!$E$24), "")</f>
        <v/>
      </c>
      <c r="W87" s="8" t="str">
        <f>IFERROR(('PS Enrollment'!$AP$87-'Comparison Population'!$E$25), "")</f>
        <v/>
      </c>
      <c r="X87" s="8" t="str">
        <f>IFERROR(('PS Enrollment'!$AQ$87-'Comparison Population'!$E$26), "")</f>
        <v/>
      </c>
      <c r="Y87" s="8" t="str">
        <f>IFERROR(('PS Enrollment'!$AR$87-'Comparison Population'!$E$27), "")</f>
        <v/>
      </c>
    </row>
    <row r="88" spans="1:25" x14ac:dyDescent="0.25">
      <c r="A88" s="36">
        <f>'PS Enrollment'!$A$88</f>
        <v>0</v>
      </c>
      <c r="B88" s="36">
        <f>'PS Enrollment'!$B$88</f>
        <v>0</v>
      </c>
      <c r="C88" s="36">
        <f>'PS Enrollment'!$C$88</f>
        <v>0</v>
      </c>
      <c r="D88" s="8" t="str">
        <f>IFERROR('PS Enrollment'!$D$88/'PS Enrollment'!$D$108, "")</f>
        <v/>
      </c>
      <c r="E88" s="10">
        <f>'PS Enrollment'!D$88</f>
        <v>0</v>
      </c>
      <c r="F88" s="8" t="str">
        <f>IFERROR(('PS Enrollment'!$Y$88-'Comparison Population'!$E88), "")</f>
        <v/>
      </c>
      <c r="G88" s="8" t="str">
        <f>IFERROR(('PS Enrollment'!$Z$88-'Comparison Population'!$E$7), "")</f>
        <v/>
      </c>
      <c r="H88" s="8" t="str">
        <f>IFERROR(('PS Enrollment'!$AA$88-'Comparison Population'!$E$8), "")</f>
        <v/>
      </c>
      <c r="I88" s="8" t="str">
        <f>IFERROR(('PS Enrollment'!$AB$88-'Comparison Population'!$E$10), "")</f>
        <v/>
      </c>
      <c r="J88" s="8" t="str">
        <f>IFERROR(('PS Enrollment'!$AC$88-'Comparison Population'!$E$11), "")</f>
        <v/>
      </c>
      <c r="K88" s="8" t="str">
        <f>IFERROR(('PS Enrollment'!$AD$88-'Comparison Population'!$E$12), "")</f>
        <v/>
      </c>
      <c r="L88" s="8" t="str">
        <f>IFERROR(('PS Enrollment'!$AE$88-'Comparison Population'!$E$13), "")</f>
        <v/>
      </c>
      <c r="M88" s="8" t="str">
        <f>IFERROR(('PS Enrollment'!$AF$88-'Comparison Population'!$E$14), "")</f>
        <v/>
      </c>
      <c r="N88" s="8" t="str">
        <f>IFERROR(('PS Enrollment'!$AG$88-'Comparison Population'!$E$15), "")</f>
        <v/>
      </c>
      <c r="O88" s="8" t="str">
        <f>IFERROR(('PS Enrollment'!$AH$88-'Comparison Population'!$E$16), "")</f>
        <v/>
      </c>
      <c r="P88" s="8" t="str">
        <f>IFERROR(('PS Enrollment'!$AI$88-'Comparison Population'!$E$17), "")</f>
        <v/>
      </c>
      <c r="Q88" s="8" t="str">
        <f>IFERROR(('PS Enrollment'!$AJ$88-'Comparison Population'!$E$19), "")</f>
        <v/>
      </c>
      <c r="R88" s="8" t="str">
        <f>IFERROR(('PS Enrollment'!$AK$88-'Comparison Population'!$E$20), "")</f>
        <v/>
      </c>
      <c r="S88" s="8" t="str">
        <f>IFERROR(('PS Enrollment'!$AL$88-'Comparison Population'!$E$21), "")</f>
        <v/>
      </c>
      <c r="T88" s="8" t="str">
        <f>IFERROR(('PS Enrollment'!$AM$88-'Comparison Population'!$E$22), "")</f>
        <v/>
      </c>
      <c r="U88" s="8" t="str">
        <f>IFERROR(('PS Enrollment'!$AN$88-'Comparison Population'!$E$23), "")</f>
        <v/>
      </c>
      <c r="V88" s="8" t="str">
        <f>IFERROR(('PS Enrollment'!$AO$88-'Comparison Population'!$E$24), "")</f>
        <v/>
      </c>
      <c r="W88" s="8" t="str">
        <f>IFERROR(('PS Enrollment'!$AP$88-'Comparison Population'!$E$25), "")</f>
        <v/>
      </c>
      <c r="X88" s="8" t="str">
        <f>IFERROR(('PS Enrollment'!$AQ$88-'Comparison Population'!$E$26), "")</f>
        <v/>
      </c>
      <c r="Y88" s="8" t="str">
        <f>IFERROR(('PS Enrollment'!$AR$88-'Comparison Population'!$E$27), "")</f>
        <v/>
      </c>
    </row>
    <row r="89" spans="1:25" x14ac:dyDescent="0.25">
      <c r="A89" s="36">
        <f>'PS Enrollment'!$A$89</f>
        <v>0</v>
      </c>
      <c r="B89" s="36">
        <f>'PS Enrollment'!$B$89</f>
        <v>0</v>
      </c>
      <c r="C89" s="36">
        <f>'PS Enrollment'!$C$89</f>
        <v>0</v>
      </c>
      <c r="D89" s="8" t="str">
        <f>IFERROR('PS Enrollment'!$D$89/'PS Enrollment'!$D$108, "")</f>
        <v/>
      </c>
      <c r="E89" s="10">
        <f>'PS Enrollment'!D$89</f>
        <v>0</v>
      </c>
      <c r="F89" s="8" t="str">
        <f>IFERROR(('PS Enrollment'!$Y$89-'Comparison Population'!$E89), "")</f>
        <v/>
      </c>
      <c r="G89" s="8" t="str">
        <f>IFERROR(('PS Enrollment'!$Z$89-'Comparison Population'!$E$7), "")</f>
        <v/>
      </c>
      <c r="H89" s="8" t="str">
        <f>IFERROR(('PS Enrollment'!$AA$89-'Comparison Population'!$E$8), "")</f>
        <v/>
      </c>
      <c r="I89" s="8" t="str">
        <f>IFERROR(('PS Enrollment'!$AB$89-'Comparison Population'!$E$10), "")</f>
        <v/>
      </c>
      <c r="J89" s="8" t="str">
        <f>IFERROR(('PS Enrollment'!$AC$89-'Comparison Population'!$E$11), "")</f>
        <v/>
      </c>
      <c r="K89" s="8" t="str">
        <f>IFERROR(('PS Enrollment'!$AD$89-'Comparison Population'!$E$12), "")</f>
        <v/>
      </c>
      <c r="L89" s="8" t="str">
        <f>IFERROR(('PS Enrollment'!$AE$89-'Comparison Population'!$E$13), "")</f>
        <v/>
      </c>
      <c r="M89" s="8" t="str">
        <f>IFERROR(('PS Enrollment'!$AF$89-'Comparison Population'!$E$14), "")</f>
        <v/>
      </c>
      <c r="N89" s="8" t="str">
        <f>IFERROR(('PS Enrollment'!$AG$89-'Comparison Population'!$E$15), "")</f>
        <v/>
      </c>
      <c r="O89" s="8" t="str">
        <f>IFERROR(('PS Enrollment'!$AH$89-'Comparison Population'!$E$16), "")</f>
        <v/>
      </c>
      <c r="P89" s="8" t="str">
        <f>IFERROR(('PS Enrollment'!$AI$89-'Comparison Population'!$E$17), "")</f>
        <v/>
      </c>
      <c r="Q89" s="8" t="str">
        <f>IFERROR(('PS Enrollment'!$AJ$89-'Comparison Population'!$E$19), "")</f>
        <v/>
      </c>
      <c r="R89" s="8" t="str">
        <f>IFERROR(('PS Enrollment'!$AK$89-'Comparison Population'!$E$20), "")</f>
        <v/>
      </c>
      <c r="S89" s="8" t="str">
        <f>IFERROR(('PS Enrollment'!$AL$89-'Comparison Population'!$E$21), "")</f>
        <v/>
      </c>
      <c r="T89" s="8" t="str">
        <f>IFERROR(('PS Enrollment'!$AM$89-'Comparison Population'!$E$22), "")</f>
        <v/>
      </c>
      <c r="U89" s="8" t="str">
        <f>IFERROR(('PS Enrollment'!$AN$89-'Comparison Population'!$E$23), "")</f>
        <v/>
      </c>
      <c r="V89" s="8" t="str">
        <f>IFERROR(('PS Enrollment'!$AO$89-'Comparison Population'!$E$24), "")</f>
        <v/>
      </c>
      <c r="W89" s="8" t="str">
        <f>IFERROR(('PS Enrollment'!$AP$89-'Comparison Population'!$E$25), "")</f>
        <v/>
      </c>
      <c r="X89" s="8" t="str">
        <f>IFERROR(('PS Enrollment'!$AQ$89-'Comparison Population'!$E$26), "")</f>
        <v/>
      </c>
      <c r="Y89" s="8" t="str">
        <f>IFERROR(('PS Enrollment'!$AR$89-'Comparison Population'!$E$27), "")</f>
        <v/>
      </c>
    </row>
    <row r="90" spans="1:25" x14ac:dyDescent="0.25">
      <c r="A90" s="36">
        <f>'PS Enrollment'!$A$90</f>
        <v>0</v>
      </c>
      <c r="B90" s="36">
        <f>'PS Enrollment'!$B$90</f>
        <v>0</v>
      </c>
      <c r="C90" s="36">
        <f>'PS Enrollment'!$C$90</f>
        <v>0</v>
      </c>
      <c r="D90" s="8" t="str">
        <f>IFERROR('PS Enrollment'!$D$90/'PS Enrollment'!$D$108, "")</f>
        <v/>
      </c>
      <c r="E90" s="10">
        <f>'PS Enrollment'!D$90</f>
        <v>0</v>
      </c>
      <c r="F90" s="8" t="str">
        <f>IFERROR(('PS Enrollment'!$Y$90-'Comparison Population'!$E90), "")</f>
        <v/>
      </c>
      <c r="G90" s="8" t="str">
        <f>IFERROR(('PS Enrollment'!$Z$90-'Comparison Population'!$E$7), "")</f>
        <v/>
      </c>
      <c r="H90" s="8" t="str">
        <f>IFERROR(('PS Enrollment'!$AA$90-'Comparison Population'!$E$8), "")</f>
        <v/>
      </c>
      <c r="I90" s="8" t="str">
        <f>IFERROR(('PS Enrollment'!$AB$90-'Comparison Population'!$E$10), "")</f>
        <v/>
      </c>
      <c r="J90" s="8" t="str">
        <f>IFERROR(('PS Enrollment'!$AC$90-'Comparison Population'!$E$11), "")</f>
        <v/>
      </c>
      <c r="K90" s="8" t="str">
        <f>IFERROR(('PS Enrollment'!$AD$90-'Comparison Population'!$E$12), "")</f>
        <v/>
      </c>
      <c r="L90" s="8" t="str">
        <f>IFERROR(('PS Enrollment'!$AE$90-'Comparison Population'!$E$13), "")</f>
        <v/>
      </c>
      <c r="M90" s="8" t="str">
        <f>IFERROR(('PS Enrollment'!$AF$90-'Comparison Population'!$E$14), "")</f>
        <v/>
      </c>
      <c r="N90" s="8" t="str">
        <f>IFERROR(('PS Enrollment'!$AG$90-'Comparison Population'!$E$15), "")</f>
        <v/>
      </c>
      <c r="O90" s="8" t="str">
        <f>IFERROR(('PS Enrollment'!$AH$90-'Comparison Population'!$E$16), "")</f>
        <v/>
      </c>
      <c r="P90" s="8" t="str">
        <f>IFERROR(('PS Enrollment'!$AI$90-'Comparison Population'!$E$17), "")</f>
        <v/>
      </c>
      <c r="Q90" s="8" t="str">
        <f>IFERROR(('PS Enrollment'!$AJ$90-'Comparison Population'!$E$19), "")</f>
        <v/>
      </c>
      <c r="R90" s="8" t="str">
        <f>IFERROR(('PS Enrollment'!$AK$90-'Comparison Population'!$E$20), "")</f>
        <v/>
      </c>
      <c r="S90" s="8" t="str">
        <f>IFERROR(('PS Enrollment'!$AL$90-'Comparison Population'!$E$21), "")</f>
        <v/>
      </c>
      <c r="T90" s="8" t="str">
        <f>IFERROR(('PS Enrollment'!$AM$90-'Comparison Population'!$E$22), "")</f>
        <v/>
      </c>
      <c r="U90" s="8" t="str">
        <f>IFERROR(('PS Enrollment'!$AN$90-'Comparison Population'!$E$23), "")</f>
        <v/>
      </c>
      <c r="V90" s="8" t="str">
        <f>IFERROR(('PS Enrollment'!$AO$90-'Comparison Population'!$E$24), "")</f>
        <v/>
      </c>
      <c r="W90" s="8" t="str">
        <f>IFERROR(('PS Enrollment'!$AP$90-'Comparison Population'!$E$25), "")</f>
        <v/>
      </c>
      <c r="X90" s="8" t="str">
        <f>IFERROR(('PS Enrollment'!$AQ$90-'Comparison Population'!$E$26), "")</f>
        <v/>
      </c>
      <c r="Y90" s="8" t="str">
        <f>IFERROR(('PS Enrollment'!$AR$90-'Comparison Population'!$E$27), "")</f>
        <v/>
      </c>
    </row>
    <row r="91" spans="1:25" x14ac:dyDescent="0.25">
      <c r="A91" s="36">
        <f>'PS Enrollment'!$A$91</f>
        <v>0</v>
      </c>
      <c r="B91" s="36">
        <f>'PS Enrollment'!$B$91</f>
        <v>0</v>
      </c>
      <c r="C91" s="36">
        <f>'PS Enrollment'!$C$91</f>
        <v>0</v>
      </c>
      <c r="D91" s="8" t="str">
        <f>IFERROR('PS Enrollment'!$D$91/'PS Enrollment'!$D$108, "")</f>
        <v/>
      </c>
      <c r="E91" s="10">
        <f>'PS Enrollment'!D$91</f>
        <v>0</v>
      </c>
      <c r="F91" s="8" t="str">
        <f>IFERROR(('PS Enrollment'!$Y$91-'Comparison Population'!$E91), "")</f>
        <v/>
      </c>
      <c r="G91" s="8" t="str">
        <f>IFERROR(('PS Enrollment'!$Z$91-'Comparison Population'!$E$7), "")</f>
        <v/>
      </c>
      <c r="H91" s="8" t="str">
        <f>IFERROR(('PS Enrollment'!$AA$91-'Comparison Population'!$E$8), "")</f>
        <v/>
      </c>
      <c r="I91" s="8" t="str">
        <f>IFERROR(('PS Enrollment'!$AB$91-'Comparison Population'!$E$10), "")</f>
        <v/>
      </c>
      <c r="J91" s="8" t="str">
        <f>IFERROR(('PS Enrollment'!$AC$91-'Comparison Population'!$E$11), "")</f>
        <v/>
      </c>
      <c r="K91" s="8" t="str">
        <f>IFERROR(('PS Enrollment'!$AD$91-'Comparison Population'!$E$12), "")</f>
        <v/>
      </c>
      <c r="L91" s="8" t="str">
        <f>IFERROR(('PS Enrollment'!$AE$91-'Comparison Population'!$E$13), "")</f>
        <v/>
      </c>
      <c r="M91" s="8" t="str">
        <f>IFERROR(('PS Enrollment'!$AF$91-'Comparison Population'!$E$14), "")</f>
        <v/>
      </c>
      <c r="N91" s="8" t="str">
        <f>IFERROR(('PS Enrollment'!$AG$91-'Comparison Population'!$E$15), "")</f>
        <v/>
      </c>
      <c r="O91" s="8" t="str">
        <f>IFERROR(('PS Enrollment'!$AH$91-'Comparison Population'!$E$16), "")</f>
        <v/>
      </c>
      <c r="P91" s="8" t="str">
        <f>IFERROR(('PS Enrollment'!$AI$91-'Comparison Population'!$E$17), "")</f>
        <v/>
      </c>
      <c r="Q91" s="8" t="str">
        <f>IFERROR(('PS Enrollment'!$AJ$91-'Comparison Population'!$E$19), "")</f>
        <v/>
      </c>
      <c r="R91" s="8" t="str">
        <f>IFERROR(('PS Enrollment'!$AK$91-'Comparison Population'!$E$20), "")</f>
        <v/>
      </c>
      <c r="S91" s="8" t="str">
        <f>IFERROR(('PS Enrollment'!$AL$91-'Comparison Population'!$E$21), "")</f>
        <v/>
      </c>
      <c r="T91" s="8" t="str">
        <f>IFERROR(('PS Enrollment'!$AM$91-'Comparison Population'!$E$22), "")</f>
        <v/>
      </c>
      <c r="U91" s="8" t="str">
        <f>IFERROR(('PS Enrollment'!$AN$91-'Comparison Population'!$E$23), "")</f>
        <v/>
      </c>
      <c r="V91" s="8" t="str">
        <f>IFERROR(('PS Enrollment'!$AO$91-'Comparison Population'!$E$24), "")</f>
        <v/>
      </c>
      <c r="W91" s="8" t="str">
        <f>IFERROR(('PS Enrollment'!$AP$91-'Comparison Population'!$E$25), "")</f>
        <v/>
      </c>
      <c r="X91" s="8" t="str">
        <f>IFERROR(('PS Enrollment'!$AQ$91-'Comparison Population'!$E$26), "")</f>
        <v/>
      </c>
      <c r="Y91" s="8" t="str">
        <f>IFERROR(('PS Enrollment'!$AR$91-'Comparison Population'!$E$27), "")</f>
        <v/>
      </c>
    </row>
    <row r="92" spans="1:25" x14ac:dyDescent="0.25">
      <c r="A92" s="36">
        <f>'PS Enrollment'!$A$92</f>
        <v>0</v>
      </c>
      <c r="B92" s="36">
        <f>'PS Enrollment'!$B$92</f>
        <v>0</v>
      </c>
      <c r="C92" s="36">
        <f>'PS Enrollment'!$C$92</f>
        <v>0</v>
      </c>
      <c r="D92" s="8" t="str">
        <f>IFERROR('PS Enrollment'!$D$92/'PS Enrollment'!$D$108, "")</f>
        <v/>
      </c>
      <c r="E92" s="10">
        <f>'PS Enrollment'!D$92</f>
        <v>0</v>
      </c>
      <c r="F92" s="8" t="str">
        <f>IFERROR(('PS Enrollment'!$Y$92-'Comparison Population'!$E92), "")</f>
        <v/>
      </c>
      <c r="G92" s="8" t="str">
        <f>IFERROR(('PS Enrollment'!$Z$92-'Comparison Population'!$E$7), "")</f>
        <v/>
      </c>
      <c r="H92" s="8" t="str">
        <f>IFERROR(('PS Enrollment'!$AA$92-'Comparison Population'!$E$8), "")</f>
        <v/>
      </c>
      <c r="I92" s="8" t="str">
        <f>IFERROR(('PS Enrollment'!$AB$92-'Comparison Population'!$E$10), "")</f>
        <v/>
      </c>
      <c r="J92" s="8" t="str">
        <f>IFERROR(('PS Enrollment'!$AC$92-'Comparison Population'!$E$11), "")</f>
        <v/>
      </c>
      <c r="K92" s="8" t="str">
        <f>IFERROR(('PS Enrollment'!$AD$92-'Comparison Population'!$E$12), "")</f>
        <v/>
      </c>
      <c r="L92" s="8" t="str">
        <f>IFERROR(('PS Enrollment'!$AE$92-'Comparison Population'!$E$13), "")</f>
        <v/>
      </c>
      <c r="M92" s="8" t="str">
        <f>IFERROR(('PS Enrollment'!$AF$92-'Comparison Population'!$E$14), "")</f>
        <v/>
      </c>
      <c r="N92" s="8" t="str">
        <f>IFERROR(('PS Enrollment'!$AG$92-'Comparison Population'!$E$15), "")</f>
        <v/>
      </c>
      <c r="O92" s="8" t="str">
        <f>IFERROR(('PS Enrollment'!$AH$92-'Comparison Population'!$E$16), "")</f>
        <v/>
      </c>
      <c r="P92" s="8" t="str">
        <f>IFERROR(('PS Enrollment'!$AI$92-'Comparison Population'!$E$17), "")</f>
        <v/>
      </c>
      <c r="Q92" s="8" t="str">
        <f>IFERROR(('PS Enrollment'!$AJ$92-'Comparison Population'!$E$19), "")</f>
        <v/>
      </c>
      <c r="R92" s="8" t="str">
        <f>IFERROR(('PS Enrollment'!$AK$92-'Comparison Population'!$E$20), "")</f>
        <v/>
      </c>
      <c r="S92" s="8" t="str">
        <f>IFERROR(('PS Enrollment'!$AL$92-'Comparison Population'!$E$21), "")</f>
        <v/>
      </c>
      <c r="T92" s="8" t="str">
        <f>IFERROR(('PS Enrollment'!$AM$92-'Comparison Population'!$E$22), "")</f>
        <v/>
      </c>
      <c r="U92" s="8" t="str">
        <f>IFERROR(('PS Enrollment'!$AN$92-'Comparison Population'!$E$23), "")</f>
        <v/>
      </c>
      <c r="V92" s="8" t="str">
        <f>IFERROR(('PS Enrollment'!$AO$92-'Comparison Population'!$E$24), "")</f>
        <v/>
      </c>
      <c r="W92" s="8" t="str">
        <f>IFERROR(('PS Enrollment'!$AP$92-'Comparison Population'!$E$25), "")</f>
        <v/>
      </c>
      <c r="X92" s="8" t="str">
        <f>IFERROR(('PS Enrollment'!$AQ$92-'Comparison Population'!$E$26), "")</f>
        <v/>
      </c>
      <c r="Y92" s="8" t="str">
        <f>IFERROR(('PS Enrollment'!$AR$92-'Comparison Population'!$E$27), "")</f>
        <v/>
      </c>
    </row>
    <row r="93" spans="1:25" x14ac:dyDescent="0.25">
      <c r="A93" s="36">
        <f>'PS Enrollment'!$A$93</f>
        <v>0</v>
      </c>
      <c r="B93" s="36">
        <f>'PS Enrollment'!$B$93</f>
        <v>0</v>
      </c>
      <c r="C93" s="36">
        <f>'PS Enrollment'!$C$93</f>
        <v>0</v>
      </c>
      <c r="D93" s="8" t="str">
        <f>IFERROR('PS Enrollment'!$D$93/'PS Enrollment'!$D$108, "")</f>
        <v/>
      </c>
      <c r="E93" s="10">
        <f>'PS Enrollment'!D$93</f>
        <v>0</v>
      </c>
      <c r="F93" s="8" t="str">
        <f>IFERROR(('PS Enrollment'!$Y$93-'Comparison Population'!$E93), "")</f>
        <v/>
      </c>
      <c r="G93" s="8" t="str">
        <f>IFERROR(('PS Enrollment'!$Z$93-'Comparison Population'!$E$7), "")</f>
        <v/>
      </c>
      <c r="H93" s="8" t="str">
        <f>IFERROR(('PS Enrollment'!$AA$93-'Comparison Population'!$E$8), "")</f>
        <v/>
      </c>
      <c r="I93" s="8" t="str">
        <f>IFERROR(('PS Enrollment'!$AB$93-'Comparison Population'!$E$10), "")</f>
        <v/>
      </c>
      <c r="J93" s="8" t="str">
        <f>IFERROR(('PS Enrollment'!$AC$93-'Comparison Population'!$E$11), "")</f>
        <v/>
      </c>
      <c r="K93" s="8" t="str">
        <f>IFERROR(('PS Enrollment'!$AD$93-'Comparison Population'!$E$12), "")</f>
        <v/>
      </c>
      <c r="L93" s="8" t="str">
        <f>IFERROR(('PS Enrollment'!$AE$93-'Comparison Population'!$E$13), "")</f>
        <v/>
      </c>
      <c r="M93" s="8" t="str">
        <f>IFERROR(('PS Enrollment'!$AF$93-'Comparison Population'!$E$14), "")</f>
        <v/>
      </c>
      <c r="N93" s="8" t="str">
        <f>IFERROR(('PS Enrollment'!$AG$93-'Comparison Population'!$E$15), "")</f>
        <v/>
      </c>
      <c r="O93" s="8" t="str">
        <f>IFERROR(('PS Enrollment'!$AH$93-'Comparison Population'!$E$16), "")</f>
        <v/>
      </c>
      <c r="P93" s="8" t="str">
        <f>IFERROR(('PS Enrollment'!$AI$93-'Comparison Population'!$E$17), "")</f>
        <v/>
      </c>
      <c r="Q93" s="8" t="str">
        <f>IFERROR(('PS Enrollment'!$AJ$93-'Comparison Population'!$E$19), "")</f>
        <v/>
      </c>
      <c r="R93" s="8" t="str">
        <f>IFERROR(('PS Enrollment'!$AK$93-'Comparison Population'!$E$20), "")</f>
        <v/>
      </c>
      <c r="S93" s="8" t="str">
        <f>IFERROR(('PS Enrollment'!$AL$93-'Comparison Population'!$E$21), "")</f>
        <v/>
      </c>
      <c r="T93" s="8" t="str">
        <f>IFERROR(('PS Enrollment'!$AM$93-'Comparison Population'!$E$22), "")</f>
        <v/>
      </c>
      <c r="U93" s="8" t="str">
        <f>IFERROR(('PS Enrollment'!$AN$93-'Comparison Population'!$E$23), "")</f>
        <v/>
      </c>
      <c r="V93" s="8" t="str">
        <f>IFERROR(('PS Enrollment'!$AO$93-'Comparison Population'!$E$24), "")</f>
        <v/>
      </c>
      <c r="W93" s="8" t="str">
        <f>IFERROR(('PS Enrollment'!$AP$93-'Comparison Population'!$E$25), "")</f>
        <v/>
      </c>
      <c r="X93" s="8" t="str">
        <f>IFERROR(('PS Enrollment'!$AQ$93-'Comparison Population'!$E$26), "")</f>
        <v/>
      </c>
      <c r="Y93" s="8" t="str">
        <f>IFERROR(('PS Enrollment'!$AR$93-'Comparison Population'!$E$27), "")</f>
        <v/>
      </c>
    </row>
    <row r="94" spans="1:25" x14ac:dyDescent="0.25">
      <c r="A94" s="36">
        <f>'PS Enrollment'!$A$94</f>
        <v>0</v>
      </c>
      <c r="B94" s="36">
        <f>'PS Enrollment'!$B$94</f>
        <v>0</v>
      </c>
      <c r="C94" s="36">
        <f>'PS Enrollment'!$C$94</f>
        <v>0</v>
      </c>
      <c r="D94" s="8" t="str">
        <f>IFERROR('PS Enrollment'!$D$94/'PS Enrollment'!$D$108, "")</f>
        <v/>
      </c>
      <c r="E94" s="10">
        <f>'PS Enrollment'!D$94</f>
        <v>0</v>
      </c>
      <c r="F94" s="8" t="str">
        <f>IFERROR(('PS Enrollment'!$Y$94-'Comparison Population'!$E94), "")</f>
        <v/>
      </c>
      <c r="G94" s="8" t="str">
        <f>IFERROR(('PS Enrollment'!$Z$94-'Comparison Population'!$E$7), "")</f>
        <v/>
      </c>
      <c r="H94" s="8" t="str">
        <f>IFERROR(('PS Enrollment'!$AA$94-'Comparison Population'!$E$8), "")</f>
        <v/>
      </c>
      <c r="I94" s="8" t="str">
        <f>IFERROR(('PS Enrollment'!$AB$94-'Comparison Population'!$E$10), "")</f>
        <v/>
      </c>
      <c r="J94" s="8" t="str">
        <f>IFERROR(('PS Enrollment'!$AC$94-'Comparison Population'!$E$11), "")</f>
        <v/>
      </c>
      <c r="K94" s="8" t="str">
        <f>IFERROR(('PS Enrollment'!$AD$94-'Comparison Population'!$E$12), "")</f>
        <v/>
      </c>
      <c r="L94" s="8" t="str">
        <f>IFERROR(('PS Enrollment'!$AE$94-'Comparison Population'!$E$13), "")</f>
        <v/>
      </c>
      <c r="M94" s="8" t="str">
        <f>IFERROR(('PS Enrollment'!$AF$94-'Comparison Population'!$E$14), "")</f>
        <v/>
      </c>
      <c r="N94" s="8" t="str">
        <f>IFERROR(('PS Enrollment'!$AG$94-'Comparison Population'!$E$15), "")</f>
        <v/>
      </c>
      <c r="O94" s="8" t="str">
        <f>IFERROR(('PS Enrollment'!$AH$94-'Comparison Population'!$E$16), "")</f>
        <v/>
      </c>
      <c r="P94" s="8" t="str">
        <f>IFERROR(('PS Enrollment'!$AI$94-'Comparison Population'!$E$17), "")</f>
        <v/>
      </c>
      <c r="Q94" s="8" t="str">
        <f>IFERROR(('PS Enrollment'!$AJ$94-'Comparison Population'!$E$19), "")</f>
        <v/>
      </c>
      <c r="R94" s="8" t="str">
        <f>IFERROR(('PS Enrollment'!$AK$94-'Comparison Population'!$E$20), "")</f>
        <v/>
      </c>
      <c r="S94" s="8" t="str">
        <f>IFERROR(('PS Enrollment'!$AL$94-'Comparison Population'!$E$21), "")</f>
        <v/>
      </c>
      <c r="T94" s="8" t="str">
        <f>IFERROR(('PS Enrollment'!$AM$94-'Comparison Population'!$E$22), "")</f>
        <v/>
      </c>
      <c r="U94" s="8" t="str">
        <f>IFERROR(('PS Enrollment'!$AN$94-'Comparison Population'!$E$23), "")</f>
        <v/>
      </c>
      <c r="V94" s="8" t="str">
        <f>IFERROR(('PS Enrollment'!$AO$94-'Comparison Population'!$E$24), "")</f>
        <v/>
      </c>
      <c r="W94" s="8" t="str">
        <f>IFERROR(('PS Enrollment'!$AP$94-'Comparison Population'!$E$25), "")</f>
        <v/>
      </c>
      <c r="X94" s="8" t="str">
        <f>IFERROR(('PS Enrollment'!$AQ$94-'Comparison Population'!$E$26), "")</f>
        <v/>
      </c>
      <c r="Y94" s="8" t="str">
        <f>IFERROR(('PS Enrollment'!$AR$94-'Comparison Population'!$E$27), "")</f>
        <v/>
      </c>
    </row>
    <row r="95" spans="1:25" x14ac:dyDescent="0.25">
      <c r="A95" s="36">
        <f>'PS Enrollment'!$A$95</f>
        <v>0</v>
      </c>
      <c r="B95" s="36">
        <f>'PS Enrollment'!$B$95</f>
        <v>0</v>
      </c>
      <c r="C95" s="36">
        <f>'PS Enrollment'!$C$95</f>
        <v>0</v>
      </c>
      <c r="D95" s="8" t="str">
        <f>IFERROR('PS Enrollment'!$D$95/'PS Enrollment'!$D$108, "")</f>
        <v/>
      </c>
      <c r="E95" s="10">
        <f>'PS Enrollment'!D$95</f>
        <v>0</v>
      </c>
      <c r="F95" s="8" t="str">
        <f>IFERROR(('PS Enrollment'!$Y$95-'Comparison Population'!$E95), "")</f>
        <v/>
      </c>
      <c r="G95" s="8" t="str">
        <f>IFERROR(('PS Enrollment'!$Z$95-'Comparison Population'!$E$7), "")</f>
        <v/>
      </c>
      <c r="H95" s="8" t="str">
        <f>IFERROR(('PS Enrollment'!$AA$95-'Comparison Population'!$E$8), "")</f>
        <v/>
      </c>
      <c r="I95" s="8" t="str">
        <f>IFERROR(('PS Enrollment'!$AB$95-'Comparison Population'!$E$10), "")</f>
        <v/>
      </c>
      <c r="J95" s="8" t="str">
        <f>IFERROR(('PS Enrollment'!$AC$95-'Comparison Population'!$E$11), "")</f>
        <v/>
      </c>
      <c r="K95" s="8" t="str">
        <f>IFERROR(('PS Enrollment'!$AD$95-'Comparison Population'!$E$12), "")</f>
        <v/>
      </c>
      <c r="L95" s="8" t="str">
        <f>IFERROR(('PS Enrollment'!$AE$95-'Comparison Population'!$E$13), "")</f>
        <v/>
      </c>
      <c r="M95" s="8" t="str">
        <f>IFERROR(('PS Enrollment'!$AF$95-'Comparison Population'!$E$14), "")</f>
        <v/>
      </c>
      <c r="N95" s="8" t="str">
        <f>IFERROR(('PS Enrollment'!$AG$95-'Comparison Population'!$E$15), "")</f>
        <v/>
      </c>
      <c r="O95" s="8" t="str">
        <f>IFERROR(('PS Enrollment'!$AH$95-'Comparison Population'!$E$16), "")</f>
        <v/>
      </c>
      <c r="P95" s="8" t="str">
        <f>IFERROR(('PS Enrollment'!$AI$95-'Comparison Population'!$E$17), "")</f>
        <v/>
      </c>
      <c r="Q95" s="8" t="str">
        <f>IFERROR(('PS Enrollment'!$AJ$95-'Comparison Population'!$E$19), "")</f>
        <v/>
      </c>
      <c r="R95" s="8" t="str">
        <f>IFERROR(('PS Enrollment'!$AK$95-'Comparison Population'!$E$20), "")</f>
        <v/>
      </c>
      <c r="S95" s="8" t="str">
        <f>IFERROR(('PS Enrollment'!$AL$95-'Comparison Population'!$E$21), "")</f>
        <v/>
      </c>
      <c r="T95" s="8" t="str">
        <f>IFERROR(('PS Enrollment'!$AM$95-'Comparison Population'!$E$22), "")</f>
        <v/>
      </c>
      <c r="U95" s="8" t="str">
        <f>IFERROR(('PS Enrollment'!$AN$95-'Comparison Population'!$E$23), "")</f>
        <v/>
      </c>
      <c r="V95" s="8" t="str">
        <f>IFERROR(('PS Enrollment'!$AO$95-'Comparison Population'!$E$24), "")</f>
        <v/>
      </c>
      <c r="W95" s="8" t="str">
        <f>IFERROR(('PS Enrollment'!$AP$95-'Comparison Population'!$E$25), "")</f>
        <v/>
      </c>
      <c r="X95" s="8" t="str">
        <f>IFERROR(('PS Enrollment'!$AQ$95-'Comparison Population'!$E$26), "")</f>
        <v/>
      </c>
      <c r="Y95" s="8" t="str">
        <f>IFERROR(('PS Enrollment'!$AR$95-'Comparison Population'!$E$27), "")</f>
        <v/>
      </c>
    </row>
    <row r="96" spans="1:25" x14ac:dyDescent="0.25">
      <c r="A96" s="36">
        <f>'PS Enrollment'!$A$96</f>
        <v>0</v>
      </c>
      <c r="B96" s="36">
        <f>'PS Enrollment'!$B$96</f>
        <v>0</v>
      </c>
      <c r="C96" s="36">
        <f>'PS Enrollment'!$C$96</f>
        <v>0</v>
      </c>
      <c r="D96" s="8" t="str">
        <f>IFERROR('PS Enrollment'!$D$96/'PS Enrollment'!$D$108, "")</f>
        <v/>
      </c>
      <c r="E96" s="10">
        <f>'PS Enrollment'!D$96</f>
        <v>0</v>
      </c>
      <c r="F96" s="8" t="str">
        <f>IFERROR(('PS Enrollment'!$Y$96-'Comparison Population'!$E96), "")</f>
        <v/>
      </c>
      <c r="G96" s="8" t="str">
        <f>IFERROR(('PS Enrollment'!$Z$96-'Comparison Population'!$E$7), "")</f>
        <v/>
      </c>
      <c r="H96" s="8" t="str">
        <f>IFERROR(('PS Enrollment'!$AA$96-'Comparison Population'!$E$8), "")</f>
        <v/>
      </c>
      <c r="I96" s="8" t="str">
        <f>IFERROR(('PS Enrollment'!$AB$96-'Comparison Population'!$E$10), "")</f>
        <v/>
      </c>
      <c r="J96" s="8" t="str">
        <f>IFERROR(('PS Enrollment'!$AC$96-'Comparison Population'!$E$11), "")</f>
        <v/>
      </c>
      <c r="K96" s="8" t="str">
        <f>IFERROR(('PS Enrollment'!$AD$96-'Comparison Population'!$E$12), "")</f>
        <v/>
      </c>
      <c r="L96" s="8" t="str">
        <f>IFERROR(('PS Enrollment'!$AE$96-'Comparison Population'!$E$13), "")</f>
        <v/>
      </c>
      <c r="M96" s="8" t="str">
        <f>IFERROR(('PS Enrollment'!$AF$96-'Comparison Population'!$E$14), "")</f>
        <v/>
      </c>
      <c r="N96" s="8" t="str">
        <f>IFERROR(('PS Enrollment'!$AG$96-'Comparison Population'!$E$15), "")</f>
        <v/>
      </c>
      <c r="O96" s="8" t="str">
        <f>IFERROR(('PS Enrollment'!$AH$96-'Comparison Population'!$E$16), "")</f>
        <v/>
      </c>
      <c r="P96" s="8" t="str">
        <f>IFERROR(('PS Enrollment'!$AI$96-'Comparison Population'!$E$17), "")</f>
        <v/>
      </c>
      <c r="Q96" s="8" t="str">
        <f>IFERROR(('PS Enrollment'!$AJ$96-'Comparison Population'!$E$19), "")</f>
        <v/>
      </c>
      <c r="R96" s="8" t="str">
        <f>IFERROR(('PS Enrollment'!$AK$96-'Comparison Population'!$E$20), "")</f>
        <v/>
      </c>
      <c r="S96" s="8" t="str">
        <f>IFERROR(('PS Enrollment'!$AL$96-'Comparison Population'!$E$21), "")</f>
        <v/>
      </c>
      <c r="T96" s="8" t="str">
        <f>IFERROR(('PS Enrollment'!$AM$96-'Comparison Population'!$E$22), "")</f>
        <v/>
      </c>
      <c r="U96" s="8" t="str">
        <f>IFERROR(('PS Enrollment'!$AN$96-'Comparison Population'!$E$23), "")</f>
        <v/>
      </c>
      <c r="V96" s="8" t="str">
        <f>IFERROR(('PS Enrollment'!$AO$96-'Comparison Population'!$E$24), "")</f>
        <v/>
      </c>
      <c r="W96" s="8" t="str">
        <f>IFERROR(('PS Enrollment'!$AP$96-'Comparison Population'!$E$25), "")</f>
        <v/>
      </c>
      <c r="X96" s="8" t="str">
        <f>IFERROR(('PS Enrollment'!$AQ$96-'Comparison Population'!$E$26), "")</f>
        <v/>
      </c>
      <c r="Y96" s="8" t="str">
        <f>IFERROR(('PS Enrollment'!$AR$96-'Comparison Population'!$E$27), "")</f>
        <v/>
      </c>
    </row>
    <row r="97" spans="1:25" x14ac:dyDescent="0.25">
      <c r="A97" s="36">
        <f>'PS Enrollment'!$A$97</f>
        <v>0</v>
      </c>
      <c r="B97" s="36">
        <f>'PS Enrollment'!$B$97</f>
        <v>0</v>
      </c>
      <c r="C97" s="36">
        <f>'PS Enrollment'!$C$97</f>
        <v>0</v>
      </c>
      <c r="D97" s="8" t="str">
        <f>IFERROR('PS Enrollment'!$D$97/'PS Enrollment'!$D$108, "")</f>
        <v/>
      </c>
      <c r="E97" s="10">
        <f>'PS Enrollment'!D$97</f>
        <v>0</v>
      </c>
      <c r="F97" s="8" t="str">
        <f>IFERROR(('PS Enrollment'!$Y$97-'Comparison Population'!$E97), "")</f>
        <v/>
      </c>
      <c r="G97" s="8" t="str">
        <f>IFERROR(('PS Enrollment'!$Z$97-'Comparison Population'!$E$7), "")</f>
        <v/>
      </c>
      <c r="H97" s="8" t="str">
        <f>IFERROR(('PS Enrollment'!$AA$97-'Comparison Population'!$E$8), "")</f>
        <v/>
      </c>
      <c r="I97" s="8" t="str">
        <f>IFERROR(('PS Enrollment'!$AB$97-'Comparison Population'!$E$10), "")</f>
        <v/>
      </c>
      <c r="J97" s="8" t="str">
        <f>IFERROR(('PS Enrollment'!$AC$97-'Comparison Population'!$E$11), "")</f>
        <v/>
      </c>
      <c r="K97" s="8" t="str">
        <f>IFERROR(('PS Enrollment'!$AD$97-'Comparison Population'!$E$12), "")</f>
        <v/>
      </c>
      <c r="L97" s="8" t="str">
        <f>IFERROR(('PS Enrollment'!$AE$97-'Comparison Population'!$E$13), "")</f>
        <v/>
      </c>
      <c r="M97" s="8" t="str">
        <f>IFERROR(('PS Enrollment'!$AF$97-'Comparison Population'!$E$14), "")</f>
        <v/>
      </c>
      <c r="N97" s="8" t="str">
        <f>IFERROR(('PS Enrollment'!$AG$97-'Comparison Population'!$E$15), "")</f>
        <v/>
      </c>
      <c r="O97" s="8" t="str">
        <f>IFERROR(('PS Enrollment'!$AH$97-'Comparison Population'!$E$16), "")</f>
        <v/>
      </c>
      <c r="P97" s="8" t="str">
        <f>IFERROR(('PS Enrollment'!$AI$97-'Comparison Population'!$E$17), "")</f>
        <v/>
      </c>
      <c r="Q97" s="8" t="str">
        <f>IFERROR(('PS Enrollment'!$AJ$97-'Comparison Population'!$E$19), "")</f>
        <v/>
      </c>
      <c r="R97" s="8" t="str">
        <f>IFERROR(('PS Enrollment'!$AK$97-'Comparison Population'!$E$20), "")</f>
        <v/>
      </c>
      <c r="S97" s="8" t="str">
        <f>IFERROR(('PS Enrollment'!$AL$97-'Comparison Population'!$E$21), "")</f>
        <v/>
      </c>
      <c r="T97" s="8" t="str">
        <f>IFERROR(('PS Enrollment'!$AM$97-'Comparison Population'!$E$22), "")</f>
        <v/>
      </c>
      <c r="U97" s="8" t="str">
        <f>IFERROR(('PS Enrollment'!$AN$97-'Comparison Population'!$E$23), "")</f>
        <v/>
      </c>
      <c r="V97" s="8" t="str">
        <f>IFERROR(('PS Enrollment'!$AO$97-'Comparison Population'!$E$24), "")</f>
        <v/>
      </c>
      <c r="W97" s="8" t="str">
        <f>IFERROR(('PS Enrollment'!$AP$97-'Comparison Population'!$E$25), "")</f>
        <v/>
      </c>
      <c r="X97" s="8" t="str">
        <f>IFERROR(('PS Enrollment'!$AQ$97-'Comparison Population'!$E$26), "")</f>
        <v/>
      </c>
      <c r="Y97" s="8" t="str">
        <f>IFERROR(('PS Enrollment'!$AR$97-'Comparison Population'!$E$27), "")</f>
        <v/>
      </c>
    </row>
    <row r="98" spans="1:25" x14ac:dyDescent="0.25">
      <c r="A98" s="36">
        <f>'PS Enrollment'!$A$98</f>
        <v>0</v>
      </c>
      <c r="B98" s="36">
        <f>'PS Enrollment'!$B$98</f>
        <v>0</v>
      </c>
      <c r="C98" s="36">
        <f>'PS Enrollment'!$C$98</f>
        <v>0</v>
      </c>
      <c r="D98" s="8" t="str">
        <f>IFERROR('PS Enrollment'!$D$98/'PS Enrollment'!$D$108, "")</f>
        <v/>
      </c>
      <c r="E98" s="10">
        <f>'PS Enrollment'!D$98</f>
        <v>0</v>
      </c>
      <c r="F98" s="8" t="str">
        <f>IFERROR(('PS Enrollment'!$Y$98-'Comparison Population'!$E98), "")</f>
        <v/>
      </c>
      <c r="G98" s="8" t="str">
        <f>IFERROR(('PS Enrollment'!$Z$98-'Comparison Population'!$E$7), "")</f>
        <v/>
      </c>
      <c r="H98" s="8" t="str">
        <f>IFERROR(('PS Enrollment'!$AA$98-'Comparison Population'!$E$8), "")</f>
        <v/>
      </c>
      <c r="I98" s="8" t="str">
        <f>IFERROR(('PS Enrollment'!$AB$98-'Comparison Population'!$E$10), "")</f>
        <v/>
      </c>
      <c r="J98" s="8" t="str">
        <f>IFERROR(('PS Enrollment'!$AC$98-'Comparison Population'!$E$11), "")</f>
        <v/>
      </c>
      <c r="K98" s="8" t="str">
        <f>IFERROR(('PS Enrollment'!$AD$98-'Comparison Population'!$E$12), "")</f>
        <v/>
      </c>
      <c r="L98" s="8" t="str">
        <f>IFERROR(('PS Enrollment'!$AE$98-'Comparison Population'!$E$13), "")</f>
        <v/>
      </c>
      <c r="M98" s="8" t="str">
        <f>IFERROR(('PS Enrollment'!$AF$98-'Comparison Population'!$E$14), "")</f>
        <v/>
      </c>
      <c r="N98" s="8" t="str">
        <f>IFERROR(('PS Enrollment'!$AG$98-'Comparison Population'!$E$15), "")</f>
        <v/>
      </c>
      <c r="O98" s="8" t="str">
        <f>IFERROR(('PS Enrollment'!$AH$98-'Comparison Population'!$E$16), "")</f>
        <v/>
      </c>
      <c r="P98" s="8" t="str">
        <f>IFERROR(('PS Enrollment'!$AI$98-'Comparison Population'!$E$17), "")</f>
        <v/>
      </c>
      <c r="Q98" s="8" t="str">
        <f>IFERROR(('PS Enrollment'!$AJ$98-'Comparison Population'!$E$19), "")</f>
        <v/>
      </c>
      <c r="R98" s="8" t="str">
        <f>IFERROR(('PS Enrollment'!$AK$98-'Comparison Population'!$E$20), "")</f>
        <v/>
      </c>
      <c r="S98" s="8" t="str">
        <f>IFERROR(('PS Enrollment'!$AL$98-'Comparison Population'!$E$21), "")</f>
        <v/>
      </c>
      <c r="T98" s="8" t="str">
        <f>IFERROR(('PS Enrollment'!$AM$98-'Comparison Population'!$E$22), "")</f>
        <v/>
      </c>
      <c r="U98" s="8" t="str">
        <f>IFERROR(('PS Enrollment'!$AN$98-'Comparison Population'!$E$23), "")</f>
        <v/>
      </c>
      <c r="V98" s="8" t="str">
        <f>IFERROR(('PS Enrollment'!$AO$98-'Comparison Population'!$E$24), "")</f>
        <v/>
      </c>
      <c r="W98" s="8" t="str">
        <f>IFERROR(('PS Enrollment'!$AP$98-'Comparison Population'!$E$25), "")</f>
        <v/>
      </c>
      <c r="X98" s="8" t="str">
        <f>IFERROR(('PS Enrollment'!$AQ$98-'Comparison Population'!$E$26), "")</f>
        <v/>
      </c>
      <c r="Y98" s="8" t="str">
        <f>IFERROR(('PS Enrollment'!$AR$98-'Comparison Population'!$E$27), "")</f>
        <v/>
      </c>
    </row>
    <row r="99" spans="1:25" x14ac:dyDescent="0.25">
      <c r="A99" s="36">
        <f>'PS Enrollment'!$A$99</f>
        <v>0</v>
      </c>
      <c r="B99" s="36">
        <f>'PS Enrollment'!$B$99</f>
        <v>0</v>
      </c>
      <c r="C99" s="36">
        <f>'PS Enrollment'!$C$99</f>
        <v>0</v>
      </c>
      <c r="D99" s="8" t="str">
        <f>IFERROR('PS Enrollment'!$D$99/'PS Enrollment'!$D$108, "")</f>
        <v/>
      </c>
      <c r="E99" s="10">
        <f>'PS Enrollment'!D$99</f>
        <v>0</v>
      </c>
      <c r="F99" s="8" t="str">
        <f>IFERROR(('PS Enrollment'!$Y$99-'Comparison Population'!$E99), "")</f>
        <v/>
      </c>
      <c r="G99" s="8" t="str">
        <f>IFERROR(('PS Enrollment'!$Z$99-'Comparison Population'!$E$7), "")</f>
        <v/>
      </c>
      <c r="H99" s="8" t="str">
        <f>IFERROR(('PS Enrollment'!$AA$99-'Comparison Population'!$E$8), "")</f>
        <v/>
      </c>
      <c r="I99" s="8" t="str">
        <f>IFERROR(('PS Enrollment'!$AB$99-'Comparison Population'!$E$10), "")</f>
        <v/>
      </c>
      <c r="J99" s="8" t="str">
        <f>IFERROR(('PS Enrollment'!$AC$99-'Comparison Population'!$E$11), "")</f>
        <v/>
      </c>
      <c r="K99" s="8" t="str">
        <f>IFERROR(('PS Enrollment'!$AD$99-'Comparison Population'!$E$12), "")</f>
        <v/>
      </c>
      <c r="L99" s="8" t="str">
        <f>IFERROR(('PS Enrollment'!$AE$99-'Comparison Population'!$E$13), "")</f>
        <v/>
      </c>
      <c r="M99" s="8" t="str">
        <f>IFERROR(('PS Enrollment'!$AF$99-'Comparison Population'!$E$14), "")</f>
        <v/>
      </c>
      <c r="N99" s="8" t="str">
        <f>IFERROR(('PS Enrollment'!$AG$99-'Comparison Population'!$E$15), "")</f>
        <v/>
      </c>
      <c r="O99" s="8" t="str">
        <f>IFERROR(('PS Enrollment'!$AH$99-'Comparison Population'!$E$16), "")</f>
        <v/>
      </c>
      <c r="P99" s="8" t="str">
        <f>IFERROR(('PS Enrollment'!$AI$99-'Comparison Population'!$E$17), "")</f>
        <v/>
      </c>
      <c r="Q99" s="8" t="str">
        <f>IFERROR(('PS Enrollment'!$AJ$99-'Comparison Population'!$E$19), "")</f>
        <v/>
      </c>
      <c r="R99" s="8" t="str">
        <f>IFERROR(('PS Enrollment'!$AK$99-'Comparison Population'!$E$20), "")</f>
        <v/>
      </c>
      <c r="S99" s="8" t="str">
        <f>IFERROR(('PS Enrollment'!$AL$99-'Comparison Population'!$E$21), "")</f>
        <v/>
      </c>
      <c r="T99" s="8" t="str">
        <f>IFERROR(('PS Enrollment'!$AM$99-'Comparison Population'!$E$22), "")</f>
        <v/>
      </c>
      <c r="U99" s="8" t="str">
        <f>IFERROR(('PS Enrollment'!$AN$99-'Comparison Population'!$E$23), "")</f>
        <v/>
      </c>
      <c r="V99" s="8" t="str">
        <f>IFERROR(('PS Enrollment'!$AO$99-'Comparison Population'!$E$24), "")</f>
        <v/>
      </c>
      <c r="W99" s="8" t="str">
        <f>IFERROR(('PS Enrollment'!$AP$99-'Comparison Population'!$E$25), "")</f>
        <v/>
      </c>
      <c r="X99" s="8" t="str">
        <f>IFERROR(('PS Enrollment'!$AQ$99-'Comparison Population'!$E$26), "")</f>
        <v/>
      </c>
      <c r="Y99" s="8" t="str">
        <f>IFERROR(('PS Enrollment'!$AR$99-'Comparison Population'!$E$27), "")</f>
        <v/>
      </c>
    </row>
    <row r="100" spans="1:25" x14ac:dyDescent="0.25">
      <c r="A100" s="36">
        <f>'PS Enrollment'!$A$100</f>
        <v>0</v>
      </c>
      <c r="B100" s="36">
        <f>'PS Enrollment'!$B$100</f>
        <v>0</v>
      </c>
      <c r="C100" s="36">
        <f>'PS Enrollment'!$C$100</f>
        <v>0</v>
      </c>
      <c r="D100" s="8" t="str">
        <f>IFERROR('PS Enrollment'!$D$100/'PS Enrollment'!$D$108, "")</f>
        <v/>
      </c>
      <c r="E100" s="10">
        <f>'PS Enrollment'!D$100</f>
        <v>0</v>
      </c>
      <c r="F100" s="8" t="str">
        <f>IFERROR(('PS Enrollment'!$Y$100-'Comparison Population'!$E100), "")</f>
        <v/>
      </c>
      <c r="G100" s="8" t="str">
        <f>IFERROR(('PS Enrollment'!$Z$100-'Comparison Population'!$E$7), "")</f>
        <v/>
      </c>
      <c r="H100" s="8" t="str">
        <f>IFERROR(('PS Enrollment'!$AA$100-'Comparison Population'!$E$8), "")</f>
        <v/>
      </c>
      <c r="I100" s="8" t="str">
        <f>IFERROR(('PS Enrollment'!$AB$100-'Comparison Population'!$E$10), "")</f>
        <v/>
      </c>
      <c r="J100" s="8" t="str">
        <f>IFERROR(('PS Enrollment'!$AC$100-'Comparison Population'!$E$11), "")</f>
        <v/>
      </c>
      <c r="K100" s="8" t="str">
        <f>IFERROR(('PS Enrollment'!$AD$100-'Comparison Population'!$E$12), "")</f>
        <v/>
      </c>
      <c r="L100" s="8" t="str">
        <f>IFERROR(('PS Enrollment'!$AE$100-'Comparison Population'!$E$13), "")</f>
        <v/>
      </c>
      <c r="M100" s="8" t="str">
        <f>IFERROR(('PS Enrollment'!$AF$100-'Comparison Population'!$E$14), "")</f>
        <v/>
      </c>
      <c r="N100" s="8" t="str">
        <f>IFERROR(('PS Enrollment'!$AG$100-'Comparison Population'!$E$15), "")</f>
        <v/>
      </c>
      <c r="O100" s="8" t="str">
        <f>IFERROR(('PS Enrollment'!$AH$100-'Comparison Population'!$E$16), "")</f>
        <v/>
      </c>
      <c r="P100" s="8" t="str">
        <f>IFERROR(('PS Enrollment'!$AI$100-'Comparison Population'!$E$17), "")</f>
        <v/>
      </c>
      <c r="Q100" s="8" t="str">
        <f>IFERROR(('PS Enrollment'!$AJ$100-'Comparison Population'!$E$19), "")</f>
        <v/>
      </c>
      <c r="R100" s="8" t="str">
        <f>IFERROR(('PS Enrollment'!$AK$100-'Comparison Population'!$E$20), "")</f>
        <v/>
      </c>
      <c r="S100" s="8" t="str">
        <f>IFERROR(('PS Enrollment'!$AL$100-'Comparison Population'!$E$21), "")</f>
        <v/>
      </c>
      <c r="T100" s="8" t="str">
        <f>IFERROR(('PS Enrollment'!$AM$100-'Comparison Population'!$E$22), "")</f>
        <v/>
      </c>
      <c r="U100" s="8" t="str">
        <f>IFERROR(('PS Enrollment'!$AN$100-'Comparison Population'!$E$23), "")</f>
        <v/>
      </c>
      <c r="V100" s="8" t="str">
        <f>IFERROR(('PS Enrollment'!$AO$100-'Comparison Population'!$E$24), "")</f>
        <v/>
      </c>
      <c r="W100" s="8" t="str">
        <f>IFERROR(('PS Enrollment'!$AP$100-'Comparison Population'!$E$25), "")</f>
        <v/>
      </c>
      <c r="X100" s="8" t="str">
        <f>IFERROR(('PS Enrollment'!$AQ$100-'Comparison Population'!$E$26), "")</f>
        <v/>
      </c>
      <c r="Y100" s="8" t="str">
        <f>IFERROR(('PS Enrollment'!$AR$100-'Comparison Population'!$E$27), "")</f>
        <v/>
      </c>
    </row>
    <row r="101" spans="1:25" x14ac:dyDescent="0.25">
      <c r="A101" s="36">
        <f>'PS Enrollment'!$A$101</f>
        <v>0</v>
      </c>
      <c r="B101" s="36">
        <f>'PS Enrollment'!$B$101</f>
        <v>0</v>
      </c>
      <c r="C101" s="36">
        <f>'PS Enrollment'!$C$101</f>
        <v>0</v>
      </c>
      <c r="D101" s="8" t="str">
        <f>IFERROR('PS Enrollment'!$D$101/'PS Enrollment'!$D$108, "")</f>
        <v/>
      </c>
      <c r="E101" s="10">
        <f>'PS Enrollment'!D$101</f>
        <v>0</v>
      </c>
      <c r="F101" s="8" t="str">
        <f>IFERROR(('PS Enrollment'!$Y$101-'Comparison Population'!$E101), "")</f>
        <v/>
      </c>
      <c r="G101" s="8" t="str">
        <f>IFERROR(('PS Enrollment'!$Z$101-'Comparison Population'!$E$7), "")</f>
        <v/>
      </c>
      <c r="H101" s="8" t="str">
        <f>IFERROR(('PS Enrollment'!$AA$101-'Comparison Population'!$E$8), "")</f>
        <v/>
      </c>
      <c r="I101" s="8" t="str">
        <f>IFERROR(('PS Enrollment'!$AB$101-'Comparison Population'!$E$10), "")</f>
        <v/>
      </c>
      <c r="J101" s="8" t="str">
        <f>IFERROR(('PS Enrollment'!$AC$101-'Comparison Population'!$E$11), "")</f>
        <v/>
      </c>
      <c r="K101" s="8" t="str">
        <f>IFERROR(('PS Enrollment'!$AD$101-'Comparison Population'!$E$12), "")</f>
        <v/>
      </c>
      <c r="L101" s="8" t="str">
        <f>IFERROR(('PS Enrollment'!$AE$101-'Comparison Population'!$E$13), "")</f>
        <v/>
      </c>
      <c r="M101" s="8" t="str">
        <f>IFERROR(('PS Enrollment'!$AF$101-'Comparison Population'!$E$14), "")</f>
        <v/>
      </c>
      <c r="N101" s="8" t="str">
        <f>IFERROR(('PS Enrollment'!$AG$101-'Comparison Population'!$E$15), "")</f>
        <v/>
      </c>
      <c r="O101" s="8" t="str">
        <f>IFERROR(('PS Enrollment'!$AH$101-'Comparison Population'!$E$16), "")</f>
        <v/>
      </c>
      <c r="P101" s="8" t="str">
        <f>IFERROR(('PS Enrollment'!$AI$101-'Comparison Population'!$E$17), "")</f>
        <v/>
      </c>
      <c r="Q101" s="8" t="str">
        <f>IFERROR(('PS Enrollment'!$AJ$101-'Comparison Population'!$E$19), "")</f>
        <v/>
      </c>
      <c r="R101" s="8" t="str">
        <f>IFERROR(('PS Enrollment'!$AK$101-'Comparison Population'!$E$20), "")</f>
        <v/>
      </c>
      <c r="S101" s="8" t="str">
        <f>IFERROR(('PS Enrollment'!$AL$101-'Comparison Population'!$E$21), "")</f>
        <v/>
      </c>
      <c r="T101" s="8" t="str">
        <f>IFERROR(('PS Enrollment'!$AM$101-'Comparison Population'!$E$22), "")</f>
        <v/>
      </c>
      <c r="U101" s="8" t="str">
        <f>IFERROR(('PS Enrollment'!$AN$101-'Comparison Population'!$E$23), "")</f>
        <v/>
      </c>
      <c r="V101" s="8" t="str">
        <f>IFERROR(('PS Enrollment'!$AO$101-'Comparison Population'!$E$24), "")</f>
        <v/>
      </c>
      <c r="W101" s="8" t="str">
        <f>IFERROR(('PS Enrollment'!$AP$101-'Comparison Population'!$E$25), "")</f>
        <v/>
      </c>
      <c r="X101" s="8" t="str">
        <f>IFERROR(('PS Enrollment'!$AQ$101-'Comparison Population'!$E$26), "")</f>
        <v/>
      </c>
      <c r="Y101" s="8" t="str">
        <f>IFERROR(('PS Enrollment'!$AR$101-'Comparison Population'!$E$27), "")</f>
        <v/>
      </c>
    </row>
    <row r="102" spans="1:25" x14ac:dyDescent="0.25">
      <c r="A102" s="36">
        <f>'PS Enrollment'!$A$102</f>
        <v>0</v>
      </c>
      <c r="B102" s="36">
        <f>'PS Enrollment'!$B$102</f>
        <v>0</v>
      </c>
      <c r="C102" s="36">
        <f>'PS Enrollment'!$C$102</f>
        <v>0</v>
      </c>
      <c r="D102" s="8" t="str">
        <f>IFERROR('PS Enrollment'!$D$102/'PS Enrollment'!$D$108, "")</f>
        <v/>
      </c>
      <c r="E102" s="10">
        <f>'PS Enrollment'!D$102</f>
        <v>0</v>
      </c>
      <c r="F102" s="8" t="str">
        <f>IFERROR(('PS Enrollment'!$Y$102-'Comparison Population'!$E102), "")</f>
        <v/>
      </c>
      <c r="G102" s="8" t="str">
        <f>IFERROR(('PS Enrollment'!$Z$102-'Comparison Population'!$E$7), "")</f>
        <v/>
      </c>
      <c r="H102" s="8" t="str">
        <f>IFERROR(('PS Enrollment'!$AA$102-'Comparison Population'!$E$8), "")</f>
        <v/>
      </c>
      <c r="I102" s="8" t="str">
        <f>IFERROR(('PS Enrollment'!$AB$102-'Comparison Population'!$E$10), "")</f>
        <v/>
      </c>
      <c r="J102" s="8" t="str">
        <f>IFERROR(('PS Enrollment'!$AC$102-'Comparison Population'!$E$11), "")</f>
        <v/>
      </c>
      <c r="K102" s="8" t="str">
        <f>IFERROR(('PS Enrollment'!$AD$102-'Comparison Population'!$E$12), "")</f>
        <v/>
      </c>
      <c r="L102" s="8" t="str">
        <f>IFERROR(('PS Enrollment'!$AE$102-'Comparison Population'!$E$13), "")</f>
        <v/>
      </c>
      <c r="M102" s="8" t="str">
        <f>IFERROR(('PS Enrollment'!$AF$102-'Comparison Population'!$E$14), "")</f>
        <v/>
      </c>
      <c r="N102" s="8" t="str">
        <f>IFERROR(('PS Enrollment'!$AG$102-'Comparison Population'!$E$15), "")</f>
        <v/>
      </c>
      <c r="O102" s="8" t="str">
        <f>IFERROR(('PS Enrollment'!$AH$102-'Comparison Population'!$E$16), "")</f>
        <v/>
      </c>
      <c r="P102" s="8" t="str">
        <f>IFERROR(('PS Enrollment'!$AI$102-'Comparison Population'!$E$17), "")</f>
        <v/>
      </c>
      <c r="Q102" s="8" t="str">
        <f>IFERROR(('PS Enrollment'!$AJ$102-'Comparison Population'!$E$19), "")</f>
        <v/>
      </c>
      <c r="R102" s="8" t="str">
        <f>IFERROR(('PS Enrollment'!$AK$102-'Comparison Population'!$E$20), "")</f>
        <v/>
      </c>
      <c r="S102" s="8" t="str">
        <f>IFERROR(('PS Enrollment'!$AL$102-'Comparison Population'!$E$21), "")</f>
        <v/>
      </c>
      <c r="T102" s="8" t="str">
        <f>IFERROR(('PS Enrollment'!$AM$102-'Comparison Population'!$E$22), "")</f>
        <v/>
      </c>
      <c r="U102" s="8" t="str">
        <f>IFERROR(('PS Enrollment'!$AN$102-'Comparison Population'!$E$23), "")</f>
        <v/>
      </c>
      <c r="V102" s="8" t="str">
        <f>IFERROR(('PS Enrollment'!$AO$102-'Comparison Population'!$E$24), "")</f>
        <v/>
      </c>
      <c r="W102" s="8" t="str">
        <f>IFERROR(('PS Enrollment'!$AP$102-'Comparison Population'!$E$25), "")</f>
        <v/>
      </c>
      <c r="X102" s="8" t="str">
        <f>IFERROR(('PS Enrollment'!$AQ$102-'Comparison Population'!$E$26), "")</f>
        <v/>
      </c>
      <c r="Y102" s="8" t="str">
        <f>IFERROR(('PS Enrollment'!$AR$102-'Comparison Population'!$E$27), "")</f>
        <v/>
      </c>
    </row>
    <row r="103" spans="1:25" x14ac:dyDescent="0.25">
      <c r="A103" s="36">
        <f>'PS Enrollment'!$A$103</f>
        <v>0</v>
      </c>
      <c r="B103" s="36">
        <f>'PS Enrollment'!$B$103</f>
        <v>0</v>
      </c>
      <c r="C103" s="36">
        <f>'PS Enrollment'!$C$103</f>
        <v>0</v>
      </c>
      <c r="D103" s="8" t="str">
        <f>IFERROR('PS Enrollment'!$D$103/'PS Enrollment'!$D$108, "")</f>
        <v/>
      </c>
      <c r="E103" s="10">
        <f>'PS Enrollment'!D$103</f>
        <v>0</v>
      </c>
      <c r="F103" s="8" t="str">
        <f>IFERROR(('PS Enrollment'!$Y$103-'Comparison Population'!$E103), "")</f>
        <v/>
      </c>
      <c r="G103" s="8" t="str">
        <f>IFERROR(('PS Enrollment'!$Z$103-'Comparison Population'!$E$7), "")</f>
        <v/>
      </c>
      <c r="H103" s="8" t="str">
        <f>IFERROR(('PS Enrollment'!$AA$103-'Comparison Population'!$E$8), "")</f>
        <v/>
      </c>
      <c r="I103" s="8" t="str">
        <f>IFERROR(('PS Enrollment'!$AB$103-'Comparison Population'!$E$10), "")</f>
        <v/>
      </c>
      <c r="J103" s="8" t="str">
        <f>IFERROR(('PS Enrollment'!$AC$103-'Comparison Population'!$E$11), "")</f>
        <v/>
      </c>
      <c r="K103" s="8" t="str">
        <f>IFERROR(('PS Enrollment'!$AD$103-'Comparison Population'!$E$12), "")</f>
        <v/>
      </c>
      <c r="L103" s="8" t="str">
        <f>IFERROR(('PS Enrollment'!$AE$103-'Comparison Population'!$E$13), "")</f>
        <v/>
      </c>
      <c r="M103" s="8" t="str">
        <f>IFERROR(('PS Enrollment'!$AF$103-'Comparison Population'!$E$14), "")</f>
        <v/>
      </c>
      <c r="N103" s="8" t="str">
        <f>IFERROR(('PS Enrollment'!$AG$103-'Comparison Population'!$E$15), "")</f>
        <v/>
      </c>
      <c r="O103" s="8" t="str">
        <f>IFERROR(('PS Enrollment'!$AH$103-'Comparison Population'!$E$16), "")</f>
        <v/>
      </c>
      <c r="P103" s="8" t="str">
        <f>IFERROR(('PS Enrollment'!$AI$103-'Comparison Population'!$E$17), "")</f>
        <v/>
      </c>
      <c r="Q103" s="8" t="str">
        <f>IFERROR(('PS Enrollment'!$AJ$103-'Comparison Population'!$E$19), "")</f>
        <v/>
      </c>
      <c r="R103" s="8" t="str">
        <f>IFERROR(('PS Enrollment'!$AK$103-'Comparison Population'!$E$20), "")</f>
        <v/>
      </c>
      <c r="S103" s="8" t="str">
        <f>IFERROR(('PS Enrollment'!$AL$103-'Comparison Population'!$E$21), "")</f>
        <v/>
      </c>
      <c r="T103" s="8" t="str">
        <f>IFERROR(('PS Enrollment'!$AM$103-'Comparison Population'!$E$22), "")</f>
        <v/>
      </c>
      <c r="U103" s="8" t="str">
        <f>IFERROR(('PS Enrollment'!$AN$103-'Comparison Population'!$E$23), "")</f>
        <v/>
      </c>
      <c r="V103" s="8" t="str">
        <f>IFERROR(('PS Enrollment'!$AO$103-'Comparison Population'!$E$24), "")</f>
        <v/>
      </c>
      <c r="W103" s="8" t="str">
        <f>IFERROR(('PS Enrollment'!$AP$103-'Comparison Population'!$E$25), "")</f>
        <v/>
      </c>
      <c r="X103" s="8" t="str">
        <f>IFERROR(('PS Enrollment'!$AQ$103-'Comparison Population'!$E$26), "")</f>
        <v/>
      </c>
      <c r="Y103" s="8" t="str">
        <f>IFERROR(('PS Enrollment'!$AR$103-'Comparison Population'!$E$27), "")</f>
        <v/>
      </c>
    </row>
    <row r="104" spans="1:25" x14ac:dyDescent="0.25">
      <c r="A104" s="36">
        <f>'PS Enrollment'!$A$104</f>
        <v>0</v>
      </c>
      <c r="B104" s="36">
        <f>'PS Enrollment'!$B$104</f>
        <v>0</v>
      </c>
      <c r="C104" s="36">
        <f>'PS Enrollment'!$C$104</f>
        <v>0</v>
      </c>
      <c r="D104" s="8" t="str">
        <f>IFERROR('PS Enrollment'!$D$104/'PS Enrollment'!$D$108, "")</f>
        <v/>
      </c>
      <c r="E104" s="10">
        <f>'PS Enrollment'!D$104</f>
        <v>0</v>
      </c>
      <c r="F104" s="8" t="str">
        <f>IFERROR(('PS Enrollment'!$Y$104-'Comparison Population'!$E104), "")</f>
        <v/>
      </c>
      <c r="G104" s="8" t="str">
        <f>IFERROR(('PS Enrollment'!$Z$104-'Comparison Population'!$E$7), "")</f>
        <v/>
      </c>
      <c r="H104" s="8" t="str">
        <f>IFERROR(('PS Enrollment'!$AA$104-'Comparison Population'!$E$8), "")</f>
        <v/>
      </c>
      <c r="I104" s="8" t="str">
        <f>IFERROR(('PS Enrollment'!$AB$104-'Comparison Population'!$E$10), "")</f>
        <v/>
      </c>
      <c r="J104" s="8" t="str">
        <f>IFERROR(('PS Enrollment'!$AC$104-'Comparison Population'!$E$11), "")</f>
        <v/>
      </c>
      <c r="K104" s="8" t="str">
        <f>IFERROR(('PS Enrollment'!$AD$104-'Comparison Population'!$E$12), "")</f>
        <v/>
      </c>
      <c r="L104" s="8" t="str">
        <f>IFERROR(('PS Enrollment'!$AE$104-'Comparison Population'!$E$13), "")</f>
        <v/>
      </c>
      <c r="M104" s="8" t="str">
        <f>IFERROR(('PS Enrollment'!$AF$104-'Comparison Population'!$E$14), "")</f>
        <v/>
      </c>
      <c r="N104" s="8" t="str">
        <f>IFERROR(('PS Enrollment'!$AG$104-'Comparison Population'!$E$15), "")</f>
        <v/>
      </c>
      <c r="O104" s="8" t="str">
        <f>IFERROR(('PS Enrollment'!$AH$104-'Comparison Population'!$E$16), "")</f>
        <v/>
      </c>
      <c r="P104" s="8" t="str">
        <f>IFERROR(('PS Enrollment'!$AI$104-'Comparison Population'!$E$17), "")</f>
        <v/>
      </c>
      <c r="Q104" s="8" t="str">
        <f>IFERROR(('PS Enrollment'!$AJ$104-'Comparison Population'!$E$19), "")</f>
        <v/>
      </c>
      <c r="R104" s="8" t="str">
        <f>IFERROR(('PS Enrollment'!$AK$104-'Comparison Population'!$E$20), "")</f>
        <v/>
      </c>
      <c r="S104" s="8" t="str">
        <f>IFERROR(('PS Enrollment'!$AL$104-'Comparison Population'!$E$21), "")</f>
        <v/>
      </c>
      <c r="T104" s="8" t="str">
        <f>IFERROR(('PS Enrollment'!$AM$104-'Comparison Population'!$E$22), "")</f>
        <v/>
      </c>
      <c r="U104" s="8" t="str">
        <f>IFERROR(('PS Enrollment'!$AN$104-'Comparison Population'!$E$23), "")</f>
        <v/>
      </c>
      <c r="V104" s="8" t="str">
        <f>IFERROR(('PS Enrollment'!$AO$104-'Comparison Population'!$E$24), "")</f>
        <v/>
      </c>
      <c r="W104" s="8" t="str">
        <f>IFERROR(('PS Enrollment'!$AP$104-'Comparison Population'!$E$25), "")</f>
        <v/>
      </c>
      <c r="X104" s="8" t="str">
        <f>IFERROR(('PS Enrollment'!$AQ$104-'Comparison Population'!$E$26), "")</f>
        <v/>
      </c>
      <c r="Y104" s="8" t="str">
        <f>IFERROR(('PS Enrollment'!$AR$104-'Comparison Population'!$E$27), "")</f>
        <v/>
      </c>
    </row>
    <row r="105" spans="1:25" x14ac:dyDescent="0.25">
      <c r="A105" s="36">
        <f>'PS Enrollment'!$A$105</f>
        <v>0</v>
      </c>
      <c r="B105" s="36">
        <f>'PS Enrollment'!$B$105</f>
        <v>0</v>
      </c>
      <c r="C105" s="36">
        <f>'PS Enrollment'!$C$105</f>
        <v>0</v>
      </c>
      <c r="D105" s="8" t="str">
        <f>IFERROR('PS Enrollment'!$D$105/'PS Enrollment'!$D$108, "")</f>
        <v/>
      </c>
      <c r="E105" s="10">
        <f>'PS Enrollment'!D$105</f>
        <v>0</v>
      </c>
      <c r="F105" s="8" t="str">
        <f>IFERROR(('PS Enrollment'!$Y$105-'Comparison Population'!$E105), "")</f>
        <v/>
      </c>
      <c r="G105" s="8" t="str">
        <f>IFERROR(('PS Enrollment'!$Z$105-'Comparison Population'!$E$7), "")</f>
        <v/>
      </c>
      <c r="H105" s="8" t="str">
        <f>IFERROR(('PS Enrollment'!$AA$105-'Comparison Population'!$E$8), "")</f>
        <v/>
      </c>
      <c r="I105" s="8" t="str">
        <f>IFERROR(('PS Enrollment'!$AB$105-'Comparison Population'!$E$10), "")</f>
        <v/>
      </c>
      <c r="J105" s="8" t="str">
        <f>IFERROR(('PS Enrollment'!$AC$105-'Comparison Population'!$E$11), "")</f>
        <v/>
      </c>
      <c r="K105" s="8" t="str">
        <f>IFERROR(('PS Enrollment'!$AD$105-'Comparison Population'!$E$12), "")</f>
        <v/>
      </c>
      <c r="L105" s="8" t="str">
        <f>IFERROR(('PS Enrollment'!$AE$105-'Comparison Population'!$E$13), "")</f>
        <v/>
      </c>
      <c r="M105" s="8" t="str">
        <f>IFERROR(('PS Enrollment'!$AF$105-'Comparison Population'!$E$14), "")</f>
        <v/>
      </c>
      <c r="N105" s="8" t="str">
        <f>IFERROR(('PS Enrollment'!$AG$105-'Comparison Population'!$E$15), "")</f>
        <v/>
      </c>
      <c r="O105" s="8" t="str">
        <f>IFERROR(('PS Enrollment'!$AH$105-'Comparison Population'!$E$16), "")</f>
        <v/>
      </c>
      <c r="P105" s="8" t="str">
        <f>IFERROR(('PS Enrollment'!$AI$105-'Comparison Population'!$E$17), "")</f>
        <v/>
      </c>
      <c r="Q105" s="8" t="str">
        <f>IFERROR(('PS Enrollment'!$AJ$105-'Comparison Population'!$E$19), "")</f>
        <v/>
      </c>
      <c r="R105" s="8" t="str">
        <f>IFERROR(('PS Enrollment'!$AK$105-'Comparison Population'!$E$20), "")</f>
        <v/>
      </c>
      <c r="S105" s="8" t="str">
        <f>IFERROR(('PS Enrollment'!$AL$105-'Comparison Population'!$E$21), "")</f>
        <v/>
      </c>
      <c r="T105" s="8" t="str">
        <f>IFERROR(('PS Enrollment'!$AM$105-'Comparison Population'!$E$22), "")</f>
        <v/>
      </c>
      <c r="U105" s="8" t="str">
        <f>IFERROR(('PS Enrollment'!$AN$105-'Comparison Population'!$E$23), "")</f>
        <v/>
      </c>
      <c r="V105" s="8" t="str">
        <f>IFERROR(('PS Enrollment'!$AO$105-'Comparison Population'!$E$24), "")</f>
        <v/>
      </c>
      <c r="W105" s="8" t="str">
        <f>IFERROR(('PS Enrollment'!$AP$105-'Comparison Population'!$E$25), "")</f>
        <v/>
      </c>
      <c r="X105" s="8" t="str">
        <f>IFERROR(('PS Enrollment'!$AQ$105-'Comparison Population'!$E$26), "")</f>
        <v/>
      </c>
      <c r="Y105" s="8" t="str">
        <f>IFERROR(('PS Enrollment'!$AR$105-'Comparison Population'!$E$27), "")</f>
        <v/>
      </c>
    </row>
    <row r="106" spans="1:25" x14ac:dyDescent="0.25">
      <c r="A106" s="4" t="s">
        <v>7</v>
      </c>
      <c r="D106" s="10"/>
      <c r="E106" s="10"/>
      <c r="F106" s="10" t="str">
        <f>IFERROR(('PS Enrollment'!Y106-'Comparison Population'!$E$6), "")</f>
        <v/>
      </c>
      <c r="G106" s="10" t="str">
        <f>IFERROR(('PS Enrollment'!Z106-'Comparison Population'!$E$7), "")</f>
        <v/>
      </c>
      <c r="H106" s="10" t="str">
        <f>IFERROR(('PS Enrollment'!AA106-'Comparison Population'!$E$8), "")</f>
        <v/>
      </c>
      <c r="I106" s="10" t="str">
        <f>IFERROR(('PS Enrollment'!AB106-'Comparison Population'!$E$10), "")</f>
        <v/>
      </c>
      <c r="J106" s="10" t="str">
        <f>IFERROR(('PS Enrollment'!AC106-'Comparison Population'!$E$11), "")</f>
        <v/>
      </c>
      <c r="K106" s="10" t="str">
        <f>IFERROR(('PS Enrollment'!AD106-'Comparison Population'!$E$12), "")</f>
        <v/>
      </c>
      <c r="L106" s="10" t="str">
        <f>IFERROR(('PS Enrollment'!AE106-'Comparison Population'!$E$13), "")</f>
        <v/>
      </c>
      <c r="M106" s="10" t="str">
        <f>IFERROR(('PS Enrollment'!AF106-'Comparison Population'!$E$14), "")</f>
        <v/>
      </c>
      <c r="N106" s="10" t="str">
        <f>IFERROR(('PS Enrollment'!AG106-'Comparison Population'!$E$15), "")</f>
        <v/>
      </c>
      <c r="O106" s="10" t="str">
        <f>IFERROR(('PS Enrollment'!AH106-'Comparison Population'!$E$16), "")</f>
        <v/>
      </c>
      <c r="P106" s="10" t="str">
        <f>IFERROR(('PS Enrollment'!AI106-'Comparison Population'!$E$17), "")</f>
        <v/>
      </c>
      <c r="Q106" s="10" t="str">
        <f>IFERROR(('PS Enrollment'!AJ106-'Comparison Population'!$E$19), "")</f>
        <v/>
      </c>
      <c r="R106" s="10" t="str">
        <f>IFERROR(('PS Enrollment'!AK106-'Comparison Population'!$E$20), "")</f>
        <v/>
      </c>
      <c r="S106" s="10" t="str">
        <f>IFERROR(('PS Enrollment'!AL106-'Comparison Population'!$E$21), "")</f>
        <v/>
      </c>
      <c r="T106" s="10" t="str">
        <f>IFERROR(('PS Enrollment'!AM106-'Comparison Population'!$E$22), "")</f>
        <v/>
      </c>
      <c r="U106" s="10" t="str">
        <f>IFERROR(('PS Enrollment'!AN106-'Comparison Population'!$E$23), "")</f>
        <v/>
      </c>
      <c r="V106" s="10" t="str">
        <f>IFERROR(('PS Enrollment'!AO106-'Comparison Population'!$E$24), "")</f>
        <v/>
      </c>
      <c r="W106" s="10" t="str">
        <f>IFERROR(('PS Enrollment'!AP106-'Comparison Population'!$E$25), "")</f>
        <v/>
      </c>
      <c r="X106" s="10" t="str">
        <f>IFERROR(('PS Enrollment'!AQ106-'Comparison Population'!$E$26), "")</f>
        <v/>
      </c>
      <c r="Y106" s="10" t="str">
        <f>IFERROR(('PS Enrollment'!AR106-'Comparison Population'!$E$27), "")</f>
        <v/>
      </c>
    </row>
    <row r="107" spans="1:25" ht="6.75" customHeight="1" x14ac:dyDescent="0.25"/>
  </sheetData>
  <sheetProtection algorithmName="SHA-512" hashValue="Cwajvfl5SanKTYkS/P9lAKk3U14cXyALQ9IyxQ1OjjdNXw4OV5yq0YjZSb1Qe4A1szYQ+o9g7EZ7FNK1/C4f8g==" saltValue="4y6NtV+ZGw0at5ph90tGxg==" spinCount="100000" sheet="1" sort="0" autoFilter="0"/>
  <protectedRanges>
    <protectedRange sqref="A5:Y106" name="AllowSortFilter"/>
  </protectedRanges>
  <mergeCells count="5">
    <mergeCell ref="A1:D1"/>
    <mergeCell ref="A2:D2"/>
    <mergeCell ref="F4:H4"/>
    <mergeCell ref="I4:O4"/>
    <mergeCell ref="Q4:Y4"/>
  </mergeCells>
  <conditionalFormatting sqref="D106:Y106">
    <cfRule type="cellIs" dxfId="3" priority="4" operator="equal">
      <formula>0</formula>
    </cfRule>
  </conditionalFormatting>
  <conditionalFormatting sqref="F6:Y106">
    <cfRule type="cellIs" dxfId="2" priority="2" operator="between">
      <formula>0.1</formula>
      <formula>1</formula>
    </cfRule>
    <cfRule type="cellIs" dxfId="1" priority="3" operator="between">
      <formula>-1</formula>
      <formula>-0.1</formula>
    </cfRule>
  </conditionalFormatting>
  <conditionalFormatting sqref="D6:D105">
    <cfRule type="expression" dxfId="0" priority="1">
      <formula>AND($E6&gt;0, $E6&lt;=10)</formula>
    </cfRule>
  </conditionalFormatting>
  <pageMargins left="0.75" right="0.75" top="1" bottom="1" header="0.5" footer="0.5"/>
  <pageSetup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21880-112B-49B4-9C2A-BC8A69B53C76}">
  <dimension ref="B1:AT80"/>
  <sheetViews>
    <sheetView workbookViewId="0">
      <selection activeCell="E11" sqref="E11"/>
    </sheetView>
  </sheetViews>
  <sheetFormatPr defaultRowHeight="15" x14ac:dyDescent="0.25"/>
  <cols>
    <col min="29" max="29" width="2.140625" customWidth="1"/>
    <col min="30" max="30" width="6.42578125" customWidth="1"/>
  </cols>
  <sheetData>
    <row r="1" spans="2:46" x14ac:dyDescent="0.25">
      <c r="L1" t="s">
        <v>131</v>
      </c>
    </row>
    <row r="2" spans="2:46" x14ac:dyDescent="0.25">
      <c r="B2" s="181" t="s">
        <v>96</v>
      </c>
      <c r="C2" s="181"/>
      <c r="D2" s="181"/>
      <c r="E2" s="181"/>
      <c r="F2" s="181"/>
      <c r="G2" s="181" t="s">
        <v>107</v>
      </c>
      <c r="H2" s="181"/>
      <c r="I2" s="181"/>
      <c r="J2" s="181"/>
      <c r="M2" s="179" t="s">
        <v>127</v>
      </c>
      <c r="N2" s="179"/>
      <c r="O2" s="179"/>
      <c r="P2" s="179"/>
      <c r="Q2" s="179"/>
      <c r="R2" s="179"/>
      <c r="S2" s="179"/>
      <c r="T2" s="179"/>
      <c r="U2" s="179"/>
      <c r="V2" s="179"/>
      <c r="W2" s="179"/>
      <c r="X2" s="179"/>
      <c r="Y2" s="179"/>
      <c r="Z2" s="179"/>
      <c r="AA2" s="179"/>
      <c r="AB2" s="179"/>
      <c r="AC2" s="45"/>
      <c r="AE2" s="179" t="s">
        <v>128</v>
      </c>
      <c r="AF2" s="179"/>
      <c r="AG2" s="179"/>
      <c r="AH2" s="179"/>
      <c r="AI2" s="179"/>
      <c r="AJ2" s="179"/>
      <c r="AK2" s="179"/>
      <c r="AL2" s="179"/>
      <c r="AM2" s="179"/>
      <c r="AN2" s="179"/>
      <c r="AO2" s="179"/>
      <c r="AP2" s="179"/>
      <c r="AQ2" s="179"/>
      <c r="AR2" s="179"/>
      <c r="AS2" s="179"/>
      <c r="AT2" s="179"/>
    </row>
    <row r="3" spans="2:46" x14ac:dyDescent="0.25">
      <c r="B3" s="41"/>
      <c r="C3" s="41" t="s">
        <v>99</v>
      </c>
      <c r="D3" s="41" t="s">
        <v>100</v>
      </c>
      <c r="E3" s="41" t="s">
        <v>101</v>
      </c>
      <c r="F3" s="41" t="s">
        <v>102</v>
      </c>
      <c r="G3" s="41" t="s">
        <v>103</v>
      </c>
      <c r="H3" s="41" t="s">
        <v>104</v>
      </c>
      <c r="I3" s="41" t="s">
        <v>105</v>
      </c>
      <c r="J3" s="41" t="s">
        <v>106</v>
      </c>
      <c r="L3" s="41"/>
      <c r="M3" s="41" t="s">
        <v>108</v>
      </c>
      <c r="N3" s="41" t="s">
        <v>109</v>
      </c>
      <c r="O3" s="41" t="s">
        <v>110</v>
      </c>
      <c r="P3" s="41" t="s">
        <v>111</v>
      </c>
      <c r="Q3" s="41" t="s">
        <v>112</v>
      </c>
      <c r="R3" s="41" t="s">
        <v>113</v>
      </c>
      <c r="S3" s="41" t="s">
        <v>114</v>
      </c>
      <c r="T3" s="41" t="s">
        <v>115</v>
      </c>
      <c r="U3" s="41" t="s">
        <v>18</v>
      </c>
      <c r="V3" s="41" t="s">
        <v>16</v>
      </c>
      <c r="W3" s="41" t="s">
        <v>116</v>
      </c>
      <c r="X3" s="41" t="s">
        <v>117</v>
      </c>
      <c r="Y3" s="41" t="s">
        <v>118</v>
      </c>
      <c r="Z3" s="41" t="s">
        <v>119</v>
      </c>
      <c r="AA3" s="41" t="s">
        <v>120</v>
      </c>
      <c r="AB3" s="41" t="s">
        <v>121</v>
      </c>
      <c r="AC3" s="46"/>
      <c r="AD3" s="41"/>
      <c r="AE3" s="41" t="s">
        <v>108</v>
      </c>
      <c r="AF3" s="41" t="s">
        <v>109</v>
      </c>
      <c r="AG3" s="41" t="s">
        <v>110</v>
      </c>
      <c r="AH3" s="41" t="s">
        <v>111</v>
      </c>
      <c r="AI3" s="41" t="s">
        <v>112</v>
      </c>
      <c r="AJ3" s="41" t="s">
        <v>113</v>
      </c>
      <c r="AK3" s="41" t="s">
        <v>114</v>
      </c>
      <c r="AL3" s="41" t="s">
        <v>115</v>
      </c>
      <c r="AM3" s="41" t="s">
        <v>18</v>
      </c>
      <c r="AN3" s="41" t="s">
        <v>16</v>
      </c>
      <c r="AO3" s="41" t="s">
        <v>116</v>
      </c>
      <c r="AP3" s="41" t="s">
        <v>117</v>
      </c>
      <c r="AQ3" s="41" t="s">
        <v>118</v>
      </c>
      <c r="AR3" s="41" t="s">
        <v>119</v>
      </c>
      <c r="AS3" s="41" t="s">
        <v>120</v>
      </c>
      <c r="AT3" s="41" t="s">
        <v>121</v>
      </c>
    </row>
    <row r="4" spans="2:46" x14ac:dyDescent="0.25">
      <c r="B4" s="41" t="s">
        <v>55</v>
      </c>
      <c r="C4" s="42">
        <f>Table3[[#Totals],[%F]]</f>
        <v>0.48603723404255317</v>
      </c>
      <c r="D4" s="42">
        <f>'Comparison Population'!$C$6</f>
        <v>0.51</v>
      </c>
      <c r="E4" s="42" t="str">
        <f>Table35[[#Totals],[%F]]</f>
        <v/>
      </c>
      <c r="F4" s="42" t="str">
        <f>'Comparison Population'!$E$6</f>
        <v/>
      </c>
      <c r="G4" s="41">
        <f>COUNTIF(Table33[F], "&lt;-.1")</f>
        <v>12</v>
      </c>
      <c r="H4" s="41">
        <f>COUNTIF(Table33[F], "&gt;.1")</f>
        <v>7</v>
      </c>
      <c r="I4" s="41">
        <f>COUNTIF(Table336[F], "&lt;-.1")</f>
        <v>0</v>
      </c>
      <c r="J4" s="41">
        <f>COUNTIF(Table336[F], "&gt;.1")</f>
        <v>0</v>
      </c>
      <c r="L4" s="41" t="s">
        <v>55</v>
      </c>
      <c r="M4" s="43">
        <f>SUMIF(Table3[Career Cluster], 'Dashboard Data'!$M$3, Table3[F] )</f>
        <v>24</v>
      </c>
      <c r="N4" s="43">
        <f>SUMIF(Table3[Career Cluster], 'Dashboard Data'!$N$3, Table3[F] )</f>
        <v>21</v>
      </c>
      <c r="O4" s="43">
        <f>SUMIF(Table3[Career Cluster], 'Dashboard Data'!$O$3, Table3[F] )</f>
        <v>66</v>
      </c>
      <c r="P4" s="43">
        <f>SUMIF(Table3[Career Cluster], 'Dashboard Data'!$P$3, Table3[F] )</f>
        <v>73</v>
      </c>
      <c r="Q4" s="43">
        <f>SUMIF(Table3[Career Cluster], 'Dashboard Data'!$Q$3, Table3[F] )</f>
        <v>47</v>
      </c>
      <c r="R4" s="43">
        <f>SUMIF(Table3[Career Cluster], 'Dashboard Data'!$R$3, Table3[F] )</f>
        <v>27</v>
      </c>
      <c r="S4" s="43">
        <f>SUMIF(Table3[Career Cluster], 'Dashboard Data'!$S$3, Table3[F] )</f>
        <v>0</v>
      </c>
      <c r="T4" s="43">
        <f>SUMIF(Table3[Career Cluster], 'Dashboard Data'!$T$3, Table3[F] )</f>
        <v>115</v>
      </c>
      <c r="U4" s="43">
        <f>SUMIF(Table3[Career Cluster], 'Dashboard Data'!$U$3, Table3[F] )</f>
        <v>81</v>
      </c>
      <c r="V4" s="43">
        <f>SUMIF(Table3[Career Cluster], 'Dashboard Data'!$V$3, Table3[F] )</f>
        <v>130</v>
      </c>
      <c r="W4" s="43">
        <f>SUMIF(Table3[Career Cluster], 'Dashboard Data'!$W$3, Table3[F] )</f>
        <v>56</v>
      </c>
      <c r="X4" s="43">
        <f>SUMIF(Table3[Career Cluster], 'Dashboard Data'!$X$3, Table3[F] )</f>
        <v>8</v>
      </c>
      <c r="Y4" s="43">
        <f>SUMIF(Table3[Career Cluster], 'Dashboard Data'!$Y$3, Table3[F] )</f>
        <v>21</v>
      </c>
      <c r="Z4" s="43">
        <f>SUMIF(Table3[Career Cluster], 'Dashboard Data'!$Z$3, Table3[F] )</f>
        <v>0</v>
      </c>
      <c r="AA4" s="43">
        <f>SUMIF(Table3[Career Cluster], 'Dashboard Data'!$AA$3, Table3[F] )</f>
        <v>31</v>
      </c>
      <c r="AB4" s="43">
        <f>SUMIF(Table3[Career Cluster], 'Dashboard Data'!$AB$3, Table3[F] )</f>
        <v>31</v>
      </c>
      <c r="AC4" s="45"/>
      <c r="AD4" s="41" t="s">
        <v>55</v>
      </c>
      <c r="AE4" s="44">
        <f>M4/(SUMIF(Table3[Career Cluster], 'Dashboard Data'!$AE$3, Table3[Total]))</f>
        <v>0.38709677419354838</v>
      </c>
      <c r="AF4" s="44">
        <f>N4/(SUMIF(Table3[Career Cluster], 'Dashboard Data'!$AF$3, Table3[Total]))</f>
        <v>0.21649484536082475</v>
      </c>
      <c r="AG4" s="44">
        <f>O4/(SUMIF(Table3[Career Cluster], 'Dashboard Data'!$AG$3, Table3[Total]))</f>
        <v>0.51162790697674421</v>
      </c>
      <c r="AH4" s="44">
        <f>P4/(SUMIF(Table3[Career Cluster], 'Dashboard Data'!$AH$3, Table3[Total]))</f>
        <v>0.73737373737373735</v>
      </c>
      <c r="AI4" s="44">
        <f>Q4/(SUMIF(Table3[Career Cluster], 'Dashboard Data'!$AI$3, Table3[Total]))</f>
        <v>0.95918367346938771</v>
      </c>
      <c r="AJ4" s="44">
        <f>R4/(SUMIF(Table3[Career Cluster], 'Dashboard Data'!$AJ$3, Table3[Total]))</f>
        <v>0.46551724137931033</v>
      </c>
      <c r="AK4" s="44" t="e">
        <f>S4/(SUMIF(Table3[Career Cluster], 'Dashboard Data'!$AK$3, Table3[Total]))</f>
        <v>#DIV/0!</v>
      </c>
      <c r="AL4" s="44">
        <f>T4/(SUMIF(Table3[Career Cluster], 'Dashboard Data'!$AL$3, Table3[Total]))</f>
        <v>0.83941605839416056</v>
      </c>
      <c r="AM4" s="44">
        <f>U4/(SUMIF(Table3[Career Cluster], 'Dashboard Data'!$AM$3, Table3[Total]))</f>
        <v>0.51592356687898089</v>
      </c>
      <c r="AN4" s="44">
        <f>V4/(SUMIF(Table3[Career Cluster], 'Dashboard Data'!$AN$3, Table3[Total]))</f>
        <v>0.98484848484848486</v>
      </c>
      <c r="AO4" s="44">
        <f>W4/(SUMIF(Table3[Career Cluster], 'Dashboard Data'!$AO$3, Table3[Total]))</f>
        <v>0.34355828220858897</v>
      </c>
      <c r="AP4" s="44">
        <f>X4/(SUMIF(Table3[Career Cluster], 'Dashboard Data'!$AP$3, Table3[Total]))</f>
        <v>0.12903225806451613</v>
      </c>
      <c r="AQ4" s="44">
        <f>Y4/(SUMIF(Table3[Career Cluster], 'Dashboard Data'!$AQ$3, Table3[Total]))</f>
        <v>0.17796610169491525</v>
      </c>
      <c r="AR4" s="44" t="e">
        <f>Z4/(SUMIF(Table3[Career Cluster], 'Dashboard Data'!$AR$3, Table3[Total]))</f>
        <v>#DIV/0!</v>
      </c>
      <c r="AS4" s="44">
        <f>AA4/(SUMIF(Table3[Career Cluster], 'Dashboard Data'!$AS$3, Table3[Total]))</f>
        <v>0.28440366972477066</v>
      </c>
      <c r="AT4" s="44">
        <f>AB4/(SUMIF(Table3[Career Cluster], 'Dashboard Data'!$AT$3, Table3[Total]))</f>
        <v>0.23484848484848486</v>
      </c>
    </row>
    <row r="5" spans="2:46" x14ac:dyDescent="0.25">
      <c r="B5" s="41" t="s">
        <v>56</v>
      </c>
      <c r="C5" s="42">
        <f>Table3[[#Totals],[%M]]</f>
        <v>0.5126329787234043</v>
      </c>
      <c r="D5" s="42">
        <f>'Comparison Population'!$C$7</f>
        <v>0.49</v>
      </c>
      <c r="E5" s="42" t="str">
        <f>Table35[[#Totals],[%M]]</f>
        <v/>
      </c>
      <c r="F5" s="42" t="str">
        <f>'Comparison Population'!$E$7</f>
        <v/>
      </c>
      <c r="G5" s="41">
        <f>COUNTIF(Table33[M], "&lt;-.1")</f>
        <v>7</v>
      </c>
      <c r="H5" s="41">
        <f>COUNTIF(Table33[M], "&gt;.1")</f>
        <v>12</v>
      </c>
      <c r="I5" s="41">
        <f>COUNTIF(Table336[M], "&lt;-.1")</f>
        <v>0</v>
      </c>
      <c r="J5" s="41">
        <f>COUNTIF(Table336[M], "&gt;.1")</f>
        <v>0</v>
      </c>
      <c r="L5" s="41" t="s">
        <v>56</v>
      </c>
      <c r="M5" s="43">
        <f>SUMIF(Table3[Career Cluster], 'Dashboard Data'!$M$3, Table3[M] )</f>
        <v>36</v>
      </c>
      <c r="N5" s="43">
        <f>SUMIF(Table3[Career Cluster], 'Dashboard Data'!$N$3, Table3[M] )</f>
        <v>76</v>
      </c>
      <c r="O5" s="43">
        <f>SUMIF(Table3[Career Cluster], 'Dashboard Data'!$O$3, Table3[M] )</f>
        <v>63</v>
      </c>
      <c r="P5" s="43">
        <f>SUMIF(Table3[Career Cluster], 'Dashboard Data'!$P$3, Table3[M] )</f>
        <v>26</v>
      </c>
      <c r="Q5" s="43">
        <f>SUMIF(Table3[Career Cluster], 'Dashboard Data'!$Q$3, Table3[M] )</f>
        <v>2</v>
      </c>
      <c r="R5" s="43">
        <f>SUMIF(Table3[Career Cluster], 'Dashboard Data'!$R$3, Table3[M] )</f>
        <v>31</v>
      </c>
      <c r="S5" s="43">
        <f>SUMIF(Table3[Career Cluster], 'Dashboard Data'!$S$3, Table3[M] )</f>
        <v>0</v>
      </c>
      <c r="T5" s="43">
        <f>SUMIF(Table3[Career Cluster], 'Dashboard Data'!$T$3, Table3[M] )</f>
        <v>22</v>
      </c>
      <c r="U5" s="43">
        <f>SUMIF(Table3[Career Cluster], 'Dashboard Data'!$U$3, Table3[M] )</f>
        <v>76</v>
      </c>
      <c r="V5" s="43">
        <f>SUMIF(Table3[Career Cluster], 'Dashboard Data'!$V$3, Table3[M] )</f>
        <v>2</v>
      </c>
      <c r="W5" s="43">
        <f>SUMIF(Table3[Career Cluster], 'Dashboard Data'!$W$3, Table3[M] )</f>
        <v>107</v>
      </c>
      <c r="X5" s="43">
        <f>SUMIF(Table3[Career Cluster], 'Dashboard Data'!$X$3, Table3[M] )</f>
        <v>54</v>
      </c>
      <c r="Y5" s="43">
        <f>SUMIF(Table3[Career Cluster], 'Dashboard Data'!$Y$3, Table3[M] )</f>
        <v>97</v>
      </c>
      <c r="Z5" s="43">
        <f>SUMIF(Table3[Career Cluster], 'Dashboard Data'!$Z$3, Table3[M] )</f>
        <v>0</v>
      </c>
      <c r="AA5" s="43">
        <f>SUMIF(Table3[Career Cluster], 'Dashboard Data'!$AA$3, Table3[M] )</f>
        <v>78</v>
      </c>
      <c r="AB5" s="43">
        <f>SUMIF(Table3[Career Cluster], 'Dashboard Data'!$AB$3, Table3[M] )</f>
        <v>101</v>
      </c>
      <c r="AC5" s="45"/>
      <c r="AD5" s="41" t="s">
        <v>56</v>
      </c>
      <c r="AE5" s="44">
        <f>M5/(SUMIF(Table3[Career Cluster], 'Dashboard Data'!$AE$3, Table3[Total]))</f>
        <v>0.58064516129032262</v>
      </c>
      <c r="AF5" s="44">
        <f>N5/(SUMIF(Table3[Career Cluster], 'Dashboard Data'!$AF$3, Table3[Total]))</f>
        <v>0.78350515463917525</v>
      </c>
      <c r="AG5" s="44">
        <f>O5/(SUMIF(Table3[Career Cluster], 'Dashboard Data'!$AG$3, Table3[Total]))</f>
        <v>0.48837209302325579</v>
      </c>
      <c r="AH5" s="44">
        <f>P5/(SUMIF(Table3[Career Cluster], 'Dashboard Data'!$AH$3, Table3[Total]))</f>
        <v>0.26262626262626265</v>
      </c>
      <c r="AI5" s="44">
        <f>Q5/(SUMIF(Table3[Career Cluster], 'Dashboard Data'!$AI$3, Table3[Total]))</f>
        <v>4.0816326530612242E-2</v>
      </c>
      <c r="AJ5" s="44">
        <f>R5/(SUMIF(Table3[Career Cluster], 'Dashboard Data'!$AJ$3, Table3[Total]))</f>
        <v>0.53448275862068961</v>
      </c>
      <c r="AK5" s="44" t="e">
        <f>S5/(SUMIF(Table3[Career Cluster], 'Dashboard Data'!$AK$3, Table3[Total]))</f>
        <v>#DIV/0!</v>
      </c>
      <c r="AL5" s="44">
        <f>T5/(SUMIF(Table3[Career Cluster], 'Dashboard Data'!$AL$3, Table3[Total]))</f>
        <v>0.16058394160583941</v>
      </c>
      <c r="AM5" s="44">
        <f>U5/(SUMIF(Table3[Career Cluster], 'Dashboard Data'!$AM$3, Table3[Total]))</f>
        <v>0.48407643312101911</v>
      </c>
      <c r="AN5" s="44">
        <f>V5/(SUMIF(Table3[Career Cluster], 'Dashboard Data'!$AN$3, Table3[Total]))</f>
        <v>1.5151515151515152E-2</v>
      </c>
      <c r="AO5" s="44">
        <f>W5/(SUMIF(Table3[Career Cluster], 'Dashboard Data'!$AO$3, Table3[Total]))</f>
        <v>0.65644171779141103</v>
      </c>
      <c r="AP5" s="44">
        <f>X5/(SUMIF(Table3[Career Cluster], 'Dashboard Data'!$AP$3, Table3[Total]))</f>
        <v>0.87096774193548387</v>
      </c>
      <c r="AQ5" s="44">
        <f>Y5/(SUMIF(Table3[Career Cluster], 'Dashboard Data'!$AQ$3, Table3[Total]))</f>
        <v>0.82203389830508478</v>
      </c>
      <c r="AR5" s="44" t="e">
        <f>Z5/(SUMIF(Table3[Career Cluster], 'Dashboard Data'!$AR$3, Table3[Total]))</f>
        <v>#DIV/0!</v>
      </c>
      <c r="AS5" s="44">
        <f>AA5/(SUMIF(Table3[Career Cluster], 'Dashboard Data'!$AS$3, Table3[Total]))</f>
        <v>0.7155963302752294</v>
      </c>
      <c r="AT5" s="44">
        <f>AB5/(SUMIF(Table3[Career Cluster], 'Dashboard Data'!$AT$3, Table3[Total]))</f>
        <v>0.76515151515151514</v>
      </c>
    </row>
    <row r="6" spans="2:46" hidden="1" x14ac:dyDescent="0.25">
      <c r="B6" s="41" t="s">
        <v>50</v>
      </c>
      <c r="C6" s="42">
        <f>Table3[[#Totals],[% Other]]</f>
        <v>0</v>
      </c>
      <c r="D6" s="42">
        <f>'Comparison Population'!$C$8</f>
        <v>0</v>
      </c>
      <c r="E6" s="42" t="str">
        <f>Table35[[#Totals],[% Other]]</f>
        <v/>
      </c>
      <c r="F6" s="42" t="str">
        <f>'Comparison Population'!$E$8</f>
        <v/>
      </c>
      <c r="G6" s="41">
        <f>COUNTIF(Table33[Other], "&lt;-.1")</f>
        <v>0</v>
      </c>
      <c r="H6" s="41">
        <f>COUNTIF(Table33[Other], "&gt;.1")</f>
        <v>0</v>
      </c>
      <c r="I6" s="41">
        <f>COUNTIF(Table336[Other], "&lt;-.1")</f>
        <v>0</v>
      </c>
      <c r="J6" s="41">
        <f>COUNTIF(Table336[Other], "&gt;.1")</f>
        <v>0</v>
      </c>
      <c r="L6" s="41" t="s">
        <v>50</v>
      </c>
      <c r="M6" s="43">
        <f>SUMIF(Table3[Career Cluster], 'Dashboard Data'!$M$3, Table3[Other] )</f>
        <v>0</v>
      </c>
      <c r="N6" s="43">
        <f>SUMIF(Table3[Career Cluster], 'Dashboard Data'!$N$3, Table3[Other] )</f>
        <v>0</v>
      </c>
      <c r="O6" s="43">
        <f>SUMIF(Table3[Career Cluster], 'Dashboard Data'!$O$3, Table3[Other] )</f>
        <v>0</v>
      </c>
      <c r="P6" s="43">
        <f>SUMIF(Table3[Career Cluster], 'Dashboard Data'!$P$3, Table3[Other] )</f>
        <v>0</v>
      </c>
      <c r="Q6" s="43">
        <f>SUMIF(Table3[Career Cluster], 'Dashboard Data'!$Q$3, Table3[Other] )</f>
        <v>0</v>
      </c>
      <c r="R6" s="43">
        <f>SUMIF(Table3[Career Cluster], 'Dashboard Data'!$R$3, Table3[Other] )</f>
        <v>0</v>
      </c>
      <c r="S6" s="43">
        <f>SUMIF(Table3[Career Cluster], 'Dashboard Data'!$S$3, Table3[Other] )</f>
        <v>0</v>
      </c>
      <c r="T6" s="43">
        <f>SUMIF(Table3[Career Cluster], 'Dashboard Data'!$T$3, Table3[Other] )</f>
        <v>0</v>
      </c>
      <c r="U6" s="43">
        <f>SUMIF(Table3[Career Cluster], 'Dashboard Data'!$U$3, Table3[Other] )</f>
        <v>0</v>
      </c>
      <c r="V6" s="43">
        <f>SUMIF(Table3[Career Cluster], 'Dashboard Data'!$V$3, Table3[Other] )</f>
        <v>0</v>
      </c>
      <c r="W6" s="43">
        <f>SUMIF(Table3[Career Cluster], 'Dashboard Data'!$W$3, Table3[Other] )</f>
        <v>0</v>
      </c>
      <c r="X6" s="43">
        <f>SUMIF(Table3[Career Cluster], 'Dashboard Data'!$X$3, Table3[Other] )</f>
        <v>0</v>
      </c>
      <c r="Y6" s="43">
        <f>SUMIF(Table3[Career Cluster], 'Dashboard Data'!$Y$3, Table3[Other] )</f>
        <v>0</v>
      </c>
      <c r="Z6" s="43">
        <f>SUMIF(Table3[Career Cluster], 'Dashboard Data'!$Z$3, Table3[Other] )</f>
        <v>0</v>
      </c>
      <c r="AA6" s="43">
        <f>SUMIF(Table3[Career Cluster], 'Dashboard Data'!$AA$3, Table3[Other] )</f>
        <v>0</v>
      </c>
      <c r="AB6" s="43">
        <f>SUMIF(Table3[Career Cluster], 'Dashboard Data'!$AB$3, Table3[Other] )</f>
        <v>0</v>
      </c>
      <c r="AC6" s="45"/>
      <c r="AD6" s="41" t="s">
        <v>50</v>
      </c>
      <c r="AE6" s="44">
        <f>M6/(SUMIF(Table3[Career Cluster], 'Dashboard Data'!$AE$3, Table3[Total]))</f>
        <v>0</v>
      </c>
      <c r="AF6" s="44">
        <f>N6/(SUMIF(Table3[Career Cluster], 'Dashboard Data'!$AF$3, Table3[Total]))</f>
        <v>0</v>
      </c>
      <c r="AG6" s="44">
        <f>O6/(SUMIF(Table3[Career Cluster], 'Dashboard Data'!$AG$3, Table3[Total]))</f>
        <v>0</v>
      </c>
      <c r="AH6" s="44">
        <f>P6/(SUMIF(Table3[Career Cluster], 'Dashboard Data'!$AH$3, Table3[Total]))</f>
        <v>0</v>
      </c>
      <c r="AI6" s="44">
        <f>Q6/(SUMIF(Table3[Career Cluster], 'Dashboard Data'!$AI$3, Table3[Total]))</f>
        <v>0</v>
      </c>
      <c r="AJ6" s="44">
        <f>R6/(SUMIF(Table3[Career Cluster], 'Dashboard Data'!$AJ$3, Table3[Total]))</f>
        <v>0</v>
      </c>
      <c r="AK6" s="44" t="e">
        <f>S6/(SUMIF(Table3[Career Cluster], 'Dashboard Data'!$AK$3, Table3[Total]))</f>
        <v>#DIV/0!</v>
      </c>
      <c r="AL6" s="44">
        <f>T6/(SUMIF(Table3[Career Cluster], 'Dashboard Data'!$AL$3, Table3[Total]))</f>
        <v>0</v>
      </c>
      <c r="AM6" s="44">
        <f>U6/(SUMIF(Table3[Career Cluster], 'Dashboard Data'!$AM$3, Table3[Total]))</f>
        <v>0</v>
      </c>
      <c r="AN6" s="44">
        <f>V6/(SUMIF(Table3[Career Cluster], 'Dashboard Data'!$AN$3, Table3[Total]))</f>
        <v>0</v>
      </c>
      <c r="AO6" s="44">
        <f>W6/(SUMIF(Table3[Career Cluster], 'Dashboard Data'!$AO$3, Table3[Total]))</f>
        <v>0</v>
      </c>
      <c r="AP6" s="44">
        <f>X6/(SUMIF(Table3[Career Cluster], 'Dashboard Data'!$AP$3, Table3[Total]))</f>
        <v>0</v>
      </c>
      <c r="AQ6" s="44">
        <f>Y6/(SUMIF(Table3[Career Cluster], 'Dashboard Data'!$AQ$3, Table3[Total]))</f>
        <v>0</v>
      </c>
      <c r="AR6" s="44" t="e">
        <f>Z6/(SUMIF(Table3[Career Cluster], 'Dashboard Data'!$AR$3, Table3[Total]))</f>
        <v>#DIV/0!</v>
      </c>
      <c r="AS6" s="44">
        <f>AA6/(SUMIF(Table3[Career Cluster], 'Dashboard Data'!$AS$3, Table3[Total]))</f>
        <v>0</v>
      </c>
      <c r="AT6" s="44">
        <f>AB6/(SUMIF(Table3[Career Cluster], 'Dashboard Data'!$AT$3, Table3[Total]))</f>
        <v>0</v>
      </c>
    </row>
    <row r="7" spans="2:46" x14ac:dyDescent="0.25">
      <c r="B7" s="41"/>
      <c r="C7" s="41" t="s">
        <v>99</v>
      </c>
      <c r="D7" s="41" t="s">
        <v>100</v>
      </c>
      <c r="E7" s="41" t="s">
        <v>101</v>
      </c>
      <c r="F7" s="41" t="s">
        <v>102</v>
      </c>
      <c r="G7" s="41" t="s">
        <v>103</v>
      </c>
      <c r="H7" s="41" t="s">
        <v>104</v>
      </c>
      <c r="I7" s="41" t="s">
        <v>105</v>
      </c>
      <c r="J7" s="41" t="s">
        <v>106</v>
      </c>
      <c r="L7" s="41"/>
      <c r="M7" s="43"/>
      <c r="N7" s="43"/>
      <c r="O7" s="43"/>
      <c r="P7" s="43"/>
      <c r="Q7" s="43"/>
      <c r="R7" s="43"/>
      <c r="S7" s="43"/>
      <c r="T7" s="43"/>
      <c r="U7" s="43"/>
      <c r="V7" s="43"/>
      <c r="W7" s="43"/>
      <c r="X7" s="43"/>
      <c r="Y7" s="43"/>
      <c r="Z7" s="43"/>
      <c r="AA7" s="43"/>
      <c r="AB7" s="43"/>
      <c r="AC7" s="45"/>
      <c r="AD7" s="41"/>
      <c r="AE7" s="44"/>
      <c r="AF7" s="44"/>
      <c r="AG7" s="44"/>
      <c r="AH7" s="44"/>
      <c r="AI7" s="44"/>
      <c r="AJ7" s="44"/>
      <c r="AK7" s="44"/>
      <c r="AL7" s="44"/>
      <c r="AM7" s="44"/>
      <c r="AN7" s="44"/>
      <c r="AO7" s="44"/>
      <c r="AP7" s="44"/>
      <c r="AQ7" s="44"/>
      <c r="AR7" s="44"/>
      <c r="AS7" s="44"/>
      <c r="AT7" s="44"/>
    </row>
    <row r="8" spans="2:46" ht="30" hidden="1" x14ac:dyDescent="0.25">
      <c r="B8" s="47" t="s">
        <v>122</v>
      </c>
      <c r="C8" s="42">
        <f>Table3[[#Totals],[
% AmInd]]</f>
        <v>0</v>
      </c>
      <c r="D8" s="42">
        <f>'Comparison Population'!$C$10</f>
        <v>0</v>
      </c>
      <c r="E8" s="42" t="str">
        <f>Table35[[#Totals],[
% AmInd]]</f>
        <v/>
      </c>
      <c r="F8" s="42" t="str">
        <f>'Comparison Population'!$E$10</f>
        <v/>
      </c>
      <c r="G8" s="41">
        <f>COUNTIF(Table33[AmInd],"&lt;-.1")</f>
        <v>0</v>
      </c>
      <c r="H8" s="41">
        <f>COUNTIF(Table33[AmInd],"&gt;.1")</f>
        <v>0</v>
      </c>
      <c r="I8" s="41">
        <f>COUNTIF(Table336[AmInd],"&lt;-.1")</f>
        <v>0</v>
      </c>
      <c r="J8" s="41">
        <f>COUNTIF(Table336[AmInd],"&gt;.1")</f>
        <v>0</v>
      </c>
      <c r="L8" s="47" t="s">
        <v>122</v>
      </c>
      <c r="M8" s="43">
        <f>SUMIF(Table3[Career Cluster], 'Dashboard Data'!$M$3, Table3[AmInd] )</f>
        <v>0</v>
      </c>
      <c r="N8" s="43">
        <f>SUMIF(Table3[Career Cluster], 'Dashboard Data'!$N$3, Table3[AmInd] )</f>
        <v>0</v>
      </c>
      <c r="O8" s="43">
        <f>SUMIF(Table3[Career Cluster], 'Dashboard Data'!$O$3, Table3[AmInd] )</f>
        <v>0</v>
      </c>
      <c r="P8" s="43">
        <f>SUMIF(Table3[Career Cluster], 'Dashboard Data'!$P$3, Table3[AmInd] )</f>
        <v>0</v>
      </c>
      <c r="Q8" s="43">
        <f>SUMIF(Table3[Career Cluster], 'Dashboard Data'!$Q$3, Table3[AmInd] )</f>
        <v>0</v>
      </c>
      <c r="R8" s="43">
        <f>SUMIF(Table3[Career Cluster], 'Dashboard Data'!$R$3, Table3[AmInd] )</f>
        <v>0</v>
      </c>
      <c r="S8" s="43">
        <f>SUMIF(Table3[Career Cluster], 'Dashboard Data'!$S$3, Table3[AmInd] )</f>
        <v>0</v>
      </c>
      <c r="T8" s="43">
        <f>SUMIF(Table3[Career Cluster], 'Dashboard Data'!$T$3, Table3[AmInd] )</f>
        <v>0</v>
      </c>
      <c r="U8" s="43">
        <f>SUMIF(Table3[Career Cluster], 'Dashboard Data'!$U$3, Table3[AmInd] )</f>
        <v>0</v>
      </c>
      <c r="V8" s="43">
        <f>SUMIF(Table3[Career Cluster], 'Dashboard Data'!$V$3, Table3[AmInd] )</f>
        <v>0</v>
      </c>
      <c r="W8" s="43">
        <f>SUMIF(Table3[Career Cluster], 'Dashboard Data'!$W$3, Table3[AmInd] )</f>
        <v>0</v>
      </c>
      <c r="X8" s="43">
        <f>SUMIF(Table3[Career Cluster], 'Dashboard Data'!$X$3, Table3[AmInd] )</f>
        <v>0</v>
      </c>
      <c r="Y8" s="43">
        <f>SUMIF(Table3[Career Cluster], 'Dashboard Data'!$Y$3, Table3[AmInd] )</f>
        <v>0</v>
      </c>
      <c r="Z8" s="43">
        <f>SUMIF(Table3[Career Cluster], 'Dashboard Data'!$Z$3, Table3[AmInd] )</f>
        <v>0</v>
      </c>
      <c r="AA8" s="43">
        <f>SUMIF(Table3[Career Cluster], 'Dashboard Data'!$AA$3, Table3[AmInd] )</f>
        <v>0</v>
      </c>
      <c r="AB8" s="43">
        <f>SUMIF(Table3[Career Cluster], 'Dashboard Data'!$AB$3, Table3[AmInd] )</f>
        <v>0</v>
      </c>
      <c r="AC8" s="45"/>
      <c r="AD8" s="47" t="s">
        <v>122</v>
      </c>
      <c r="AE8" s="44">
        <f>M8/(SUMIF(Table3[Career Cluster], 'Dashboard Data'!$AE$3, Table3[Total]))</f>
        <v>0</v>
      </c>
      <c r="AF8" s="44">
        <f>N8/(SUMIF(Table3[Career Cluster], 'Dashboard Data'!$AF$3, Table3[Total]))</f>
        <v>0</v>
      </c>
      <c r="AG8" s="44">
        <f>O8/(SUMIF(Table3[Career Cluster], 'Dashboard Data'!$AG$3, Table3[Total]))</f>
        <v>0</v>
      </c>
      <c r="AH8" s="44">
        <f>P8/(SUMIF(Table3[Career Cluster], 'Dashboard Data'!$AH$3, Table3[Total]))</f>
        <v>0</v>
      </c>
      <c r="AI8" s="44">
        <f>Q8/(SUMIF(Table3[Career Cluster], 'Dashboard Data'!$AI$3, Table3[Total]))</f>
        <v>0</v>
      </c>
      <c r="AJ8" s="44">
        <f>R8/(SUMIF(Table3[Career Cluster], 'Dashboard Data'!$AJ$3, Table3[Total]))</f>
        <v>0</v>
      </c>
      <c r="AK8" s="44" t="e">
        <f>S8/(SUMIF(Table3[Career Cluster], 'Dashboard Data'!$AK$3, Table3[Total]))</f>
        <v>#DIV/0!</v>
      </c>
      <c r="AL8" s="44">
        <f>T8/(SUMIF(Table3[Career Cluster], 'Dashboard Data'!$AL$3, Table3[Total]))</f>
        <v>0</v>
      </c>
      <c r="AM8" s="44">
        <f>U8/(SUMIF(Table3[Career Cluster], 'Dashboard Data'!$AM$3, Table3[Total]))</f>
        <v>0</v>
      </c>
      <c r="AN8" s="44">
        <f>V8/(SUMIF(Table3[Career Cluster], 'Dashboard Data'!$AN$3, Table3[Total]))</f>
        <v>0</v>
      </c>
      <c r="AO8" s="44">
        <f>W8/(SUMIF(Table3[Career Cluster], 'Dashboard Data'!$AO$3, Table3[Total]))</f>
        <v>0</v>
      </c>
      <c r="AP8" s="44">
        <f>X8/(SUMIF(Table3[Career Cluster], 'Dashboard Data'!$AP$3, Table3[Total]))</f>
        <v>0</v>
      </c>
      <c r="AQ8" s="44">
        <f>Y8/(SUMIF(Table3[Career Cluster], 'Dashboard Data'!$AQ$3, Table3[Total]))</f>
        <v>0</v>
      </c>
      <c r="AR8" s="44" t="e">
        <f>Z8/(SUMIF(Table3[Career Cluster], 'Dashboard Data'!$AR$3, Table3[Total]))</f>
        <v>#DIV/0!</v>
      </c>
      <c r="AS8" s="44">
        <f>AA8/(SUMIF(Table3[Career Cluster], 'Dashboard Data'!$AS$3, Table3[Total]))</f>
        <v>0</v>
      </c>
      <c r="AT8" s="44">
        <f>AB8/(SUMIF(Table3[Career Cluster], 'Dashboard Data'!$AT$3, Table3[Total]))</f>
        <v>0</v>
      </c>
    </row>
    <row r="9" spans="2:46" x14ac:dyDescent="0.25">
      <c r="B9" s="41" t="s">
        <v>3</v>
      </c>
      <c r="C9" s="42">
        <f>Table3[[#Totals],[% Asian]]</f>
        <v>7.7792553191489366E-2</v>
      </c>
      <c r="D9" s="42">
        <f>'Comparison Population'!$C$11</f>
        <v>7.4999999999999997E-2</v>
      </c>
      <c r="E9" s="42" t="str">
        <f>Table35[[#Totals],[% Asian]]</f>
        <v/>
      </c>
      <c r="F9" s="42" t="str">
        <f>'Comparison Population'!$E$11</f>
        <v/>
      </c>
      <c r="G9" s="41">
        <f>COUNTIF(Table33[Asian],"&lt;-.1")</f>
        <v>0</v>
      </c>
      <c r="H9" s="41">
        <f>COUNTIF(Table33[Asian],"&gt;.1")</f>
        <v>3</v>
      </c>
      <c r="I9" s="41">
        <f>COUNTIF(Table336[Asian],"&lt;-.1")</f>
        <v>0</v>
      </c>
      <c r="J9" s="41">
        <f>COUNTIF(Table336[Asian],"&gt;.1")</f>
        <v>0</v>
      </c>
      <c r="L9" s="41" t="s">
        <v>3</v>
      </c>
      <c r="M9" s="43">
        <f>SUMIF(Table3[Career Cluster], 'Dashboard Data'!$M$3, Table3[Asian] )</f>
        <v>0</v>
      </c>
      <c r="N9" s="43">
        <f>SUMIF(Table3[Career Cluster], 'Dashboard Data'!$N$3, Table3[Asian] )</f>
        <v>7</v>
      </c>
      <c r="O9" s="43">
        <f>SUMIF(Table3[Career Cluster], 'Dashboard Data'!$O$3, Table3[Asian] )</f>
        <v>6</v>
      </c>
      <c r="P9" s="43">
        <f>SUMIF(Table3[Career Cluster], 'Dashboard Data'!$P$3, Table3[Asian] )</f>
        <v>4</v>
      </c>
      <c r="Q9" s="43">
        <f>SUMIF(Table3[Career Cluster], 'Dashboard Data'!$Q$3, Table3[Asian] )</f>
        <v>1</v>
      </c>
      <c r="R9" s="43">
        <f>SUMIF(Table3[Career Cluster], 'Dashboard Data'!$R$3, Table3[Asian] )</f>
        <v>0</v>
      </c>
      <c r="S9" s="43">
        <f>SUMIF(Table3[Career Cluster], 'Dashboard Data'!$S$3, Table3[Asian] )</f>
        <v>0</v>
      </c>
      <c r="T9" s="43">
        <f>SUMIF(Table3[Career Cluster], 'Dashboard Data'!$T$3, Table3[Asian] )</f>
        <v>9</v>
      </c>
      <c r="U9" s="43">
        <f>SUMIF(Table3[Career Cluster], 'Dashboard Data'!$U$3, Table3[Asian] )</f>
        <v>3</v>
      </c>
      <c r="V9" s="43">
        <f>SUMIF(Table3[Career Cluster], 'Dashboard Data'!$V$3, Table3[Asian] )</f>
        <v>1</v>
      </c>
      <c r="W9" s="43">
        <f>SUMIF(Table3[Career Cluster], 'Dashboard Data'!$W$3, Table3[Asian] )</f>
        <v>24</v>
      </c>
      <c r="X9" s="43">
        <f>SUMIF(Table3[Career Cluster], 'Dashboard Data'!$X$3, Table3[Asian] )</f>
        <v>0</v>
      </c>
      <c r="Y9" s="43">
        <f>SUMIF(Table3[Career Cluster], 'Dashboard Data'!$Y$3, Table3[Asian] )</f>
        <v>26</v>
      </c>
      <c r="Z9" s="43">
        <f>SUMIF(Table3[Career Cluster], 'Dashboard Data'!$Z$3, Table3[Asian] )</f>
        <v>0</v>
      </c>
      <c r="AA9" s="43">
        <f>SUMIF(Table3[Career Cluster], 'Dashboard Data'!$AA$3, Table3[Asian] )</f>
        <v>26</v>
      </c>
      <c r="AB9" s="43">
        <f>SUMIF(Table3[Career Cluster], 'Dashboard Data'!$AB$3, Table3[Asian] )</f>
        <v>10</v>
      </c>
      <c r="AC9" s="45"/>
      <c r="AD9" s="41" t="s">
        <v>3</v>
      </c>
      <c r="AE9" s="44">
        <f>M9/(SUMIF(Table3[Career Cluster], 'Dashboard Data'!$AE$3, Table3[Total]))</f>
        <v>0</v>
      </c>
      <c r="AF9" s="44">
        <f>N9/(SUMIF(Table3[Career Cluster], 'Dashboard Data'!$AF$3, Table3[Total]))</f>
        <v>7.2164948453608241E-2</v>
      </c>
      <c r="AG9" s="44">
        <f>O9/(SUMIF(Table3[Career Cluster], 'Dashboard Data'!$AG$3, Table3[Total]))</f>
        <v>4.6511627906976744E-2</v>
      </c>
      <c r="AH9" s="44">
        <f>P9/(SUMIF(Table3[Career Cluster], 'Dashboard Data'!$AH$3, Table3[Total]))</f>
        <v>4.0404040404040407E-2</v>
      </c>
      <c r="AI9" s="44">
        <f>Q9/(SUMIF(Table3[Career Cluster], 'Dashboard Data'!$AI$3, Table3[Total]))</f>
        <v>2.0408163265306121E-2</v>
      </c>
      <c r="AJ9" s="44">
        <f>R9/(SUMIF(Table3[Career Cluster], 'Dashboard Data'!$AJ$3, Table3[Total]))</f>
        <v>0</v>
      </c>
      <c r="AK9" s="44" t="e">
        <f>S9/(SUMIF(Table3[Career Cluster], 'Dashboard Data'!$AK$3, Table3[Total]))</f>
        <v>#DIV/0!</v>
      </c>
      <c r="AL9" s="44">
        <f>T9/(SUMIF(Table3[Career Cluster], 'Dashboard Data'!$AL$3, Table3[Total]))</f>
        <v>6.569343065693431E-2</v>
      </c>
      <c r="AM9" s="44">
        <f>U9/(SUMIF(Table3[Career Cluster], 'Dashboard Data'!$AM$3, Table3[Total]))</f>
        <v>1.9108280254777069E-2</v>
      </c>
      <c r="AN9" s="44">
        <f>V9/(SUMIF(Table3[Career Cluster], 'Dashboard Data'!$AN$3, Table3[Total]))</f>
        <v>7.575757575757576E-3</v>
      </c>
      <c r="AO9" s="44">
        <f>W9/(SUMIF(Table3[Career Cluster], 'Dashboard Data'!$AO$3, Table3[Total]))</f>
        <v>0.14723926380368099</v>
      </c>
      <c r="AP9" s="44">
        <f>X9/(SUMIF(Table3[Career Cluster], 'Dashboard Data'!$AP$3, Table3[Total]))</f>
        <v>0</v>
      </c>
      <c r="AQ9" s="44">
        <f>Y9/(SUMIF(Table3[Career Cluster], 'Dashboard Data'!$AQ$3, Table3[Total]))</f>
        <v>0.22033898305084745</v>
      </c>
      <c r="AR9" s="44" t="e">
        <f>Z9/(SUMIF(Table3[Career Cluster], 'Dashboard Data'!$AR$3, Table3[Total]))</f>
        <v>#DIV/0!</v>
      </c>
      <c r="AS9" s="44">
        <f>AA9/(SUMIF(Table3[Career Cluster], 'Dashboard Data'!$AS$3, Table3[Total]))</f>
        <v>0.23853211009174313</v>
      </c>
      <c r="AT9" s="44">
        <f>AB9/(SUMIF(Table3[Career Cluster], 'Dashboard Data'!$AT$3, Table3[Total]))</f>
        <v>7.575757575757576E-2</v>
      </c>
    </row>
    <row r="10" spans="2:46" x14ac:dyDescent="0.25">
      <c r="B10" s="41" t="s">
        <v>123</v>
      </c>
      <c r="C10" s="42">
        <f>Table3[[#Totals],[% Hispanic]]</f>
        <v>0.24335106382978725</v>
      </c>
      <c r="D10" s="42">
        <f>'Comparison Population'!$C$12</f>
        <v>0.31666666666666665</v>
      </c>
      <c r="E10" s="42" t="str">
        <f>Table35[[#Totals],[% Hispanic]]</f>
        <v/>
      </c>
      <c r="F10" s="42" t="str">
        <f>'Comparison Population'!$E$12</f>
        <v/>
      </c>
      <c r="G10" s="41">
        <f>COUNTIF(Table33[Hispanic],"&lt;-.1")</f>
        <v>12</v>
      </c>
      <c r="H10" s="41">
        <f>COUNTIF(Table33[Hispanic],"&gt;.1")</f>
        <v>3</v>
      </c>
      <c r="I10" s="41">
        <f>COUNTIF(Table336[Hispanic],"&lt;-.1")</f>
        <v>0</v>
      </c>
      <c r="J10" s="41">
        <f>COUNTIF(Table336[Hispanic],"&gt;.1")</f>
        <v>0</v>
      </c>
      <c r="L10" s="41" t="s">
        <v>123</v>
      </c>
      <c r="M10" s="43">
        <f>SUMIF(Table3[Career Cluster], 'Dashboard Data'!$M$3, Table3[Hispanic] )</f>
        <v>26</v>
      </c>
      <c r="N10" s="43">
        <f>SUMIF(Table3[Career Cluster], 'Dashboard Data'!$N$3, Table3[Hispanic] )</f>
        <v>9</v>
      </c>
      <c r="O10" s="43">
        <f>SUMIF(Table3[Career Cluster], 'Dashboard Data'!$O$3, Table3[Hispanic] )</f>
        <v>24</v>
      </c>
      <c r="P10" s="43">
        <f>SUMIF(Table3[Career Cluster], 'Dashboard Data'!$P$3, Table3[Hispanic] )</f>
        <v>23</v>
      </c>
      <c r="Q10" s="43">
        <f>SUMIF(Table3[Career Cluster], 'Dashboard Data'!$Q$3, Table3[Hispanic] )</f>
        <v>20</v>
      </c>
      <c r="R10" s="43">
        <f>SUMIF(Table3[Career Cluster], 'Dashboard Data'!$R$3, Table3[Hispanic] )</f>
        <v>17</v>
      </c>
      <c r="S10" s="43">
        <f>SUMIF(Table3[Career Cluster], 'Dashboard Data'!$S$3, Table3[Hispanic] )</f>
        <v>0</v>
      </c>
      <c r="T10" s="43">
        <f>SUMIF(Table3[Career Cluster], 'Dashboard Data'!$T$3, Table3[Hispanic] )</f>
        <v>40</v>
      </c>
      <c r="U10" s="43">
        <f>SUMIF(Table3[Career Cluster], 'Dashboard Data'!$U$3, Table3[Hispanic] )</f>
        <v>62</v>
      </c>
      <c r="V10" s="43">
        <f>SUMIF(Table3[Career Cluster], 'Dashboard Data'!$V$3, Table3[Hispanic] )</f>
        <v>40</v>
      </c>
      <c r="W10" s="43">
        <f>SUMIF(Table3[Career Cluster], 'Dashboard Data'!$W$3, Table3[Hispanic] )</f>
        <v>26</v>
      </c>
      <c r="X10" s="43">
        <f>SUMIF(Table3[Career Cluster], 'Dashboard Data'!$X$3, Table3[Hispanic] )</f>
        <v>10</v>
      </c>
      <c r="Y10" s="43">
        <f>SUMIF(Table3[Career Cluster], 'Dashboard Data'!$Y$3, Table3[Hispanic] )</f>
        <v>18</v>
      </c>
      <c r="Z10" s="43">
        <f>SUMIF(Table3[Career Cluster], 'Dashboard Data'!$Z$3, Table3[Hispanic] )</f>
        <v>0</v>
      </c>
      <c r="AA10" s="43">
        <f>SUMIF(Table3[Career Cluster], 'Dashboard Data'!$AA$3, Table3[Hispanic] )</f>
        <v>20</v>
      </c>
      <c r="AB10" s="43">
        <f>SUMIF(Table3[Career Cluster], 'Dashboard Data'!$AB$3, Table3[Hispanic] )</f>
        <v>31</v>
      </c>
      <c r="AC10" s="45"/>
      <c r="AD10" s="41" t="s">
        <v>123</v>
      </c>
      <c r="AE10" s="44">
        <f>M10/(SUMIF(Table3[Career Cluster], 'Dashboard Data'!$AE$3, Table3[Total]))</f>
        <v>0.41935483870967744</v>
      </c>
      <c r="AF10" s="44">
        <f>N10/(SUMIF(Table3[Career Cluster], 'Dashboard Data'!$AF$3, Table3[Total]))</f>
        <v>9.2783505154639179E-2</v>
      </c>
      <c r="AG10" s="44">
        <f>O10/(SUMIF(Table3[Career Cluster], 'Dashboard Data'!$AG$3, Table3[Total]))</f>
        <v>0.18604651162790697</v>
      </c>
      <c r="AH10" s="44">
        <f>P10/(SUMIF(Table3[Career Cluster], 'Dashboard Data'!$AH$3, Table3[Total]))</f>
        <v>0.23232323232323232</v>
      </c>
      <c r="AI10" s="44">
        <f>Q10/(SUMIF(Table3[Career Cluster], 'Dashboard Data'!$AI$3, Table3[Total]))</f>
        <v>0.40816326530612246</v>
      </c>
      <c r="AJ10" s="44">
        <f>R10/(SUMIF(Table3[Career Cluster], 'Dashboard Data'!$AJ$3, Table3[Total]))</f>
        <v>0.29310344827586204</v>
      </c>
      <c r="AK10" s="44" t="e">
        <f>S10/(SUMIF(Table3[Career Cluster], 'Dashboard Data'!$AK$3, Table3[Total]))</f>
        <v>#DIV/0!</v>
      </c>
      <c r="AL10" s="44">
        <f>T10/(SUMIF(Table3[Career Cluster], 'Dashboard Data'!$AL$3, Table3[Total]))</f>
        <v>0.29197080291970801</v>
      </c>
      <c r="AM10" s="44">
        <f>U10/(SUMIF(Table3[Career Cluster], 'Dashboard Data'!$AM$3, Table3[Total]))</f>
        <v>0.39490445859872614</v>
      </c>
      <c r="AN10" s="44">
        <f>V10/(SUMIF(Table3[Career Cluster], 'Dashboard Data'!$AN$3, Table3[Total]))</f>
        <v>0.30303030303030304</v>
      </c>
      <c r="AO10" s="44">
        <f>W10/(SUMIF(Table3[Career Cluster], 'Dashboard Data'!$AO$3, Table3[Total]))</f>
        <v>0.15950920245398773</v>
      </c>
      <c r="AP10" s="44">
        <f>X10/(SUMIF(Table3[Career Cluster], 'Dashboard Data'!$AP$3, Table3[Total]))</f>
        <v>0.16129032258064516</v>
      </c>
      <c r="AQ10" s="44">
        <f>Y10/(SUMIF(Table3[Career Cluster], 'Dashboard Data'!$AQ$3, Table3[Total]))</f>
        <v>0.15254237288135594</v>
      </c>
      <c r="AR10" s="44" t="e">
        <f>Z10/(SUMIF(Table3[Career Cluster], 'Dashboard Data'!$AR$3, Table3[Total]))</f>
        <v>#DIV/0!</v>
      </c>
      <c r="AS10" s="44">
        <f>AA10/(SUMIF(Table3[Career Cluster], 'Dashboard Data'!$AS$3, Table3[Total]))</f>
        <v>0.1834862385321101</v>
      </c>
      <c r="AT10" s="44">
        <f>AB10/(SUMIF(Table3[Career Cluster], 'Dashboard Data'!$AT$3, Table3[Total]))</f>
        <v>0.23484848484848486</v>
      </c>
    </row>
    <row r="11" spans="2:46" x14ac:dyDescent="0.25">
      <c r="B11" s="41" t="s">
        <v>124</v>
      </c>
      <c r="C11" s="42">
        <f>Table3[[#Totals],[% Black]]</f>
        <v>0.22539893617021275</v>
      </c>
      <c r="D11" s="42">
        <f>'Comparison Population'!$C$13</f>
        <v>0.25833333333333336</v>
      </c>
      <c r="E11" s="42" t="str">
        <f>Table35[[#Totals],[
% Black]]</f>
        <v/>
      </c>
      <c r="F11" s="42" t="str">
        <f>'Comparison Population'!$E$13</f>
        <v/>
      </c>
      <c r="G11" s="41">
        <f>COUNTIF(Table33[Black],"&lt;-.1")</f>
        <v>6</v>
      </c>
      <c r="H11" s="41">
        <f>COUNTIF(Table33[Black],"&gt;.1")</f>
        <v>2</v>
      </c>
      <c r="I11" s="41">
        <f>COUNTIF(Table336[Black],"&lt;-.1")</f>
        <v>0</v>
      </c>
      <c r="J11" s="41">
        <f>COUNTIF(Table336[Black],"&gt;.1")</f>
        <v>0</v>
      </c>
      <c r="L11" s="41" t="s">
        <v>124</v>
      </c>
      <c r="M11" s="43">
        <f>SUMIF(Table3[Career Cluster], 'Dashboard Data'!$M$3, Table3[Black] )</f>
        <v>18</v>
      </c>
      <c r="N11" s="43">
        <f>SUMIF(Table3[Career Cluster], 'Dashboard Data'!$N$3, Table3[Black] )</f>
        <v>24</v>
      </c>
      <c r="O11" s="43">
        <f>SUMIF(Table3[Career Cluster], 'Dashboard Data'!$O$3, Table3[Black] )</f>
        <v>27</v>
      </c>
      <c r="P11" s="43">
        <f>SUMIF(Table3[Career Cluster], 'Dashboard Data'!$P$3, Table3[Black] )</f>
        <v>34</v>
      </c>
      <c r="Q11" s="43">
        <f>SUMIF(Table3[Career Cluster], 'Dashboard Data'!$Q$3, Table3[Black] )</f>
        <v>16</v>
      </c>
      <c r="R11" s="43">
        <f>SUMIF(Table3[Career Cluster], 'Dashboard Data'!$R$3, Table3[Black] )</f>
        <v>4</v>
      </c>
      <c r="S11" s="43">
        <f>SUMIF(Table3[Career Cluster], 'Dashboard Data'!$S$3, Table3[Black] )</f>
        <v>0</v>
      </c>
      <c r="T11" s="43">
        <f>SUMIF(Table3[Career Cluster], 'Dashboard Data'!$T$3, Table3[Black] )</f>
        <v>31</v>
      </c>
      <c r="U11" s="43">
        <f>SUMIF(Table3[Career Cluster], 'Dashboard Data'!$U$3, Table3[Black] )</f>
        <v>34</v>
      </c>
      <c r="V11" s="43">
        <f>SUMIF(Table3[Career Cluster], 'Dashboard Data'!$V$3, Table3[Black] )</f>
        <v>28</v>
      </c>
      <c r="W11" s="43">
        <f>SUMIF(Table3[Career Cluster], 'Dashboard Data'!$W$3, Table3[Black] )</f>
        <v>20</v>
      </c>
      <c r="X11" s="43">
        <f>SUMIF(Table3[Career Cluster], 'Dashboard Data'!$X$3, Table3[Black] )</f>
        <v>21</v>
      </c>
      <c r="Y11" s="43">
        <f>SUMIF(Table3[Career Cluster], 'Dashboard Data'!$Y$3, Table3[Black] )</f>
        <v>20</v>
      </c>
      <c r="Z11" s="43">
        <f>SUMIF(Table3[Career Cluster], 'Dashboard Data'!$Z$3, Table3[Black] )</f>
        <v>0</v>
      </c>
      <c r="AA11" s="43">
        <f>SUMIF(Table3[Career Cluster], 'Dashboard Data'!$AA$3, Table3[Black] )</f>
        <v>16</v>
      </c>
      <c r="AB11" s="43">
        <f>SUMIF(Table3[Career Cluster], 'Dashboard Data'!$AB$3, Table3[Black] )</f>
        <v>46</v>
      </c>
      <c r="AC11" s="45"/>
      <c r="AD11" s="41" t="s">
        <v>124</v>
      </c>
      <c r="AE11" s="44">
        <f>M11/(SUMIF(Table3[Career Cluster], 'Dashboard Data'!$AE$3, Table3[Total]))</f>
        <v>0.29032258064516131</v>
      </c>
      <c r="AF11" s="44">
        <f>N11/(SUMIF(Table3[Career Cluster], 'Dashboard Data'!$AF$3, Table3[Total]))</f>
        <v>0.24742268041237114</v>
      </c>
      <c r="AG11" s="44">
        <f>O11/(SUMIF(Table3[Career Cluster], 'Dashboard Data'!$AG$3, Table3[Total]))</f>
        <v>0.20930232558139536</v>
      </c>
      <c r="AH11" s="44">
        <f>P11/(SUMIF(Table3[Career Cluster], 'Dashboard Data'!$AH$3, Table3[Total]))</f>
        <v>0.34343434343434343</v>
      </c>
      <c r="AI11" s="44">
        <f>Q11/(SUMIF(Table3[Career Cluster], 'Dashboard Data'!$AI$3, Table3[Total]))</f>
        <v>0.32653061224489793</v>
      </c>
      <c r="AJ11" s="44">
        <f>R11/(SUMIF(Table3[Career Cluster], 'Dashboard Data'!$AJ$3, Table3[Total]))</f>
        <v>6.8965517241379309E-2</v>
      </c>
      <c r="AK11" s="44" t="e">
        <f>S11/(SUMIF(Table3[Career Cluster], 'Dashboard Data'!$AK$3, Table3[Total]))</f>
        <v>#DIV/0!</v>
      </c>
      <c r="AL11" s="44">
        <f>T11/(SUMIF(Table3[Career Cluster], 'Dashboard Data'!$AL$3, Table3[Total]))</f>
        <v>0.22627737226277372</v>
      </c>
      <c r="AM11" s="44">
        <f>U11/(SUMIF(Table3[Career Cluster], 'Dashboard Data'!$AM$3, Table3[Total]))</f>
        <v>0.21656050955414013</v>
      </c>
      <c r="AN11" s="44">
        <f>V11/(SUMIF(Table3[Career Cluster], 'Dashboard Data'!$AN$3, Table3[Total]))</f>
        <v>0.21212121212121213</v>
      </c>
      <c r="AO11" s="44">
        <f>W11/(SUMIF(Table3[Career Cluster], 'Dashboard Data'!$AO$3, Table3[Total]))</f>
        <v>0.12269938650306748</v>
      </c>
      <c r="AP11" s="44">
        <f>X11/(SUMIF(Table3[Career Cluster], 'Dashboard Data'!$AP$3, Table3[Total]))</f>
        <v>0.33870967741935482</v>
      </c>
      <c r="AQ11" s="44">
        <f>Y11/(SUMIF(Table3[Career Cluster], 'Dashboard Data'!$AQ$3, Table3[Total]))</f>
        <v>0.16949152542372881</v>
      </c>
      <c r="AR11" s="44" t="e">
        <f>Z11/(SUMIF(Table3[Career Cluster], 'Dashboard Data'!$AR$3, Table3[Total]))</f>
        <v>#DIV/0!</v>
      </c>
      <c r="AS11" s="44">
        <f>AA11/(SUMIF(Table3[Career Cluster], 'Dashboard Data'!$AS$3, Table3[Total]))</f>
        <v>0.14678899082568808</v>
      </c>
      <c r="AT11" s="44">
        <f>AB11/(SUMIF(Table3[Career Cluster], 'Dashboard Data'!$AT$3, Table3[Total]))</f>
        <v>0.34848484848484851</v>
      </c>
    </row>
    <row r="12" spans="2:46" x14ac:dyDescent="0.25">
      <c r="B12" s="41" t="s">
        <v>9</v>
      </c>
      <c r="C12" s="42">
        <f>Table3[[#Totals],[% White]]</f>
        <v>0.45279255319148937</v>
      </c>
      <c r="D12" s="42">
        <f>'Comparison Population'!$C$14</f>
        <v>0.35</v>
      </c>
      <c r="E12" s="42" t="str">
        <f>Table35[[#Totals],[
% White]]</f>
        <v/>
      </c>
      <c r="F12" s="42" t="str">
        <f>'Comparison Population'!$E$14</f>
        <v/>
      </c>
      <c r="G12" s="41">
        <f>COUNTIF(Table33[White],"&lt;-.1")</f>
        <v>3</v>
      </c>
      <c r="H12" s="41">
        <f>COUNTIF(Table33[White],"&gt;.1")</f>
        <v>12</v>
      </c>
      <c r="I12" s="41">
        <f>COUNTIF(Table336[White],"&lt;-.1")</f>
        <v>0</v>
      </c>
      <c r="J12" s="41">
        <f>COUNTIF(Table336[White],"&gt;.1")</f>
        <v>0</v>
      </c>
      <c r="L12" s="41" t="s">
        <v>9</v>
      </c>
      <c r="M12" s="43">
        <f>SUMIF(Table3[Career Cluster], 'Dashboard Data'!$M$3, Table3[White] )</f>
        <v>16</v>
      </c>
      <c r="N12" s="43">
        <f>SUMIF(Table3[Career Cluster], 'Dashboard Data'!$N$3, Table3[White] )</f>
        <v>54</v>
      </c>
      <c r="O12" s="43">
        <f>SUMIF(Table3[Career Cluster], 'Dashboard Data'!$O$3, Table3[White] )</f>
        <v>74</v>
      </c>
      <c r="P12" s="43">
        <f>SUMIF(Table3[Career Cluster], 'Dashboard Data'!$P$3, Table3[White] )</f>
        <v>38</v>
      </c>
      <c r="Q12" s="43">
        <f>SUMIF(Table3[Career Cluster], 'Dashboard Data'!$Q$3, Table3[White] )</f>
        <v>12</v>
      </c>
      <c r="R12" s="43">
        <f>SUMIF(Table3[Career Cluster], 'Dashboard Data'!$R$3, Table3[White] )</f>
        <v>37</v>
      </c>
      <c r="S12" s="43">
        <f>SUMIF(Table3[Career Cluster], 'Dashboard Data'!$S$3, Table3[White] )</f>
        <v>0</v>
      </c>
      <c r="T12" s="43">
        <f>SUMIF(Table3[Career Cluster], 'Dashboard Data'!$T$3, Table3[White] )</f>
        <v>57</v>
      </c>
      <c r="U12" s="43">
        <f>SUMIF(Table3[Career Cluster], 'Dashboard Data'!$U$3, Table3[White] )</f>
        <v>50</v>
      </c>
      <c r="V12" s="43">
        <f>SUMIF(Table3[Career Cluster], 'Dashboard Data'!$V$3, Table3[White] )</f>
        <v>63</v>
      </c>
      <c r="W12" s="43">
        <f>SUMIF(Table3[Career Cluster], 'Dashboard Data'!$W$3, Table3[White] )</f>
        <v>93</v>
      </c>
      <c r="X12" s="43">
        <f>SUMIF(Table3[Career Cluster], 'Dashboard Data'!$X$3, Table3[White] )</f>
        <v>31</v>
      </c>
      <c r="Y12" s="43">
        <f>SUMIF(Table3[Career Cluster], 'Dashboard Data'!$Y$3, Table3[White] )</f>
        <v>54</v>
      </c>
      <c r="Z12" s="43">
        <f>SUMIF(Table3[Career Cluster], 'Dashboard Data'!$Z$3, Table3[White] )</f>
        <v>0</v>
      </c>
      <c r="AA12" s="43">
        <f>SUMIF(Table3[Career Cluster], 'Dashboard Data'!$AA$3, Table3[White] )</f>
        <v>57</v>
      </c>
      <c r="AB12" s="43">
        <f>SUMIF(Table3[Career Cluster], 'Dashboard Data'!$AB$3, Table3[White] )</f>
        <v>45</v>
      </c>
      <c r="AC12" s="45"/>
      <c r="AD12" s="41" t="s">
        <v>9</v>
      </c>
      <c r="AE12" s="44">
        <f>M12/(SUMIF(Table3[Career Cluster], 'Dashboard Data'!$AE$3, Table3[Total]))</f>
        <v>0.25806451612903225</v>
      </c>
      <c r="AF12" s="44">
        <f>N12/(SUMIF(Table3[Career Cluster], 'Dashboard Data'!$AF$3, Table3[Total]))</f>
        <v>0.55670103092783507</v>
      </c>
      <c r="AG12" s="44">
        <f>O12/(SUMIF(Table3[Career Cluster], 'Dashboard Data'!$AG$3, Table3[Total]))</f>
        <v>0.5736434108527132</v>
      </c>
      <c r="AH12" s="44">
        <f>P12/(SUMIF(Table3[Career Cluster], 'Dashboard Data'!$AH$3, Table3[Total]))</f>
        <v>0.38383838383838381</v>
      </c>
      <c r="AI12" s="44">
        <f>Q12/(SUMIF(Table3[Career Cluster], 'Dashboard Data'!$AI$3, Table3[Total]))</f>
        <v>0.24489795918367346</v>
      </c>
      <c r="AJ12" s="44">
        <f>R12/(SUMIF(Table3[Career Cluster], 'Dashboard Data'!$AJ$3, Table3[Total]))</f>
        <v>0.63793103448275867</v>
      </c>
      <c r="AK12" s="44" t="e">
        <f>S12/(SUMIF(Table3[Career Cluster], 'Dashboard Data'!$AK$3, Table3[Total]))</f>
        <v>#DIV/0!</v>
      </c>
      <c r="AL12" s="44">
        <f>T12/(SUMIF(Table3[Career Cluster], 'Dashboard Data'!$AL$3, Table3[Total]))</f>
        <v>0.41605839416058393</v>
      </c>
      <c r="AM12" s="44">
        <f>U12/(SUMIF(Table3[Career Cluster], 'Dashboard Data'!$AM$3, Table3[Total]))</f>
        <v>0.31847133757961782</v>
      </c>
      <c r="AN12" s="44">
        <f>V12/(SUMIF(Table3[Career Cluster], 'Dashboard Data'!$AN$3, Table3[Total]))</f>
        <v>0.47727272727272729</v>
      </c>
      <c r="AO12" s="44">
        <f>W12/(SUMIF(Table3[Career Cluster], 'Dashboard Data'!$AO$3, Table3[Total]))</f>
        <v>0.57055214723926384</v>
      </c>
      <c r="AP12" s="44">
        <f>X12/(SUMIF(Table3[Career Cluster], 'Dashboard Data'!$AP$3, Table3[Total]))</f>
        <v>0.5</v>
      </c>
      <c r="AQ12" s="44">
        <f>Y12/(SUMIF(Table3[Career Cluster], 'Dashboard Data'!$AQ$3, Table3[Total]))</f>
        <v>0.4576271186440678</v>
      </c>
      <c r="AR12" s="44" t="e">
        <f>Z12/(SUMIF(Table3[Career Cluster], 'Dashboard Data'!$AR$3, Table3[Total]))</f>
        <v>#DIV/0!</v>
      </c>
      <c r="AS12" s="44">
        <f>AA12/(SUMIF(Table3[Career Cluster], 'Dashboard Data'!$AS$3, Table3[Total]))</f>
        <v>0.52293577981651373</v>
      </c>
      <c r="AT12" s="44">
        <f>AB12/(SUMIF(Table3[Career Cluster], 'Dashboard Data'!$AT$3, Table3[Total]))</f>
        <v>0.34090909090909088</v>
      </c>
    </row>
    <row r="13" spans="2:46" hidden="1" x14ac:dyDescent="0.25">
      <c r="B13" s="41" t="s">
        <v>125</v>
      </c>
      <c r="C13" s="42">
        <f>Table3[[#Totals],[
% H/PI]]</f>
        <v>0</v>
      </c>
      <c r="D13" s="42">
        <f>'Comparison Population'!$C$15</f>
        <v>0</v>
      </c>
      <c r="E13" s="42" t="str">
        <f>Table35[[#Totals],[
% H/PI]]</f>
        <v/>
      </c>
      <c r="F13" s="42" t="str">
        <f>'Comparison Population'!$E$15</f>
        <v/>
      </c>
      <c r="G13" s="41">
        <f>COUNTIF(Table33[H/PI],"&lt;-.1")</f>
        <v>0</v>
      </c>
      <c r="H13" s="41">
        <f>COUNTIF(Table33[H/PI],"&gt;.1")</f>
        <v>0</v>
      </c>
      <c r="I13" s="41">
        <f>COUNTIF(Table336[H/PI],"&lt;-.1")</f>
        <v>0</v>
      </c>
      <c r="J13" s="41">
        <f>COUNTIF(Table336[H/PI],"&gt;.1")</f>
        <v>0</v>
      </c>
      <c r="L13" s="41" t="s">
        <v>125</v>
      </c>
      <c r="M13" s="43">
        <f>SUMIF(Table3[Career Cluster], 'Dashboard Data'!$M$3, Table3[H/PI] )</f>
        <v>0</v>
      </c>
      <c r="N13" s="43">
        <f>SUMIF(Table3[Career Cluster], 'Dashboard Data'!$N$3, Table3[H/PI] )</f>
        <v>0</v>
      </c>
      <c r="O13" s="43">
        <f>SUMIF(Table3[Career Cluster], 'Dashboard Data'!$O$3, Table3[H/PI] )</f>
        <v>0</v>
      </c>
      <c r="P13" s="43">
        <f>SUMIF(Table3[Career Cluster], 'Dashboard Data'!$P$3, Table3[H/PI] )</f>
        <v>0</v>
      </c>
      <c r="Q13" s="43">
        <f>SUMIF(Table3[Career Cluster], 'Dashboard Data'!$Q$3, Table3[H/PI] )</f>
        <v>0</v>
      </c>
      <c r="R13" s="43">
        <f>SUMIF(Table3[Career Cluster], 'Dashboard Data'!$R$3, Table3[H/PI] )</f>
        <v>0</v>
      </c>
      <c r="S13" s="43">
        <f>SUMIF(Table3[Career Cluster], 'Dashboard Data'!$S$3, Table3[H/PI] )</f>
        <v>0</v>
      </c>
      <c r="T13" s="43">
        <f>SUMIF(Table3[Career Cluster], 'Dashboard Data'!$T$3, Table3[H/PI] )</f>
        <v>0</v>
      </c>
      <c r="U13" s="43">
        <f>SUMIF(Table3[Career Cluster], 'Dashboard Data'!$U$3, Table3[H/PI] )</f>
        <v>0</v>
      </c>
      <c r="V13" s="43">
        <f>SUMIF(Table3[Career Cluster], 'Dashboard Data'!$V$3, Table3[H/PI] )</f>
        <v>0</v>
      </c>
      <c r="W13" s="43">
        <f>SUMIF(Table3[Career Cluster], 'Dashboard Data'!$W$3, Table3[H/PI] )</f>
        <v>0</v>
      </c>
      <c r="X13" s="43">
        <f>SUMIF(Table3[Career Cluster], 'Dashboard Data'!$X$3, Table3[H/PI] )</f>
        <v>0</v>
      </c>
      <c r="Y13" s="43">
        <f>SUMIF(Table3[Career Cluster], 'Dashboard Data'!$Y$3, Table3[H/PI] )</f>
        <v>0</v>
      </c>
      <c r="Z13" s="43">
        <f>SUMIF(Table3[Career Cluster], 'Dashboard Data'!$Z$3, Table3[H/PI] )</f>
        <v>0</v>
      </c>
      <c r="AA13" s="43">
        <f>SUMIF(Table3[Career Cluster], 'Dashboard Data'!$AA$3, Table3[H/PI] )</f>
        <v>0</v>
      </c>
      <c r="AB13" s="43">
        <f>SUMIF(Table3[Career Cluster], 'Dashboard Data'!$AB$3, Table3[H/PI] )</f>
        <v>0</v>
      </c>
      <c r="AC13" s="45"/>
      <c r="AD13" s="41" t="s">
        <v>125</v>
      </c>
      <c r="AE13" s="44">
        <f>M13/(SUMIF(Table3[Career Cluster], 'Dashboard Data'!$AE$3, Table3[Total]))</f>
        <v>0</v>
      </c>
      <c r="AF13" s="44">
        <f>N13/(SUMIF(Table3[Career Cluster], 'Dashboard Data'!$AF$3, Table3[Total]))</f>
        <v>0</v>
      </c>
      <c r="AG13" s="44">
        <f>O13/(SUMIF(Table3[Career Cluster], 'Dashboard Data'!$AG$3, Table3[Total]))</f>
        <v>0</v>
      </c>
      <c r="AH13" s="44">
        <f>P13/(SUMIF(Table3[Career Cluster], 'Dashboard Data'!$AH$3, Table3[Total]))</f>
        <v>0</v>
      </c>
      <c r="AI13" s="44">
        <f>Q13/(SUMIF(Table3[Career Cluster], 'Dashboard Data'!$AI$3, Table3[Total]))</f>
        <v>0</v>
      </c>
      <c r="AJ13" s="44">
        <f>R13/(SUMIF(Table3[Career Cluster], 'Dashboard Data'!$AJ$3, Table3[Total]))</f>
        <v>0</v>
      </c>
      <c r="AK13" s="44" t="e">
        <f>S13/(SUMIF(Table3[Career Cluster], 'Dashboard Data'!$AK$3, Table3[Total]))</f>
        <v>#DIV/0!</v>
      </c>
      <c r="AL13" s="44">
        <f>T13/(SUMIF(Table3[Career Cluster], 'Dashboard Data'!$AL$3, Table3[Total]))</f>
        <v>0</v>
      </c>
      <c r="AM13" s="44">
        <f>U13/(SUMIF(Table3[Career Cluster], 'Dashboard Data'!$AM$3, Table3[Total]))</f>
        <v>0</v>
      </c>
      <c r="AN13" s="44">
        <f>V13/(SUMIF(Table3[Career Cluster], 'Dashboard Data'!$AN$3, Table3[Total]))</f>
        <v>0</v>
      </c>
      <c r="AO13" s="44">
        <f>W13/(SUMIF(Table3[Career Cluster], 'Dashboard Data'!$AO$3, Table3[Total]))</f>
        <v>0</v>
      </c>
      <c r="AP13" s="44">
        <f>X13/(SUMIF(Table3[Career Cluster], 'Dashboard Data'!$AP$3, Table3[Total]))</f>
        <v>0</v>
      </c>
      <c r="AQ13" s="44">
        <f>Y13/(SUMIF(Table3[Career Cluster], 'Dashboard Data'!$AQ$3, Table3[Total]))</f>
        <v>0</v>
      </c>
      <c r="AR13" s="44" t="e">
        <f>Z13/(SUMIF(Table3[Career Cluster], 'Dashboard Data'!$AR$3, Table3[Total]))</f>
        <v>#DIV/0!</v>
      </c>
      <c r="AS13" s="44">
        <f>AA13/(SUMIF(Table3[Career Cluster], 'Dashboard Data'!$AS$3, Table3[Total]))</f>
        <v>0</v>
      </c>
      <c r="AT13" s="44">
        <f>AB13/(SUMIF(Table3[Career Cluster], 'Dashboard Data'!$AT$3, Table3[Total]))</f>
        <v>0</v>
      </c>
    </row>
    <row r="14" spans="2:46" hidden="1" x14ac:dyDescent="0.25">
      <c r="B14" s="41" t="s">
        <v>126</v>
      </c>
      <c r="C14" s="42">
        <f>Table3[[#Totals],[
% Multi]]</f>
        <v>0</v>
      </c>
      <c r="D14" s="42">
        <f>'Comparison Population'!$C$16</f>
        <v>0</v>
      </c>
      <c r="E14" s="42" t="str">
        <f>Table35[[#Totals],[
% Multi]]</f>
        <v/>
      </c>
      <c r="F14" s="42" t="str">
        <f>'Comparison Population'!$E$16</f>
        <v/>
      </c>
      <c r="G14" s="41">
        <f>COUNTIF(Table33[Multi],"&lt;-.1")</f>
        <v>0</v>
      </c>
      <c r="H14" s="41">
        <f>COUNTIF(Table33[Multi],"&gt;.1")</f>
        <v>0</v>
      </c>
      <c r="I14" s="41">
        <f>COUNTIF(Table336[Multi],"&lt;-.1")</f>
        <v>0</v>
      </c>
      <c r="J14" s="41">
        <f>COUNTIF(Table336[Multi],"&gt;.1")</f>
        <v>0</v>
      </c>
      <c r="L14" s="41" t="s">
        <v>126</v>
      </c>
      <c r="M14" s="43">
        <f>SUMIF(Table3[Career Cluster], 'Dashboard Data'!$M$3, Table3[Multi] )</f>
        <v>0</v>
      </c>
      <c r="N14" s="43">
        <f>SUMIF(Table3[Career Cluster], 'Dashboard Data'!$N$3, Table3[Multi] )</f>
        <v>0</v>
      </c>
      <c r="O14" s="43">
        <f>SUMIF(Table3[Career Cluster], 'Dashboard Data'!$O$3, Table3[Multi] )</f>
        <v>0</v>
      </c>
      <c r="P14" s="43">
        <f>SUMIF(Table3[Career Cluster], 'Dashboard Data'!$P$3, Table3[Multi] )</f>
        <v>0</v>
      </c>
      <c r="Q14" s="43">
        <f>SUMIF(Table3[Career Cluster], 'Dashboard Data'!$Q$3, Table3[Multi] )</f>
        <v>0</v>
      </c>
      <c r="R14" s="43">
        <f>SUMIF(Table3[Career Cluster], 'Dashboard Data'!$R$3, Table3[Multi] )</f>
        <v>0</v>
      </c>
      <c r="S14" s="43">
        <f>SUMIF(Table3[Career Cluster], 'Dashboard Data'!$S$3, Table3[Multi] )</f>
        <v>0</v>
      </c>
      <c r="T14" s="43">
        <f>SUMIF(Table3[Career Cluster], 'Dashboard Data'!$T$3, Table3[Multi] )</f>
        <v>0</v>
      </c>
      <c r="U14" s="43">
        <f>SUMIF(Table3[Career Cluster], 'Dashboard Data'!$U$3, Table3[Multi] )</f>
        <v>0</v>
      </c>
      <c r="V14" s="43">
        <f>SUMIF(Table3[Career Cluster], 'Dashboard Data'!$V$3, Table3[Multi] )</f>
        <v>0</v>
      </c>
      <c r="W14" s="43">
        <f>SUMIF(Table3[Career Cluster], 'Dashboard Data'!$W$3, Table3[Multi] )</f>
        <v>0</v>
      </c>
      <c r="X14" s="43">
        <f>SUMIF(Table3[Career Cluster], 'Dashboard Data'!$X$3, Table3[Multi] )</f>
        <v>0</v>
      </c>
      <c r="Y14" s="43">
        <f>SUMIF(Table3[Career Cluster], 'Dashboard Data'!$Y$3, Table3[Multi] )</f>
        <v>0</v>
      </c>
      <c r="Z14" s="43">
        <f>SUMIF(Table3[Career Cluster], 'Dashboard Data'!$Z$3, Table3[Multi] )</f>
        <v>0</v>
      </c>
      <c r="AA14" s="43">
        <f>SUMIF(Table3[Career Cluster], 'Dashboard Data'!$AA$3, Table3[Multi] )</f>
        <v>0</v>
      </c>
      <c r="AB14" s="43">
        <f>SUMIF(Table3[Career Cluster], 'Dashboard Data'!$AB$3, Table3[Multi] )</f>
        <v>0</v>
      </c>
      <c r="AC14" s="45"/>
      <c r="AD14" s="41" t="s">
        <v>126</v>
      </c>
      <c r="AE14" s="44">
        <f>M14/(SUMIF(Table3[Career Cluster], 'Dashboard Data'!$AE$3, Table3[Total]))</f>
        <v>0</v>
      </c>
      <c r="AF14" s="44">
        <f>N14/(SUMIF(Table3[Career Cluster], 'Dashboard Data'!$AF$3, Table3[Total]))</f>
        <v>0</v>
      </c>
      <c r="AG14" s="44">
        <f>O14/(SUMIF(Table3[Career Cluster], 'Dashboard Data'!$AG$3, Table3[Total]))</f>
        <v>0</v>
      </c>
      <c r="AH14" s="44">
        <f>P14/(SUMIF(Table3[Career Cluster], 'Dashboard Data'!$AH$3, Table3[Total]))</f>
        <v>0</v>
      </c>
      <c r="AI14" s="44">
        <f>Q14/(SUMIF(Table3[Career Cluster], 'Dashboard Data'!$AI$3, Table3[Total]))</f>
        <v>0</v>
      </c>
      <c r="AJ14" s="44">
        <f>R14/(SUMIF(Table3[Career Cluster], 'Dashboard Data'!$AJ$3, Table3[Total]))</f>
        <v>0</v>
      </c>
      <c r="AK14" s="44" t="e">
        <f>S14/(SUMIF(Table3[Career Cluster], 'Dashboard Data'!$AK$3, Table3[Total]))</f>
        <v>#DIV/0!</v>
      </c>
      <c r="AL14" s="44">
        <f>T14/(SUMIF(Table3[Career Cluster], 'Dashboard Data'!$AL$3, Table3[Total]))</f>
        <v>0</v>
      </c>
      <c r="AM14" s="44">
        <f>U14/(SUMIF(Table3[Career Cluster], 'Dashboard Data'!$AM$3, Table3[Total]))</f>
        <v>0</v>
      </c>
      <c r="AN14" s="44">
        <f>V14/(SUMIF(Table3[Career Cluster], 'Dashboard Data'!$AN$3, Table3[Total]))</f>
        <v>0</v>
      </c>
      <c r="AO14" s="44">
        <f>W14/(SUMIF(Table3[Career Cluster], 'Dashboard Data'!$AO$3, Table3[Total]))</f>
        <v>0</v>
      </c>
      <c r="AP14" s="44">
        <f>X14/(SUMIF(Table3[Career Cluster], 'Dashboard Data'!$AP$3, Table3[Total]))</f>
        <v>0</v>
      </c>
      <c r="AQ14" s="44">
        <f>Y14/(SUMIF(Table3[Career Cluster], 'Dashboard Data'!$AQ$3, Table3[Total]))</f>
        <v>0</v>
      </c>
      <c r="AR14" s="44" t="e">
        <f>Z14/(SUMIF(Table3[Career Cluster], 'Dashboard Data'!$AR$3, Table3[Total]))</f>
        <v>#DIV/0!</v>
      </c>
      <c r="AS14" s="44">
        <f>AA14/(SUMIF(Table3[Career Cluster], 'Dashboard Data'!$AS$3, Table3[Total]))</f>
        <v>0</v>
      </c>
      <c r="AT14" s="44">
        <f>AB14/(SUMIF(Table3[Career Cluster], 'Dashboard Data'!$AT$3, Table3[Total]))</f>
        <v>0</v>
      </c>
    </row>
    <row r="15" spans="2:46" hidden="1" x14ac:dyDescent="0.25">
      <c r="B15" s="41" t="s">
        <v>17</v>
      </c>
      <c r="C15" s="42">
        <f>Table3[[#Totals],[% Unknown]]</f>
        <v>0</v>
      </c>
      <c r="D15" s="42">
        <f>'Comparison Population'!$C$17</f>
        <v>0</v>
      </c>
      <c r="E15" s="42" t="str">
        <f>Table35[[#Totals],[% Unknown]]</f>
        <v/>
      </c>
      <c r="F15" s="42" t="str">
        <f>'Comparison Population'!$E$17</f>
        <v/>
      </c>
      <c r="G15" s="41">
        <f>COUNTIF(Table33[Unknown], "&lt;-.1")</f>
        <v>0</v>
      </c>
      <c r="H15" s="41">
        <f>COUNTIF(Table33[Unknown], "&gt;.1")</f>
        <v>0</v>
      </c>
      <c r="I15" s="41">
        <f>COUNTIF(Table336[Unknown], "&lt;-.1")</f>
        <v>0</v>
      </c>
      <c r="J15" s="41">
        <f>COUNTIF(Table336[Unknown], "&gt;.1")</f>
        <v>0</v>
      </c>
      <c r="L15" s="41" t="s">
        <v>17</v>
      </c>
      <c r="M15" s="43">
        <f>SUMIF(Table3[Career Cluster], 'Dashboard Data'!$M$3, Table3[Unknown] )</f>
        <v>0</v>
      </c>
      <c r="N15" s="43">
        <f>SUMIF(Table3[Career Cluster], 'Dashboard Data'!$N$3, Table3[Unknown] )</f>
        <v>0</v>
      </c>
      <c r="O15" s="43">
        <f>SUMIF(Table3[Career Cluster], 'Dashboard Data'!$O$3, Table3[Unknown] )</f>
        <v>0</v>
      </c>
      <c r="P15" s="43">
        <f>SUMIF(Table3[Career Cluster], 'Dashboard Data'!$P$3, Table3[Unknown] )</f>
        <v>0</v>
      </c>
      <c r="Q15" s="43">
        <f>SUMIF(Table3[Career Cluster], 'Dashboard Data'!$Q$3, Table3[Unknown] )</f>
        <v>0</v>
      </c>
      <c r="R15" s="43">
        <f>SUMIF(Table3[Career Cluster], 'Dashboard Data'!$R$3, Table3[Unknown] )</f>
        <v>0</v>
      </c>
      <c r="S15" s="43">
        <f>SUMIF(Table3[Career Cluster], 'Dashboard Data'!$S$3, Table3[Unknown] )</f>
        <v>0</v>
      </c>
      <c r="T15" s="43">
        <f>SUMIF(Table3[Career Cluster], 'Dashboard Data'!$T$3, Table3[Unknown] )</f>
        <v>0</v>
      </c>
      <c r="U15" s="43">
        <f>SUMIF(Table3[Career Cluster], 'Dashboard Data'!$U$3, Table3[Unknown] )</f>
        <v>0</v>
      </c>
      <c r="V15" s="43">
        <f>SUMIF(Table3[Career Cluster], 'Dashboard Data'!$V$3, Table3[Unknown] )</f>
        <v>0</v>
      </c>
      <c r="W15" s="43">
        <f>SUMIF(Table3[Career Cluster], 'Dashboard Data'!$W$3, Table3[Unknown] )</f>
        <v>0</v>
      </c>
      <c r="X15" s="43">
        <f>SUMIF(Table3[Career Cluster], 'Dashboard Data'!$X$3, Table3[Unknown] )</f>
        <v>0</v>
      </c>
      <c r="Y15" s="43">
        <f>SUMIF(Table3[Career Cluster], 'Dashboard Data'!$Y$3, Table3[Unknown] )</f>
        <v>0</v>
      </c>
      <c r="Z15" s="43">
        <f>SUMIF(Table3[Career Cluster], 'Dashboard Data'!$Z$3, Table3[Unknown] )</f>
        <v>0</v>
      </c>
      <c r="AA15" s="43">
        <f>SUMIF(Table3[Career Cluster], 'Dashboard Data'!$AA$3, Table3[Unknown] )</f>
        <v>0</v>
      </c>
      <c r="AB15" s="43">
        <f>SUMIF(Table3[Career Cluster], 'Dashboard Data'!$AB$3, Table3[Unknown] )</f>
        <v>0</v>
      </c>
      <c r="AC15" s="45"/>
      <c r="AD15" s="41" t="s">
        <v>17</v>
      </c>
      <c r="AE15" s="44">
        <f>M15/(SUMIF(Table3[Career Cluster], 'Dashboard Data'!$AE$3, Table3[Total]))</f>
        <v>0</v>
      </c>
      <c r="AF15" s="44">
        <f>N15/(SUMIF(Table3[Career Cluster], 'Dashboard Data'!$AF$3, Table3[Total]))</f>
        <v>0</v>
      </c>
      <c r="AG15" s="44">
        <f>O15/(SUMIF(Table3[Career Cluster], 'Dashboard Data'!$AG$3, Table3[Total]))</f>
        <v>0</v>
      </c>
      <c r="AH15" s="44">
        <f>P15/(SUMIF(Table3[Career Cluster], 'Dashboard Data'!$AH$3, Table3[Total]))</f>
        <v>0</v>
      </c>
      <c r="AI15" s="44">
        <f>Q15/(SUMIF(Table3[Career Cluster], 'Dashboard Data'!$AI$3, Table3[Total]))</f>
        <v>0</v>
      </c>
      <c r="AJ15" s="44">
        <f>R15/(SUMIF(Table3[Career Cluster], 'Dashboard Data'!$AJ$3, Table3[Total]))</f>
        <v>0</v>
      </c>
      <c r="AK15" s="44" t="e">
        <f>S15/(SUMIF(Table3[Career Cluster], 'Dashboard Data'!$AK$3, Table3[Total]))</f>
        <v>#DIV/0!</v>
      </c>
      <c r="AL15" s="44">
        <f>T15/(SUMIF(Table3[Career Cluster], 'Dashboard Data'!$AL$3, Table3[Total]))</f>
        <v>0</v>
      </c>
      <c r="AM15" s="44">
        <f>U15/(SUMIF(Table3[Career Cluster], 'Dashboard Data'!$AM$3, Table3[Total]))</f>
        <v>0</v>
      </c>
      <c r="AN15" s="44">
        <f>V15/(SUMIF(Table3[Career Cluster], 'Dashboard Data'!$AN$3, Table3[Total]))</f>
        <v>0</v>
      </c>
      <c r="AO15" s="44">
        <f>W15/(SUMIF(Table3[Career Cluster], 'Dashboard Data'!$AO$3, Table3[Total]))</f>
        <v>0</v>
      </c>
      <c r="AP15" s="44">
        <f>X15/(SUMIF(Table3[Career Cluster], 'Dashboard Data'!$AP$3, Table3[Total]))</f>
        <v>0</v>
      </c>
      <c r="AQ15" s="44">
        <f>Y15/(SUMIF(Table3[Career Cluster], 'Dashboard Data'!$AQ$3, Table3[Total]))</f>
        <v>0</v>
      </c>
      <c r="AR15" s="44" t="e">
        <f>Z15/(SUMIF(Table3[Career Cluster], 'Dashboard Data'!$AR$3, Table3[Total]))</f>
        <v>#DIV/0!</v>
      </c>
      <c r="AS15" s="44">
        <f>AA15/(SUMIF(Table3[Career Cluster], 'Dashboard Data'!$AS$3, Table3[Total]))</f>
        <v>0</v>
      </c>
      <c r="AT15" s="44">
        <f>AB15/(SUMIF(Table3[Career Cluster], 'Dashboard Data'!$AT$3, Table3[Total]))</f>
        <v>0</v>
      </c>
    </row>
    <row r="16" spans="2:46" x14ac:dyDescent="0.25">
      <c r="B16" s="41"/>
      <c r="C16" s="41" t="s">
        <v>99</v>
      </c>
      <c r="D16" s="41" t="s">
        <v>100</v>
      </c>
      <c r="E16" s="41" t="s">
        <v>101</v>
      </c>
      <c r="F16" s="41" t="s">
        <v>102</v>
      </c>
      <c r="G16" s="41" t="s">
        <v>103</v>
      </c>
      <c r="H16" s="41" t="s">
        <v>104</v>
      </c>
      <c r="I16" s="41" t="s">
        <v>105</v>
      </c>
      <c r="J16" s="41" t="s">
        <v>106</v>
      </c>
      <c r="L16" s="41"/>
      <c r="M16" s="43"/>
      <c r="N16" s="43"/>
      <c r="O16" s="43"/>
      <c r="P16" s="43"/>
      <c r="Q16" s="43"/>
      <c r="R16" s="43"/>
      <c r="S16" s="43"/>
      <c r="T16" s="43"/>
      <c r="U16" s="43"/>
      <c r="V16" s="43"/>
      <c r="W16" s="43"/>
      <c r="X16" s="43"/>
      <c r="Y16" s="43"/>
      <c r="Z16" s="43"/>
      <c r="AA16" s="43"/>
      <c r="AB16" s="43"/>
      <c r="AC16" s="45"/>
      <c r="AD16" s="41"/>
      <c r="AE16" s="44"/>
      <c r="AF16" s="44"/>
      <c r="AG16" s="44"/>
      <c r="AH16" s="44"/>
      <c r="AI16" s="44"/>
      <c r="AJ16" s="44"/>
      <c r="AK16" s="44"/>
      <c r="AL16" s="44"/>
      <c r="AM16" s="44"/>
      <c r="AN16" s="44"/>
      <c r="AO16" s="44"/>
      <c r="AP16" s="44"/>
      <c r="AQ16" s="44"/>
      <c r="AR16" s="44"/>
      <c r="AS16" s="44"/>
      <c r="AT16" s="44"/>
    </row>
    <row r="17" spans="2:46" x14ac:dyDescent="0.25">
      <c r="B17" s="41" t="s">
        <v>54</v>
      </c>
      <c r="C17" s="42">
        <f>Table3[[#Totals],[% Dis]]</f>
        <v>0.19813829787234041</v>
      </c>
      <c r="D17" s="42">
        <f>'Comparison Population'!$C$19</f>
        <v>0.14000000000000001</v>
      </c>
      <c r="E17" s="42" t="str">
        <f>Table35[[#Totals],[% Dis]]</f>
        <v/>
      </c>
      <c r="F17" s="42" t="str">
        <f>'Comparison Population'!$E$19</f>
        <v/>
      </c>
      <c r="G17" s="41">
        <f>COUNTIF(Table33[Dis], "&lt;-.1")</f>
        <v>7</v>
      </c>
      <c r="H17" s="41">
        <f>COUNTIF(Table33[Dis], "&gt;.1")</f>
        <v>10</v>
      </c>
      <c r="I17" s="41">
        <f>COUNTIF(Table336[Dis], "&lt;-.1")</f>
        <v>0</v>
      </c>
      <c r="J17" s="41">
        <f>COUNTIF(Table336[Dis], "&gt;.1")</f>
        <v>0</v>
      </c>
      <c r="L17" s="41" t="s">
        <v>54</v>
      </c>
      <c r="M17" s="43">
        <f>SUMIF(Table3[Career Cluster], 'Dashboard Data'!$M$3, Table3[Dis] )</f>
        <v>44</v>
      </c>
      <c r="N17" s="43">
        <f>SUMIF(Table3[Career Cluster], 'Dashboard Data'!$N$3, Table3[Dis] )</f>
        <v>17</v>
      </c>
      <c r="O17" s="43">
        <f>SUMIF(Table3[Career Cluster], 'Dashboard Data'!$O$3, Table3[Dis] )</f>
        <v>15</v>
      </c>
      <c r="P17" s="43">
        <f>SUMIF(Table3[Career Cluster], 'Dashboard Data'!$P$3, Table3[Dis] )</f>
        <v>26</v>
      </c>
      <c r="Q17" s="43">
        <f>SUMIF(Table3[Career Cluster], 'Dashboard Data'!$Q$3, Table3[Dis] )</f>
        <v>24</v>
      </c>
      <c r="R17" s="43">
        <f>SUMIF(Table3[Career Cluster], 'Dashboard Data'!$R$3, Table3[Dis] )</f>
        <v>3</v>
      </c>
      <c r="S17" s="43">
        <f>SUMIF(Table3[Career Cluster], 'Dashboard Data'!$S$3, Table3[Dis] )</f>
        <v>0</v>
      </c>
      <c r="T17" s="43">
        <f>SUMIF(Table3[Career Cluster], 'Dashboard Data'!$T$3, Table3[Dis] )</f>
        <v>33</v>
      </c>
      <c r="U17" s="43">
        <f>SUMIF(Table3[Career Cluster], 'Dashboard Data'!$U$3, Table3[Dis] )</f>
        <v>43</v>
      </c>
      <c r="V17" s="43">
        <f>SUMIF(Table3[Career Cluster], 'Dashboard Data'!$V$3, Table3[Dis] )</f>
        <v>55</v>
      </c>
      <c r="W17" s="43">
        <f>SUMIF(Table3[Career Cluster], 'Dashboard Data'!$W$3, Table3[Dis] )</f>
        <v>3</v>
      </c>
      <c r="X17" s="43">
        <f>SUMIF(Table3[Career Cluster], 'Dashboard Data'!$X$3, Table3[Dis] )</f>
        <v>2</v>
      </c>
      <c r="Y17" s="43">
        <f>SUMIF(Table3[Career Cluster], 'Dashboard Data'!$Y$3, Table3[Dis] )</f>
        <v>6</v>
      </c>
      <c r="Z17" s="43">
        <f>SUMIF(Table3[Career Cluster], 'Dashboard Data'!$Z$3, Table3[Dis] )</f>
        <v>0</v>
      </c>
      <c r="AA17" s="43">
        <f>SUMIF(Table3[Career Cluster], 'Dashboard Data'!$AA$3, Table3[Dis] )</f>
        <v>3</v>
      </c>
      <c r="AB17" s="43">
        <f>SUMIF(Table3[Career Cluster], 'Dashboard Data'!$AB$3, Table3[Dis] )</f>
        <v>24</v>
      </c>
      <c r="AC17" s="45"/>
      <c r="AD17" s="41" t="s">
        <v>54</v>
      </c>
      <c r="AE17" s="44">
        <f>M17/(SUMIF(Table3[Career Cluster], 'Dashboard Data'!$AE$3, Table3[Total]))</f>
        <v>0.70967741935483875</v>
      </c>
      <c r="AF17" s="44">
        <f>N17/(SUMIF(Table3[Career Cluster], 'Dashboard Data'!$AF$3, Table3[Total]))</f>
        <v>0.17525773195876287</v>
      </c>
      <c r="AG17" s="44">
        <f>O17/(SUMIF(Table3[Career Cluster], 'Dashboard Data'!$AG$3, Table3[Total]))</f>
        <v>0.11627906976744186</v>
      </c>
      <c r="AH17" s="44">
        <f>P17/(SUMIF(Table3[Career Cluster], 'Dashboard Data'!$AH$3, Table3[Total]))</f>
        <v>0.26262626262626265</v>
      </c>
      <c r="AI17" s="44">
        <f>Q17/(SUMIF(Table3[Career Cluster], 'Dashboard Data'!$AI$3, Table3[Total]))</f>
        <v>0.48979591836734693</v>
      </c>
      <c r="AJ17" s="44">
        <f>R17/(SUMIF(Table3[Career Cluster], 'Dashboard Data'!$AJ$3, Table3[Total]))</f>
        <v>5.1724137931034482E-2</v>
      </c>
      <c r="AK17" s="44" t="e">
        <f>S17/(SUMIF(Table3[Career Cluster], 'Dashboard Data'!$AK$3, Table3[Total]))</f>
        <v>#DIV/0!</v>
      </c>
      <c r="AL17" s="44">
        <f>T17/(SUMIF(Table3[Career Cluster], 'Dashboard Data'!$AL$3, Table3[Total]))</f>
        <v>0.24087591240875914</v>
      </c>
      <c r="AM17" s="44">
        <f>U17/(SUMIF(Table3[Career Cluster], 'Dashboard Data'!$AM$3, Table3[Total]))</f>
        <v>0.27388535031847133</v>
      </c>
      <c r="AN17" s="44">
        <f>V17/(SUMIF(Table3[Career Cluster], 'Dashboard Data'!$AN$3, Table3[Total]))</f>
        <v>0.41666666666666669</v>
      </c>
      <c r="AO17" s="44">
        <f>W17/(SUMIF(Table3[Career Cluster], 'Dashboard Data'!$AO$3, Table3[Total]))</f>
        <v>1.8404907975460124E-2</v>
      </c>
      <c r="AP17" s="44">
        <f>X17/(SUMIF(Table3[Career Cluster], 'Dashboard Data'!$AP$3, Table3[Total]))</f>
        <v>3.2258064516129031E-2</v>
      </c>
      <c r="AQ17" s="44">
        <f>Y17/(SUMIF(Table3[Career Cluster], 'Dashboard Data'!$AQ$3, Table3[Total]))</f>
        <v>5.0847457627118647E-2</v>
      </c>
      <c r="AR17" s="44" t="e">
        <f>Z17/(SUMIF(Table3[Career Cluster], 'Dashboard Data'!$AR$3, Table3[Total]))</f>
        <v>#DIV/0!</v>
      </c>
      <c r="AS17" s="44">
        <f>AA17/(SUMIF(Table3[Career Cluster], 'Dashboard Data'!$AS$3, Table3[Total]))</f>
        <v>2.7522935779816515E-2</v>
      </c>
      <c r="AT17" s="44">
        <f>AB17/(SUMIF(Table3[Career Cluster], 'Dashboard Data'!$AT$3, Table3[Total]))</f>
        <v>0.18181818181818182</v>
      </c>
    </row>
    <row r="18" spans="2:46" x14ac:dyDescent="0.25">
      <c r="B18" s="41" t="s">
        <v>57</v>
      </c>
      <c r="C18" s="42">
        <f>Table3[[#Totals],[%ED]]</f>
        <v>0.51196808510638303</v>
      </c>
      <c r="D18" s="42">
        <f>'Comparison Population'!$C$20</f>
        <v>0.38619205298013243</v>
      </c>
      <c r="E18" s="42" t="str">
        <f>Table35[[#Totals],[%ED]]</f>
        <v/>
      </c>
      <c r="F18" s="42" t="str">
        <f>'Comparison Population'!$E$20</f>
        <v/>
      </c>
      <c r="G18" s="41">
        <f>COUNTIF(Table33[ED], "&lt;-.1")</f>
        <v>0</v>
      </c>
      <c r="H18" s="41">
        <f>COUNTIF(Table33[ED], "&gt;.1")</f>
        <v>16</v>
      </c>
      <c r="I18" s="41">
        <f>COUNTIF(Table336[ED], "&lt;-.1")</f>
        <v>0</v>
      </c>
      <c r="J18" s="41">
        <f>COUNTIF(Table336[ED], "&gt;.1")</f>
        <v>0</v>
      </c>
      <c r="L18" s="41" t="s">
        <v>57</v>
      </c>
      <c r="M18" s="43">
        <f>SUMIF(Table3[Career Cluster], 'Dashboard Data'!$M$3, Table3[ED] )</f>
        <v>44</v>
      </c>
      <c r="N18" s="43">
        <f>SUMIF(Table3[Career Cluster], 'Dashboard Data'!$N$3, Table3[ED] )</f>
        <v>38</v>
      </c>
      <c r="O18" s="43">
        <f>SUMIF(Table3[Career Cluster], 'Dashboard Data'!$O$3, Table3[ED] )</f>
        <v>52</v>
      </c>
      <c r="P18" s="43">
        <f>SUMIF(Table3[Career Cluster], 'Dashboard Data'!$P$3, Table3[ED] )</f>
        <v>59</v>
      </c>
      <c r="Q18" s="43">
        <f>SUMIF(Table3[Career Cluster], 'Dashboard Data'!$Q$3, Table3[ED] )</f>
        <v>32</v>
      </c>
      <c r="R18" s="43">
        <f>SUMIF(Table3[Career Cluster], 'Dashboard Data'!$R$3, Table3[ED] )</f>
        <v>32</v>
      </c>
      <c r="S18" s="43">
        <f>SUMIF(Table3[Career Cluster], 'Dashboard Data'!$S$3, Table3[ED] )</f>
        <v>0</v>
      </c>
      <c r="T18" s="43">
        <f>SUMIF(Table3[Career Cluster], 'Dashboard Data'!$T$3, Table3[ED] )</f>
        <v>76</v>
      </c>
      <c r="U18" s="43">
        <f>SUMIF(Table3[Career Cluster], 'Dashboard Data'!$U$3, Table3[ED] )</f>
        <v>97</v>
      </c>
      <c r="V18" s="43">
        <f>SUMIF(Table3[Career Cluster], 'Dashboard Data'!$V$3, Table3[ED] )</f>
        <v>84</v>
      </c>
      <c r="W18" s="43">
        <f>SUMIF(Table3[Career Cluster], 'Dashboard Data'!$W$3, Table3[ED] )</f>
        <v>59</v>
      </c>
      <c r="X18" s="43">
        <f>SUMIF(Table3[Career Cluster], 'Dashboard Data'!$X$3, Table3[ED] )</f>
        <v>32</v>
      </c>
      <c r="Y18" s="43">
        <f>SUMIF(Table3[Career Cluster], 'Dashboard Data'!$Y$3, Table3[ED] )</f>
        <v>46</v>
      </c>
      <c r="Z18" s="43">
        <f>SUMIF(Table3[Career Cluster], 'Dashboard Data'!$Z$3, Table3[ED] )</f>
        <v>0</v>
      </c>
      <c r="AA18" s="43">
        <f>SUMIF(Table3[Career Cluster], 'Dashboard Data'!$AA$3, Table3[ED] )</f>
        <v>52</v>
      </c>
      <c r="AB18" s="43">
        <f>SUMIF(Table3[Career Cluster], 'Dashboard Data'!$AB$3, Table3[ED] )</f>
        <v>67</v>
      </c>
      <c r="AC18" s="45"/>
      <c r="AD18" s="41" t="s">
        <v>57</v>
      </c>
      <c r="AE18" s="44">
        <f>M18/(SUMIF(Table3[Career Cluster], 'Dashboard Data'!$AE$3, Table3[Total]))</f>
        <v>0.70967741935483875</v>
      </c>
      <c r="AF18" s="44">
        <f>N18/(SUMIF(Table3[Career Cluster], 'Dashboard Data'!$AF$3, Table3[Total]))</f>
        <v>0.39175257731958762</v>
      </c>
      <c r="AG18" s="44">
        <f>O18/(SUMIF(Table3[Career Cluster], 'Dashboard Data'!$AG$3, Table3[Total]))</f>
        <v>0.40310077519379844</v>
      </c>
      <c r="AH18" s="44">
        <f>P18/(SUMIF(Table3[Career Cluster], 'Dashboard Data'!$AH$3, Table3[Total]))</f>
        <v>0.59595959595959591</v>
      </c>
      <c r="AI18" s="44">
        <f>Q18/(SUMIF(Table3[Career Cluster], 'Dashboard Data'!$AI$3, Table3[Total]))</f>
        <v>0.65306122448979587</v>
      </c>
      <c r="AJ18" s="44">
        <f>R18/(SUMIF(Table3[Career Cluster], 'Dashboard Data'!$AJ$3, Table3[Total]))</f>
        <v>0.55172413793103448</v>
      </c>
      <c r="AK18" s="44" t="e">
        <f>S18/(SUMIF(Table3[Career Cluster], 'Dashboard Data'!$AK$3, Table3[Total]))</f>
        <v>#DIV/0!</v>
      </c>
      <c r="AL18" s="44">
        <f>T18/(SUMIF(Table3[Career Cluster], 'Dashboard Data'!$AL$3, Table3[Total]))</f>
        <v>0.55474452554744524</v>
      </c>
      <c r="AM18" s="44">
        <f>U18/(SUMIF(Table3[Career Cluster], 'Dashboard Data'!$AM$3, Table3[Total]))</f>
        <v>0.61783439490445857</v>
      </c>
      <c r="AN18" s="44">
        <f>V18/(SUMIF(Table3[Career Cluster], 'Dashboard Data'!$AN$3, Table3[Total]))</f>
        <v>0.63636363636363635</v>
      </c>
      <c r="AO18" s="44">
        <f>W18/(SUMIF(Table3[Career Cluster], 'Dashboard Data'!$AO$3, Table3[Total]))</f>
        <v>0.3619631901840491</v>
      </c>
      <c r="AP18" s="44">
        <f>X18/(SUMIF(Table3[Career Cluster], 'Dashboard Data'!$AP$3, Table3[Total]))</f>
        <v>0.5161290322580645</v>
      </c>
      <c r="AQ18" s="44">
        <f>Y18/(SUMIF(Table3[Career Cluster], 'Dashboard Data'!$AQ$3, Table3[Total]))</f>
        <v>0.38983050847457629</v>
      </c>
      <c r="AR18" s="44" t="e">
        <f>Z18/(SUMIF(Table3[Career Cluster], 'Dashboard Data'!$AR$3, Table3[Total]))</f>
        <v>#DIV/0!</v>
      </c>
      <c r="AS18" s="44">
        <f>AA18/(SUMIF(Table3[Career Cluster], 'Dashboard Data'!$AS$3, Table3[Total]))</f>
        <v>0.47706422018348627</v>
      </c>
      <c r="AT18" s="44">
        <f>AB18/(SUMIF(Table3[Career Cluster], 'Dashboard Data'!$AT$3, Table3[Total]))</f>
        <v>0.50757575757575757</v>
      </c>
    </row>
    <row r="19" spans="2:46" hidden="1" x14ac:dyDescent="0.25">
      <c r="B19" s="41" t="s">
        <v>58</v>
      </c>
      <c r="C19" s="42">
        <f>Table3[[#Totals],[% Non-trad]]</f>
        <v>0</v>
      </c>
      <c r="D19" s="42">
        <f>'Comparison Population'!$C$21</f>
        <v>0</v>
      </c>
      <c r="E19" s="42" t="str">
        <f>Table35[[#Totals],[% Non-trad]]</f>
        <v/>
      </c>
      <c r="F19" s="42" t="str">
        <f>'Comparison Population'!$E$21</f>
        <v/>
      </c>
      <c r="G19" s="41">
        <f>COUNTIF(Table33[Non-trad], "&lt;-.1")</f>
        <v>0</v>
      </c>
      <c r="H19" s="41">
        <f>COUNTIF(Table33[Non-trad], "&gt;.1")</f>
        <v>0</v>
      </c>
      <c r="I19" s="41">
        <f>COUNTIF(Table336[Non-trad], "&lt;-.1")</f>
        <v>0</v>
      </c>
      <c r="J19" s="41">
        <f>COUNTIF(Table336[Non-trad], "&gt;.1")</f>
        <v>0</v>
      </c>
      <c r="L19" s="41" t="s">
        <v>58</v>
      </c>
      <c r="M19" s="43">
        <f>SUMIF(Table3[Career Cluster], 'Dashboard Data'!$M$3, Table3[Non-trad] )</f>
        <v>0</v>
      </c>
      <c r="N19" s="43">
        <f>SUMIF(Table3[Career Cluster], 'Dashboard Data'!$N$3, Table3[Non-trad] )</f>
        <v>0</v>
      </c>
      <c r="O19" s="43">
        <f>SUMIF(Table3[Career Cluster], 'Dashboard Data'!$O$3, Table3[Non-trad] )</f>
        <v>0</v>
      </c>
      <c r="P19" s="43">
        <f>SUMIF(Table3[Career Cluster], 'Dashboard Data'!$P$3, Table3[Non-trad] )</f>
        <v>0</v>
      </c>
      <c r="Q19" s="43">
        <f>SUMIF(Table3[Career Cluster], 'Dashboard Data'!$Q$3, Table3[Non-trad] )</f>
        <v>0</v>
      </c>
      <c r="R19" s="43">
        <f>SUMIF(Table3[Career Cluster], 'Dashboard Data'!$R$3, Table3[Non-trad] )</f>
        <v>0</v>
      </c>
      <c r="S19" s="43">
        <f>SUMIF(Table3[Career Cluster], 'Dashboard Data'!$S$3, Table3[Non-trad] )</f>
        <v>0</v>
      </c>
      <c r="T19" s="43">
        <f>SUMIF(Table3[Career Cluster], 'Dashboard Data'!$T$3, Table3[Non-trad] )</f>
        <v>0</v>
      </c>
      <c r="U19" s="43">
        <f>SUMIF(Table3[Career Cluster], 'Dashboard Data'!$U$3, Table3[Non-trad] )</f>
        <v>0</v>
      </c>
      <c r="V19" s="43">
        <f>SUMIF(Table3[Career Cluster], 'Dashboard Data'!$V$3, Table3[Non-trad] )</f>
        <v>0</v>
      </c>
      <c r="W19" s="43">
        <f>SUMIF(Table3[Career Cluster], 'Dashboard Data'!$W$3, Table3[Non-trad] )</f>
        <v>0</v>
      </c>
      <c r="X19" s="43">
        <f>SUMIF(Table3[Career Cluster], 'Dashboard Data'!$X$3, Table3[Non-trad] )</f>
        <v>0</v>
      </c>
      <c r="Y19" s="43">
        <f>SUMIF(Table3[Career Cluster], 'Dashboard Data'!$Y$3, Table3[Non-trad] )</f>
        <v>0</v>
      </c>
      <c r="Z19" s="43">
        <f>SUMIF(Table3[Career Cluster], 'Dashboard Data'!$Z$3, Table3[Non-trad] )</f>
        <v>0</v>
      </c>
      <c r="AA19" s="43">
        <f>SUMIF(Table3[Career Cluster], 'Dashboard Data'!$AA$3, Table3[Non-trad] )</f>
        <v>0</v>
      </c>
      <c r="AB19" s="43">
        <f>SUMIF(Table3[Career Cluster], 'Dashboard Data'!$AB$3, Table3[Non-trad] )</f>
        <v>0</v>
      </c>
      <c r="AC19" s="45"/>
      <c r="AD19" s="41" t="s">
        <v>58</v>
      </c>
      <c r="AE19" s="44">
        <f>M19/(SUMIF(Table3[Career Cluster], 'Dashboard Data'!$AE$3, Table3[Total]))</f>
        <v>0</v>
      </c>
      <c r="AF19" s="44">
        <f>N19/(SUMIF(Table3[Career Cluster], 'Dashboard Data'!$AF$3, Table3[Total]))</f>
        <v>0</v>
      </c>
      <c r="AG19" s="44">
        <f>O19/(SUMIF(Table3[Career Cluster], 'Dashboard Data'!$AG$3, Table3[Total]))</f>
        <v>0</v>
      </c>
      <c r="AH19" s="44">
        <f>P19/(SUMIF(Table3[Career Cluster], 'Dashboard Data'!$AH$3, Table3[Total]))</f>
        <v>0</v>
      </c>
      <c r="AI19" s="44">
        <f>Q19/(SUMIF(Table3[Career Cluster], 'Dashboard Data'!$AI$3, Table3[Total]))</f>
        <v>0</v>
      </c>
      <c r="AJ19" s="44">
        <f>R19/(SUMIF(Table3[Career Cluster], 'Dashboard Data'!$AJ$3, Table3[Total]))</f>
        <v>0</v>
      </c>
      <c r="AK19" s="44" t="e">
        <f>S19/(SUMIF(Table3[Career Cluster], 'Dashboard Data'!$AK$3, Table3[Total]))</f>
        <v>#DIV/0!</v>
      </c>
      <c r="AL19" s="44">
        <f>T19/(SUMIF(Table3[Career Cluster], 'Dashboard Data'!$AL$3, Table3[Total]))</f>
        <v>0</v>
      </c>
      <c r="AM19" s="44">
        <f>U19/(SUMIF(Table3[Career Cluster], 'Dashboard Data'!$AM$3, Table3[Total]))</f>
        <v>0</v>
      </c>
      <c r="AN19" s="44">
        <f>V19/(SUMIF(Table3[Career Cluster], 'Dashboard Data'!$AN$3, Table3[Total]))</f>
        <v>0</v>
      </c>
      <c r="AO19" s="44">
        <f>W19/(SUMIF(Table3[Career Cluster], 'Dashboard Data'!$AO$3, Table3[Total]))</f>
        <v>0</v>
      </c>
      <c r="AP19" s="44">
        <f>X19/(SUMIF(Table3[Career Cluster], 'Dashboard Data'!$AP$3, Table3[Total]))</f>
        <v>0</v>
      </c>
      <c r="AQ19" s="44">
        <f>Y19/(SUMIF(Table3[Career Cluster], 'Dashboard Data'!$AQ$3, Table3[Total]))</f>
        <v>0</v>
      </c>
      <c r="AR19" s="44" t="e">
        <f>Z19/(SUMIF(Table3[Career Cluster], 'Dashboard Data'!$AR$3, Table3[Total]))</f>
        <v>#DIV/0!</v>
      </c>
      <c r="AS19" s="44">
        <f>AA19/(SUMIF(Table3[Career Cluster], 'Dashboard Data'!$AS$3, Table3[Total]))</f>
        <v>0</v>
      </c>
      <c r="AT19" s="44">
        <f>AB19/(SUMIF(Table3[Career Cluster], 'Dashboard Data'!$AT$3, Table3[Total]))</f>
        <v>0</v>
      </c>
    </row>
    <row r="20" spans="2:46" hidden="1" x14ac:dyDescent="0.25">
      <c r="B20" s="41" t="s">
        <v>85</v>
      </c>
      <c r="C20" s="42">
        <f>Table3[[#Totals],[% SP]]</f>
        <v>0</v>
      </c>
      <c r="D20" s="42">
        <f>'Comparison Population'!$C$22</f>
        <v>0</v>
      </c>
      <c r="E20" s="42" t="str">
        <f>Table35[[#Totals],[% SP]]</f>
        <v/>
      </c>
      <c r="F20" s="42" t="str">
        <f>'Comparison Population'!$E$22</f>
        <v/>
      </c>
      <c r="G20" s="41">
        <f>COUNTIF(Table33[SP], "&lt;-.1")</f>
        <v>0</v>
      </c>
      <c r="H20" s="41">
        <f>COUNTIF(Table33[SP], "&gt;.1")</f>
        <v>0</v>
      </c>
      <c r="I20" s="41">
        <f>COUNTIF(Table336[SP], "&lt;-.1")</f>
        <v>0</v>
      </c>
      <c r="J20" s="41">
        <f>COUNTIF(Table336[SP], "&gt;.1")</f>
        <v>0</v>
      </c>
      <c r="L20" s="41" t="s">
        <v>85</v>
      </c>
      <c r="M20" s="43">
        <f>SUMIF(Table3[Career Cluster], 'Dashboard Data'!$M$3, Table3[SP] )</f>
        <v>0</v>
      </c>
      <c r="N20" s="43">
        <f>SUMIF(Table3[Career Cluster], 'Dashboard Data'!$N$3, Table3[SP] )</f>
        <v>0</v>
      </c>
      <c r="O20" s="43">
        <f>SUMIF(Table3[Career Cluster], 'Dashboard Data'!$O$3, Table3[SP] )</f>
        <v>0</v>
      </c>
      <c r="P20" s="43">
        <f>SUMIF(Table3[Career Cluster], 'Dashboard Data'!$P$3, Table3[SP] )</f>
        <v>0</v>
      </c>
      <c r="Q20" s="43">
        <f>SUMIF(Table3[Career Cluster], 'Dashboard Data'!$Q$3, Table3[SP] )</f>
        <v>0</v>
      </c>
      <c r="R20" s="43">
        <f>SUMIF(Table3[Career Cluster], 'Dashboard Data'!$R$3, Table3[SP] )</f>
        <v>0</v>
      </c>
      <c r="S20" s="43">
        <f>SUMIF(Table3[Career Cluster], 'Dashboard Data'!$S$3, Table3[SP] )</f>
        <v>0</v>
      </c>
      <c r="T20" s="43">
        <f>SUMIF(Table3[Career Cluster], 'Dashboard Data'!$T$3, Table3[SP] )</f>
        <v>0</v>
      </c>
      <c r="U20" s="43">
        <f>SUMIF(Table3[Career Cluster], 'Dashboard Data'!$U$3, Table3[SP] )</f>
        <v>0</v>
      </c>
      <c r="V20" s="43">
        <f>SUMIF(Table3[Career Cluster], 'Dashboard Data'!$V$3, Table3[SP] )</f>
        <v>0</v>
      </c>
      <c r="W20" s="43">
        <f>SUMIF(Table3[Career Cluster], 'Dashboard Data'!$W$3, Table3[SP] )</f>
        <v>0</v>
      </c>
      <c r="X20" s="43">
        <f>SUMIF(Table3[Career Cluster], 'Dashboard Data'!$X$3, Table3[SP] )</f>
        <v>0</v>
      </c>
      <c r="Y20" s="43">
        <f>SUMIF(Table3[Career Cluster], 'Dashboard Data'!$Y$3, Table3[SP] )</f>
        <v>0</v>
      </c>
      <c r="Z20" s="43">
        <f>SUMIF(Table3[Career Cluster], 'Dashboard Data'!$Z$3, Table3[SP] )</f>
        <v>0</v>
      </c>
      <c r="AA20" s="43">
        <f>SUMIF(Table3[Career Cluster], 'Dashboard Data'!$AA$3, Table3[SP] )</f>
        <v>0</v>
      </c>
      <c r="AB20" s="43">
        <f>SUMIF(Table3[Career Cluster], 'Dashboard Data'!$AB$3, Table3[SP] )</f>
        <v>0</v>
      </c>
      <c r="AC20" s="45"/>
      <c r="AD20" s="41" t="s">
        <v>85</v>
      </c>
      <c r="AE20" s="44">
        <f>M20/(SUMIF(Table3[Career Cluster], 'Dashboard Data'!$AE$3, Table3[Total]))</f>
        <v>0</v>
      </c>
      <c r="AF20" s="44">
        <f>N20/(SUMIF(Table3[Career Cluster], 'Dashboard Data'!$AF$3, Table3[Total]))</f>
        <v>0</v>
      </c>
      <c r="AG20" s="44">
        <f>O20/(SUMIF(Table3[Career Cluster], 'Dashboard Data'!$AG$3, Table3[Total]))</f>
        <v>0</v>
      </c>
      <c r="AH20" s="44">
        <f>P20/(SUMIF(Table3[Career Cluster], 'Dashboard Data'!$AH$3, Table3[Total]))</f>
        <v>0</v>
      </c>
      <c r="AI20" s="44">
        <f>Q20/(SUMIF(Table3[Career Cluster], 'Dashboard Data'!$AI$3, Table3[Total]))</f>
        <v>0</v>
      </c>
      <c r="AJ20" s="44">
        <f>R20/(SUMIF(Table3[Career Cluster], 'Dashboard Data'!$AJ$3, Table3[Total]))</f>
        <v>0</v>
      </c>
      <c r="AK20" s="44" t="e">
        <f>S20/(SUMIF(Table3[Career Cluster], 'Dashboard Data'!$AK$3, Table3[Total]))</f>
        <v>#DIV/0!</v>
      </c>
      <c r="AL20" s="44">
        <f>T20/(SUMIF(Table3[Career Cluster], 'Dashboard Data'!$AL$3, Table3[Total]))</f>
        <v>0</v>
      </c>
      <c r="AM20" s="44">
        <f>U20/(SUMIF(Table3[Career Cluster], 'Dashboard Data'!$AM$3, Table3[Total]))</f>
        <v>0</v>
      </c>
      <c r="AN20" s="44">
        <f>V20/(SUMIF(Table3[Career Cluster], 'Dashboard Data'!$AN$3, Table3[Total]))</f>
        <v>0</v>
      </c>
      <c r="AO20" s="44">
        <f>W20/(SUMIF(Table3[Career Cluster], 'Dashboard Data'!$AO$3, Table3[Total]))</f>
        <v>0</v>
      </c>
      <c r="AP20" s="44">
        <f>X20/(SUMIF(Table3[Career Cluster], 'Dashboard Data'!$AP$3, Table3[Total]))</f>
        <v>0</v>
      </c>
      <c r="AQ20" s="44">
        <f>Y20/(SUMIF(Table3[Career Cluster], 'Dashboard Data'!$AQ$3, Table3[Total]))</f>
        <v>0</v>
      </c>
      <c r="AR20" s="44" t="e">
        <f>Z20/(SUMIF(Table3[Career Cluster], 'Dashboard Data'!$AR$3, Table3[Total]))</f>
        <v>#DIV/0!</v>
      </c>
      <c r="AS20" s="44">
        <f>AA20/(SUMIF(Table3[Career Cluster], 'Dashboard Data'!$AS$3, Table3[Total]))</f>
        <v>0</v>
      </c>
      <c r="AT20" s="44">
        <f>AB20/(SUMIF(Table3[Career Cluster], 'Dashboard Data'!$AT$3, Table3[Total]))</f>
        <v>0</v>
      </c>
    </row>
    <row r="21" spans="2:46" hidden="1" x14ac:dyDescent="0.25">
      <c r="B21" s="41" t="s">
        <v>59</v>
      </c>
      <c r="C21" s="42">
        <f>Table3[[#Totals],[%OOW]]</f>
        <v>0</v>
      </c>
      <c r="D21" s="42">
        <f>'Comparison Population'!$C$23</f>
        <v>0</v>
      </c>
      <c r="E21" s="42" t="str">
        <f>Table35[[#Totals],[%OOW]]</f>
        <v/>
      </c>
      <c r="F21" s="42" t="str">
        <f>'Comparison Population'!$E$23</f>
        <v/>
      </c>
      <c r="G21" s="41">
        <f>COUNTIF(Table33[OOW], "&lt;-.1")</f>
        <v>0</v>
      </c>
      <c r="H21" s="41">
        <f>COUNTIF(Table33[OOW], "&gt;.1")</f>
        <v>0</v>
      </c>
      <c r="I21" s="41">
        <f>COUNTIF(Table336[OOW], "&lt;-.1")</f>
        <v>0</v>
      </c>
      <c r="J21" s="41">
        <f>COUNTIF(Table336[OOW], "&gt;.1")</f>
        <v>0</v>
      </c>
      <c r="L21" s="41" t="s">
        <v>59</v>
      </c>
      <c r="M21" s="43">
        <f>SUMIF(Table3[Career Cluster], 'Dashboard Data'!$M$3, Table3[OOW] )</f>
        <v>0</v>
      </c>
      <c r="N21" s="43">
        <f>SUMIF(Table3[Career Cluster], 'Dashboard Data'!$N$3, Table3[OOW] )</f>
        <v>0</v>
      </c>
      <c r="O21" s="43">
        <f>SUMIF(Table3[Career Cluster], 'Dashboard Data'!$O$3, Table3[OOW] )</f>
        <v>0</v>
      </c>
      <c r="P21" s="43">
        <f>SUMIF(Table3[Career Cluster], 'Dashboard Data'!$P$3, Table3[OOW] )</f>
        <v>0</v>
      </c>
      <c r="Q21" s="43">
        <f>SUMIF(Table3[Career Cluster], 'Dashboard Data'!$Q$3, Table3[OOW] )</f>
        <v>0</v>
      </c>
      <c r="R21" s="43">
        <f>SUMIF(Table3[Career Cluster], 'Dashboard Data'!$R$3, Table3[OOW] )</f>
        <v>0</v>
      </c>
      <c r="S21" s="43">
        <f>SUMIF(Table3[Career Cluster], 'Dashboard Data'!$S$3, Table3[OOW] )</f>
        <v>0</v>
      </c>
      <c r="T21" s="43">
        <f>SUMIF(Table3[Career Cluster], 'Dashboard Data'!$T$3, Table3[OOW] )</f>
        <v>0</v>
      </c>
      <c r="U21" s="43">
        <f>SUMIF(Table3[Career Cluster], 'Dashboard Data'!$U$3, Table3[OOW] )</f>
        <v>0</v>
      </c>
      <c r="V21" s="43">
        <f>SUMIF(Table3[Career Cluster], 'Dashboard Data'!$V$3, Table3[OOW] )</f>
        <v>0</v>
      </c>
      <c r="W21" s="43">
        <f>SUMIF(Table3[Career Cluster], 'Dashboard Data'!$W$3, Table3[OOW] )</f>
        <v>0</v>
      </c>
      <c r="X21" s="43">
        <f>SUMIF(Table3[Career Cluster], 'Dashboard Data'!$X$3, Table3[OOW] )</f>
        <v>0</v>
      </c>
      <c r="Y21" s="43">
        <f>SUMIF(Table3[Career Cluster], 'Dashboard Data'!$Y$3, Table3[OOW] )</f>
        <v>0</v>
      </c>
      <c r="Z21" s="43">
        <f>SUMIF(Table3[Career Cluster], 'Dashboard Data'!$Z$3, Table3[OOW] )</f>
        <v>0</v>
      </c>
      <c r="AA21" s="43">
        <f>SUMIF(Table3[Career Cluster], 'Dashboard Data'!$AA$3, Table3[OOW] )</f>
        <v>0</v>
      </c>
      <c r="AB21" s="43">
        <f>SUMIF(Table3[Career Cluster], 'Dashboard Data'!$AB$3, Table3[OOW] )</f>
        <v>0</v>
      </c>
      <c r="AC21" s="45"/>
      <c r="AD21" s="41" t="s">
        <v>59</v>
      </c>
      <c r="AE21" s="44">
        <f>M21/(SUMIF(Table3[Career Cluster], 'Dashboard Data'!$AE$3, Table3[Total]))</f>
        <v>0</v>
      </c>
      <c r="AF21" s="44">
        <f>N21/(SUMIF(Table3[Career Cluster], 'Dashboard Data'!$AF$3, Table3[Total]))</f>
        <v>0</v>
      </c>
      <c r="AG21" s="44">
        <f>O21/(SUMIF(Table3[Career Cluster], 'Dashboard Data'!$AG$3, Table3[Total]))</f>
        <v>0</v>
      </c>
      <c r="AH21" s="44">
        <f>P21/(SUMIF(Table3[Career Cluster], 'Dashboard Data'!$AH$3, Table3[Total]))</f>
        <v>0</v>
      </c>
      <c r="AI21" s="44">
        <f>Q21/(SUMIF(Table3[Career Cluster], 'Dashboard Data'!$AI$3, Table3[Total]))</f>
        <v>0</v>
      </c>
      <c r="AJ21" s="44">
        <f>R21/(SUMIF(Table3[Career Cluster], 'Dashboard Data'!$AJ$3, Table3[Total]))</f>
        <v>0</v>
      </c>
      <c r="AK21" s="44" t="e">
        <f>S21/(SUMIF(Table3[Career Cluster], 'Dashboard Data'!$AK$3, Table3[Total]))</f>
        <v>#DIV/0!</v>
      </c>
      <c r="AL21" s="44">
        <f>T21/(SUMIF(Table3[Career Cluster], 'Dashboard Data'!$AL$3, Table3[Total]))</f>
        <v>0</v>
      </c>
      <c r="AM21" s="44">
        <f>U21/(SUMIF(Table3[Career Cluster], 'Dashboard Data'!$AM$3, Table3[Total]))</f>
        <v>0</v>
      </c>
      <c r="AN21" s="44">
        <f>V21/(SUMIF(Table3[Career Cluster], 'Dashboard Data'!$AN$3, Table3[Total]))</f>
        <v>0</v>
      </c>
      <c r="AO21" s="44">
        <f>W21/(SUMIF(Table3[Career Cluster], 'Dashboard Data'!$AO$3, Table3[Total]))</f>
        <v>0</v>
      </c>
      <c r="AP21" s="44">
        <f>X21/(SUMIF(Table3[Career Cluster], 'Dashboard Data'!$AP$3, Table3[Total]))</f>
        <v>0</v>
      </c>
      <c r="AQ21" s="44">
        <f>Y21/(SUMIF(Table3[Career Cluster], 'Dashboard Data'!$AQ$3, Table3[Total]))</f>
        <v>0</v>
      </c>
      <c r="AR21" s="44" t="e">
        <f>Z21/(SUMIF(Table3[Career Cluster], 'Dashboard Data'!$AR$3, Table3[Total]))</f>
        <v>#DIV/0!</v>
      </c>
      <c r="AS21" s="44">
        <f>AA21/(SUMIF(Table3[Career Cluster], 'Dashboard Data'!$AS$3, Table3[Total]))</f>
        <v>0</v>
      </c>
      <c r="AT21" s="44">
        <f>AB21/(SUMIF(Table3[Career Cluster], 'Dashboard Data'!$AT$3, Table3[Total]))</f>
        <v>0</v>
      </c>
    </row>
    <row r="22" spans="2:46" x14ac:dyDescent="0.25">
      <c r="B22" s="41" t="s">
        <v>74</v>
      </c>
      <c r="C22" s="42">
        <f>Table3[[#Totals],[% EL]]</f>
        <v>5.3191489361702126E-3</v>
      </c>
      <c r="D22" s="42">
        <f>'Comparison Population'!$C$24</f>
        <v>5.1854304635761586E-2</v>
      </c>
      <c r="E22" s="42" t="str">
        <f>Table35[[#Totals],[% EL]]</f>
        <v/>
      </c>
      <c r="F22" s="42" t="str">
        <f>'Comparison Population'!$E$24</f>
        <v/>
      </c>
      <c r="G22" s="41">
        <f>COUNTIF(Table33[EL], "&lt;-.1")</f>
        <v>0</v>
      </c>
      <c r="H22" s="41">
        <f>COUNTIF(Table33[EL], "&gt;.1")</f>
        <v>0</v>
      </c>
      <c r="I22" s="41">
        <f>COUNTIF(Table336[EL], "&lt;-.1")</f>
        <v>0</v>
      </c>
      <c r="J22" s="41">
        <f>COUNTIF(Table336[EL], "&gt;.1")</f>
        <v>0</v>
      </c>
      <c r="L22" s="41" t="s">
        <v>74</v>
      </c>
      <c r="M22" s="43">
        <f>SUMIF(Table3[Career Cluster], 'Dashboard Data'!$M$3, Table3[EL] )</f>
        <v>3</v>
      </c>
      <c r="N22" s="43">
        <f>SUMIF(Table3[Career Cluster], 'Dashboard Data'!$N$3, Table3[EL] )</f>
        <v>0</v>
      </c>
      <c r="O22" s="43">
        <f>SUMIF(Table3[Career Cluster], 'Dashboard Data'!$O$3, Table3[EL] )</f>
        <v>0</v>
      </c>
      <c r="P22" s="43">
        <f>SUMIF(Table3[Career Cluster], 'Dashboard Data'!$P$3, Table3[EL] )</f>
        <v>0</v>
      </c>
      <c r="Q22" s="43">
        <f>SUMIF(Table3[Career Cluster], 'Dashboard Data'!$Q$3, Table3[EL] )</f>
        <v>0</v>
      </c>
      <c r="R22" s="43">
        <f>SUMIF(Table3[Career Cluster], 'Dashboard Data'!$R$3, Table3[EL] )</f>
        <v>0</v>
      </c>
      <c r="S22" s="43">
        <f>SUMIF(Table3[Career Cluster], 'Dashboard Data'!$S$3, Table3[EL] )</f>
        <v>0</v>
      </c>
      <c r="T22" s="43">
        <f>SUMIF(Table3[Career Cluster], 'Dashboard Data'!$T$3, Table3[EL] )</f>
        <v>1</v>
      </c>
      <c r="U22" s="43">
        <f>SUMIF(Table3[Career Cluster], 'Dashboard Data'!$U$3, Table3[EL] )</f>
        <v>1</v>
      </c>
      <c r="V22" s="43">
        <f>SUMIF(Table3[Career Cluster], 'Dashboard Data'!$V$3, Table3[EL] )</f>
        <v>2</v>
      </c>
      <c r="W22" s="43">
        <f>SUMIF(Table3[Career Cluster], 'Dashboard Data'!$W$3, Table3[EL] )</f>
        <v>0</v>
      </c>
      <c r="X22" s="43">
        <f>SUMIF(Table3[Career Cluster], 'Dashboard Data'!$X$3, Table3[EL] )</f>
        <v>1</v>
      </c>
      <c r="Y22" s="43">
        <f>SUMIF(Table3[Career Cluster], 'Dashboard Data'!$Y$3, Table3[EL] )</f>
        <v>0</v>
      </c>
      <c r="Z22" s="43">
        <f>SUMIF(Table3[Career Cluster], 'Dashboard Data'!$Z$3, Table3[EL] )</f>
        <v>0</v>
      </c>
      <c r="AA22" s="43">
        <f>SUMIF(Table3[Career Cluster], 'Dashboard Data'!$AA$3, Table3[EL] )</f>
        <v>0</v>
      </c>
      <c r="AB22" s="43">
        <f>SUMIF(Table3[Career Cluster], 'Dashboard Data'!$AB$3, Table3[EL] )</f>
        <v>0</v>
      </c>
      <c r="AC22" s="45"/>
      <c r="AD22" s="41" t="s">
        <v>74</v>
      </c>
      <c r="AE22" s="44">
        <f>M22/(SUMIF(Table3[Career Cluster], 'Dashboard Data'!$AE$3, Table3[Total]))</f>
        <v>4.8387096774193547E-2</v>
      </c>
      <c r="AF22" s="44">
        <f>N22/(SUMIF(Table3[Career Cluster], 'Dashboard Data'!$AF$3, Table3[Total]))</f>
        <v>0</v>
      </c>
      <c r="AG22" s="44">
        <f>O22/(SUMIF(Table3[Career Cluster], 'Dashboard Data'!$AG$3, Table3[Total]))</f>
        <v>0</v>
      </c>
      <c r="AH22" s="44">
        <f>P22/(SUMIF(Table3[Career Cluster], 'Dashboard Data'!$AH$3, Table3[Total]))</f>
        <v>0</v>
      </c>
      <c r="AI22" s="44">
        <f>Q22/(SUMIF(Table3[Career Cluster], 'Dashboard Data'!$AI$3, Table3[Total]))</f>
        <v>0</v>
      </c>
      <c r="AJ22" s="44">
        <f>R22/(SUMIF(Table3[Career Cluster], 'Dashboard Data'!$AJ$3, Table3[Total]))</f>
        <v>0</v>
      </c>
      <c r="AK22" s="44" t="e">
        <f>S22/(SUMIF(Table3[Career Cluster], 'Dashboard Data'!$AK$3, Table3[Total]))</f>
        <v>#DIV/0!</v>
      </c>
      <c r="AL22" s="44">
        <f>T22/(SUMIF(Table3[Career Cluster], 'Dashboard Data'!$AL$3, Table3[Total]))</f>
        <v>7.2992700729927005E-3</v>
      </c>
      <c r="AM22" s="44">
        <f>U22/(SUMIF(Table3[Career Cluster], 'Dashboard Data'!$AM$3, Table3[Total]))</f>
        <v>6.369426751592357E-3</v>
      </c>
      <c r="AN22" s="44">
        <f>V22/(SUMIF(Table3[Career Cluster], 'Dashboard Data'!$AN$3, Table3[Total]))</f>
        <v>1.5151515151515152E-2</v>
      </c>
      <c r="AO22" s="44">
        <f>W22/(SUMIF(Table3[Career Cluster], 'Dashboard Data'!$AO$3, Table3[Total]))</f>
        <v>0</v>
      </c>
      <c r="AP22" s="44">
        <f>X22/(SUMIF(Table3[Career Cluster], 'Dashboard Data'!$AP$3, Table3[Total]))</f>
        <v>1.6129032258064516E-2</v>
      </c>
      <c r="AQ22" s="44">
        <f>Y22/(SUMIF(Table3[Career Cluster], 'Dashboard Data'!$AQ$3, Table3[Total]))</f>
        <v>0</v>
      </c>
      <c r="AR22" s="44" t="e">
        <f>Z22/(SUMIF(Table3[Career Cluster], 'Dashboard Data'!$AR$3, Table3[Total]))</f>
        <v>#DIV/0!</v>
      </c>
      <c r="AS22" s="44">
        <f>AA22/(SUMIF(Table3[Career Cluster], 'Dashboard Data'!$AS$3, Table3[Total]))</f>
        <v>0</v>
      </c>
      <c r="AT22" s="44">
        <f>AB22/(SUMIF(Table3[Career Cluster], 'Dashboard Data'!$AT$3, Table3[Total]))</f>
        <v>0</v>
      </c>
    </row>
    <row r="23" spans="2:46" hidden="1" x14ac:dyDescent="0.25">
      <c r="B23" s="41" t="s">
        <v>60</v>
      </c>
      <c r="C23" s="42">
        <f>Table3[[#Totals],[% Homeless]]</f>
        <v>0</v>
      </c>
      <c r="D23" s="42">
        <f>'Comparison Population'!$C$25</f>
        <v>0</v>
      </c>
      <c r="E23" s="42" t="str">
        <f>Table35[[#Totals],[% Homeless]]</f>
        <v/>
      </c>
      <c r="F23" s="42" t="str">
        <f>'Comparison Population'!$E$25</f>
        <v/>
      </c>
      <c r="G23" s="41">
        <f>COUNTIF(Table33[Homeless], "&lt;-.1")</f>
        <v>0</v>
      </c>
      <c r="H23" s="41">
        <f>COUNTIF(Table33[Homeless], "&gt;.1")</f>
        <v>0</v>
      </c>
      <c r="I23" s="41">
        <f>COUNTIF(Table336[Homeless], "&lt;-.1")</f>
        <v>0</v>
      </c>
      <c r="J23" s="41">
        <f>COUNTIF(Table336[Homeless], "&gt;.1")</f>
        <v>0</v>
      </c>
      <c r="L23" s="41" t="s">
        <v>60</v>
      </c>
      <c r="M23" s="43">
        <f>SUMIF(Table3[Career Cluster], 'Dashboard Data'!$M$3, Table3[Homeless] )</f>
        <v>0</v>
      </c>
      <c r="N23" s="43">
        <f>SUMIF(Table3[Career Cluster], 'Dashboard Data'!$N$3, Table3[Homeless] )</f>
        <v>0</v>
      </c>
      <c r="O23" s="43">
        <f>SUMIF(Table3[Career Cluster], 'Dashboard Data'!$O$3, Table3[Homeless] )</f>
        <v>0</v>
      </c>
      <c r="P23" s="43">
        <f>SUMIF(Table3[Career Cluster], 'Dashboard Data'!$P$3, Table3[Homeless] )</f>
        <v>0</v>
      </c>
      <c r="Q23" s="43">
        <f>SUMIF(Table3[Career Cluster], 'Dashboard Data'!$Q$3, Table3[Homeless] )</f>
        <v>0</v>
      </c>
      <c r="R23" s="43">
        <f>SUMIF(Table3[Career Cluster], 'Dashboard Data'!$R$3, Table3[Homeless] )</f>
        <v>0</v>
      </c>
      <c r="S23" s="43">
        <f>SUMIF(Table3[Career Cluster], 'Dashboard Data'!$S$3, Table3[Homeless] )</f>
        <v>0</v>
      </c>
      <c r="T23" s="43">
        <f>SUMIF(Table3[Career Cluster], 'Dashboard Data'!$T$3, Table3[Homeless] )</f>
        <v>0</v>
      </c>
      <c r="U23" s="43">
        <f>SUMIF(Table3[Career Cluster], 'Dashboard Data'!$U$3, Table3[Homeless] )</f>
        <v>0</v>
      </c>
      <c r="V23" s="43">
        <f>SUMIF(Table3[Career Cluster], 'Dashboard Data'!$V$3, Table3[Homeless] )</f>
        <v>0</v>
      </c>
      <c r="W23" s="43">
        <f>SUMIF(Table3[Career Cluster], 'Dashboard Data'!$W$3, Table3[Homeless] )</f>
        <v>0</v>
      </c>
      <c r="X23" s="43">
        <f>SUMIF(Table3[Career Cluster], 'Dashboard Data'!$X$3, Table3[Homeless] )</f>
        <v>0</v>
      </c>
      <c r="Y23" s="43">
        <f>SUMIF(Table3[Career Cluster], 'Dashboard Data'!$Y$3, Table3[Homeless] )</f>
        <v>0</v>
      </c>
      <c r="Z23" s="43">
        <f>SUMIF(Table3[Career Cluster], 'Dashboard Data'!$Z$3, Table3[Homeless] )</f>
        <v>0</v>
      </c>
      <c r="AA23" s="43">
        <f>SUMIF(Table3[Career Cluster], 'Dashboard Data'!$AA$3, Table3[Homeless] )</f>
        <v>0</v>
      </c>
      <c r="AB23" s="43">
        <f>SUMIF(Table3[Career Cluster], 'Dashboard Data'!$AB$3, Table3[Homeless] )</f>
        <v>0</v>
      </c>
      <c r="AC23" s="45"/>
      <c r="AD23" s="41" t="s">
        <v>60</v>
      </c>
      <c r="AE23" s="44">
        <f>M23/(SUMIF(Table3[Career Cluster], 'Dashboard Data'!$AE$3, Table3[Total]))</f>
        <v>0</v>
      </c>
      <c r="AF23" s="44">
        <f>N23/(SUMIF(Table3[Career Cluster], 'Dashboard Data'!$AF$3, Table3[Total]))</f>
        <v>0</v>
      </c>
      <c r="AG23" s="44">
        <f>O23/(SUMIF(Table3[Career Cluster], 'Dashboard Data'!$AG$3, Table3[Total]))</f>
        <v>0</v>
      </c>
      <c r="AH23" s="44">
        <f>P23/(SUMIF(Table3[Career Cluster], 'Dashboard Data'!$AH$3, Table3[Total]))</f>
        <v>0</v>
      </c>
      <c r="AI23" s="44">
        <f>Q23/(SUMIF(Table3[Career Cluster], 'Dashboard Data'!$AI$3, Table3[Total]))</f>
        <v>0</v>
      </c>
      <c r="AJ23" s="44">
        <f>R23/(SUMIF(Table3[Career Cluster], 'Dashboard Data'!$AJ$3, Table3[Total]))</f>
        <v>0</v>
      </c>
      <c r="AK23" s="44" t="e">
        <f>S23/(SUMIF(Table3[Career Cluster], 'Dashboard Data'!$AK$3, Table3[Total]))</f>
        <v>#DIV/0!</v>
      </c>
      <c r="AL23" s="44">
        <f>T23/(SUMIF(Table3[Career Cluster], 'Dashboard Data'!$AL$3, Table3[Total]))</f>
        <v>0</v>
      </c>
      <c r="AM23" s="44">
        <f>U23/(SUMIF(Table3[Career Cluster], 'Dashboard Data'!$AM$3, Table3[Total]))</f>
        <v>0</v>
      </c>
      <c r="AN23" s="44">
        <f>V23/(SUMIF(Table3[Career Cluster], 'Dashboard Data'!$AN$3, Table3[Total]))</f>
        <v>0</v>
      </c>
      <c r="AO23" s="44">
        <f>W23/(SUMIF(Table3[Career Cluster], 'Dashboard Data'!$AO$3, Table3[Total]))</f>
        <v>0</v>
      </c>
      <c r="AP23" s="44">
        <f>X23/(SUMIF(Table3[Career Cluster], 'Dashboard Data'!$AP$3, Table3[Total]))</f>
        <v>0</v>
      </c>
      <c r="AQ23" s="44">
        <f>Y23/(SUMIF(Table3[Career Cluster], 'Dashboard Data'!$AQ$3, Table3[Total]))</f>
        <v>0</v>
      </c>
      <c r="AR23" s="44" t="e">
        <f>Z23/(SUMIF(Table3[Career Cluster], 'Dashboard Data'!$AR$3, Table3[Total]))</f>
        <v>#DIV/0!</v>
      </c>
      <c r="AS23" s="44">
        <f>AA23/(SUMIF(Table3[Career Cluster], 'Dashboard Data'!$AS$3, Table3[Total]))</f>
        <v>0</v>
      </c>
      <c r="AT23" s="44">
        <f>AB23/(SUMIF(Table3[Career Cluster], 'Dashboard Data'!$AT$3, Table3[Total]))</f>
        <v>0</v>
      </c>
    </row>
    <row r="24" spans="2:46" hidden="1" x14ac:dyDescent="0.25">
      <c r="B24" s="41" t="s">
        <v>61</v>
      </c>
      <c r="C24" s="42">
        <f>Table3[[#Totals],[% Foster]]</f>
        <v>0</v>
      </c>
      <c r="D24" s="42">
        <f>'Comparison Population'!$C$26</f>
        <v>0</v>
      </c>
      <c r="E24" s="42" t="str">
        <f>Table35[[#Totals],[% Foster]]</f>
        <v/>
      </c>
      <c r="F24" s="42" t="str">
        <f>'Comparison Population'!$E$26</f>
        <v/>
      </c>
      <c r="G24" s="41">
        <f>COUNTIF(Table33[Foster], "&lt;-.1")</f>
        <v>0</v>
      </c>
      <c r="H24" s="41">
        <f>COUNTIF(Table33[Foster], "&gt;.1")</f>
        <v>0</v>
      </c>
      <c r="I24" s="41">
        <f>COUNTIF(Table336[Foster], "&lt;-.1")</f>
        <v>0</v>
      </c>
      <c r="J24" s="41">
        <f>COUNTIF(Table336[Foster], "&gt;.1")</f>
        <v>0</v>
      </c>
      <c r="L24" s="41" t="s">
        <v>61</v>
      </c>
      <c r="M24" s="43">
        <f>SUMIF(Table3[Career Cluster], 'Dashboard Data'!$M$3, Table3[Foster] )</f>
        <v>0</v>
      </c>
      <c r="N24" s="43">
        <f>SUMIF(Table3[Career Cluster], 'Dashboard Data'!$N$3, Table3[Foster] )</f>
        <v>0</v>
      </c>
      <c r="O24" s="43">
        <f>SUMIF(Table3[Career Cluster], 'Dashboard Data'!$O$3, Table3[Foster] )</f>
        <v>0</v>
      </c>
      <c r="P24" s="43">
        <f>SUMIF(Table3[Career Cluster], 'Dashboard Data'!$P$3, Table3[Foster] )</f>
        <v>0</v>
      </c>
      <c r="Q24" s="43">
        <f>SUMIF(Table3[Career Cluster], 'Dashboard Data'!$Q$3, Table3[Foster] )</f>
        <v>0</v>
      </c>
      <c r="R24" s="43">
        <f>SUMIF(Table3[Career Cluster], 'Dashboard Data'!$R$3, Table3[Foster] )</f>
        <v>0</v>
      </c>
      <c r="S24" s="43">
        <f>SUMIF(Table3[Career Cluster], 'Dashboard Data'!$S$3, Table3[Foster] )</f>
        <v>0</v>
      </c>
      <c r="T24" s="43">
        <f>SUMIF(Table3[Career Cluster], 'Dashboard Data'!$T$3, Table3[Foster] )</f>
        <v>0</v>
      </c>
      <c r="U24" s="43">
        <f>SUMIF(Table3[Career Cluster], 'Dashboard Data'!$U$3, Table3[Foster] )</f>
        <v>0</v>
      </c>
      <c r="V24" s="43">
        <f>SUMIF(Table3[Career Cluster], 'Dashboard Data'!$V$3, Table3[Foster] )</f>
        <v>0</v>
      </c>
      <c r="W24" s="43">
        <f>SUMIF(Table3[Career Cluster], 'Dashboard Data'!$W$3, Table3[Foster] )</f>
        <v>0</v>
      </c>
      <c r="X24" s="43">
        <f>SUMIF(Table3[Career Cluster], 'Dashboard Data'!$X$3, Table3[Foster] )</f>
        <v>0</v>
      </c>
      <c r="Y24" s="43">
        <f>SUMIF(Table3[Career Cluster], 'Dashboard Data'!$Y$3, Table3[Foster] )</f>
        <v>0</v>
      </c>
      <c r="Z24" s="43">
        <f>SUMIF(Table3[Career Cluster], 'Dashboard Data'!$Z$3, Table3[Foster] )</f>
        <v>0</v>
      </c>
      <c r="AA24" s="43">
        <f>SUMIF(Table3[Career Cluster], 'Dashboard Data'!$AA$3, Table3[Foster] )</f>
        <v>0</v>
      </c>
      <c r="AB24" s="43">
        <f>SUMIF(Table3[Career Cluster], 'Dashboard Data'!$AB$3, Table3[Foster] )</f>
        <v>0</v>
      </c>
      <c r="AC24" s="45"/>
      <c r="AD24" s="41" t="s">
        <v>61</v>
      </c>
      <c r="AE24" s="44">
        <f>M24/(SUMIF(Table3[Career Cluster], 'Dashboard Data'!$AE$3, Table3[Total]))</f>
        <v>0</v>
      </c>
      <c r="AF24" s="44">
        <f>N24/(SUMIF(Table3[Career Cluster], 'Dashboard Data'!$AF$3, Table3[Total]))</f>
        <v>0</v>
      </c>
      <c r="AG24" s="44">
        <f>O24/(SUMIF(Table3[Career Cluster], 'Dashboard Data'!$AG$3, Table3[Total]))</f>
        <v>0</v>
      </c>
      <c r="AH24" s="44">
        <f>P24/(SUMIF(Table3[Career Cluster], 'Dashboard Data'!$AH$3, Table3[Total]))</f>
        <v>0</v>
      </c>
      <c r="AI24" s="44">
        <f>Q24/(SUMIF(Table3[Career Cluster], 'Dashboard Data'!$AI$3, Table3[Total]))</f>
        <v>0</v>
      </c>
      <c r="AJ24" s="44">
        <f>R24/(SUMIF(Table3[Career Cluster], 'Dashboard Data'!$AJ$3, Table3[Total]))</f>
        <v>0</v>
      </c>
      <c r="AK24" s="44" t="e">
        <f>S24/(SUMIF(Table3[Career Cluster], 'Dashboard Data'!$AK$3, Table3[Total]))</f>
        <v>#DIV/0!</v>
      </c>
      <c r="AL24" s="44">
        <f>T24/(SUMIF(Table3[Career Cluster], 'Dashboard Data'!$AL$3, Table3[Total]))</f>
        <v>0</v>
      </c>
      <c r="AM24" s="44">
        <f>U24/(SUMIF(Table3[Career Cluster], 'Dashboard Data'!$AM$3, Table3[Total]))</f>
        <v>0</v>
      </c>
      <c r="AN24" s="44">
        <f>V24/(SUMIF(Table3[Career Cluster], 'Dashboard Data'!$AN$3, Table3[Total]))</f>
        <v>0</v>
      </c>
      <c r="AO24" s="44">
        <f>W24/(SUMIF(Table3[Career Cluster], 'Dashboard Data'!$AO$3, Table3[Total]))</f>
        <v>0</v>
      </c>
      <c r="AP24" s="44">
        <f>X24/(SUMIF(Table3[Career Cluster], 'Dashboard Data'!$AP$3, Table3[Total]))</f>
        <v>0</v>
      </c>
      <c r="AQ24" s="44">
        <f>Y24/(SUMIF(Table3[Career Cluster], 'Dashboard Data'!$AQ$3, Table3[Total]))</f>
        <v>0</v>
      </c>
      <c r="AR24" s="44" t="e">
        <f>Z24/(SUMIF(Table3[Career Cluster], 'Dashboard Data'!$AR$3, Table3[Total]))</f>
        <v>#DIV/0!</v>
      </c>
      <c r="AS24" s="44">
        <f>AA24/(SUMIF(Table3[Career Cluster], 'Dashboard Data'!$AS$3, Table3[Total]))</f>
        <v>0</v>
      </c>
      <c r="AT24" s="44">
        <f>AB24/(SUMIF(Table3[Career Cluster], 'Dashboard Data'!$AT$3, Table3[Total]))</f>
        <v>0</v>
      </c>
    </row>
    <row r="25" spans="2:46" hidden="1" x14ac:dyDescent="0.25">
      <c r="B25" s="41" t="s">
        <v>62</v>
      </c>
      <c r="C25" s="42">
        <f>Table3[[#Totals],[% AD]]</f>
        <v>0</v>
      </c>
      <c r="D25" s="42">
        <f>'Comparison Population'!$C$27</f>
        <v>0</v>
      </c>
      <c r="E25" s="42" t="str">
        <f>Table35[[#Totals],[% AD]]</f>
        <v/>
      </c>
      <c r="F25" s="42" t="str">
        <f>'Comparison Population'!$E$27</f>
        <v/>
      </c>
      <c r="G25" s="41">
        <f>COUNTIF(Table33[AD], "&lt;-.1")</f>
        <v>0</v>
      </c>
      <c r="H25" s="41">
        <f>COUNTIF(Table33[AD], "&gt;.1")</f>
        <v>0</v>
      </c>
      <c r="I25" s="41">
        <f>COUNTIF(Table336[AD], "&lt;-.1")</f>
        <v>0</v>
      </c>
      <c r="J25" s="41">
        <f>COUNTIF(Table336[AD], "&gt;.1")</f>
        <v>0</v>
      </c>
      <c r="L25" s="41" t="s">
        <v>62</v>
      </c>
      <c r="M25" s="43">
        <f>SUMIF(Table3[Career Cluster], 'Dashboard Data'!$M$3, Table3[AD] )</f>
        <v>0</v>
      </c>
      <c r="N25" s="43">
        <f>SUMIF(Table3[Career Cluster], 'Dashboard Data'!$N$3, Table3[AD] )</f>
        <v>0</v>
      </c>
      <c r="O25" s="43">
        <f>SUMIF(Table3[Career Cluster], 'Dashboard Data'!$O$3, Table3[AD] )</f>
        <v>0</v>
      </c>
      <c r="P25" s="43">
        <f>SUMIF(Table3[Career Cluster], 'Dashboard Data'!$P$3, Table3[AD] )</f>
        <v>0</v>
      </c>
      <c r="Q25" s="43">
        <f>SUMIF(Table3[Career Cluster], 'Dashboard Data'!$Q$3, Table3[AD] )</f>
        <v>0</v>
      </c>
      <c r="R25" s="43">
        <f>SUMIF(Table3[Career Cluster], 'Dashboard Data'!$R$3, Table3[AD] )</f>
        <v>0</v>
      </c>
      <c r="S25" s="43">
        <f>SUMIF(Table3[Career Cluster], 'Dashboard Data'!$S$3, Table3[AD] )</f>
        <v>0</v>
      </c>
      <c r="T25" s="43">
        <f>SUMIF(Table3[Career Cluster], 'Dashboard Data'!$T$3, Table3[AD] )</f>
        <v>0</v>
      </c>
      <c r="U25" s="43">
        <f>SUMIF(Table3[Career Cluster], 'Dashboard Data'!$U$3, Table3[AD] )</f>
        <v>0</v>
      </c>
      <c r="V25" s="43">
        <f>SUMIF(Table3[Career Cluster], 'Dashboard Data'!$V$3, Table3[AD] )</f>
        <v>0</v>
      </c>
      <c r="W25" s="43">
        <f>SUMIF(Table3[Career Cluster], 'Dashboard Data'!$W$3, Table3[AD] )</f>
        <v>0</v>
      </c>
      <c r="X25" s="43">
        <f>SUMIF(Table3[Career Cluster], 'Dashboard Data'!$X$3, Table3[AD] )</f>
        <v>0</v>
      </c>
      <c r="Y25" s="43">
        <f>SUMIF(Table3[Career Cluster], 'Dashboard Data'!$Y$3, Table3[AD] )</f>
        <v>0</v>
      </c>
      <c r="Z25" s="43">
        <f>SUMIF(Table3[Career Cluster], 'Dashboard Data'!$Z$3, Table3[AD] )</f>
        <v>0</v>
      </c>
      <c r="AA25" s="43">
        <f>SUMIF(Table3[Career Cluster], 'Dashboard Data'!$AA$3, Table3[AD] )</f>
        <v>0</v>
      </c>
      <c r="AB25" s="43">
        <f>SUMIF(Table3[Career Cluster], 'Dashboard Data'!$AB$3, Table3[AD] )</f>
        <v>0</v>
      </c>
      <c r="AC25" s="45"/>
      <c r="AD25" s="41" t="s">
        <v>62</v>
      </c>
      <c r="AE25" s="44">
        <f>M25/(SUMIF(Table3[Career Cluster], 'Dashboard Data'!$AE$3, Table3[Total]))</f>
        <v>0</v>
      </c>
      <c r="AF25" s="44">
        <f>N25/(SUMIF(Table3[Career Cluster], 'Dashboard Data'!$AF$3, Table3[Total]))</f>
        <v>0</v>
      </c>
      <c r="AG25" s="44">
        <f>O25/(SUMIF(Table3[Career Cluster], 'Dashboard Data'!$AG$3, Table3[Total]))</f>
        <v>0</v>
      </c>
      <c r="AH25" s="44">
        <f>P25/(SUMIF(Table3[Career Cluster], 'Dashboard Data'!$AH$3, Table3[Total]))</f>
        <v>0</v>
      </c>
      <c r="AI25" s="44">
        <f>Q25/(SUMIF(Table3[Career Cluster], 'Dashboard Data'!$AI$3, Table3[Total]))</f>
        <v>0</v>
      </c>
      <c r="AJ25" s="44">
        <f>R25/(SUMIF(Table3[Career Cluster], 'Dashboard Data'!$AJ$3, Table3[Total]))</f>
        <v>0</v>
      </c>
      <c r="AK25" s="44" t="e">
        <f>S25/(SUMIF(Table3[Career Cluster], 'Dashboard Data'!$AK$3, Table3[Total]))</f>
        <v>#DIV/0!</v>
      </c>
      <c r="AL25" s="44">
        <f>T25/(SUMIF(Table3[Career Cluster], 'Dashboard Data'!$AL$3, Table3[Total]))</f>
        <v>0</v>
      </c>
      <c r="AM25" s="44">
        <f>U25/(SUMIF(Table3[Career Cluster], 'Dashboard Data'!$AM$3, Table3[Total]))</f>
        <v>0</v>
      </c>
      <c r="AN25" s="44">
        <f>V25/(SUMIF(Table3[Career Cluster], 'Dashboard Data'!$AN$3, Table3[Total]))</f>
        <v>0</v>
      </c>
      <c r="AO25" s="44">
        <f>W25/(SUMIF(Table3[Career Cluster], 'Dashboard Data'!$AO$3, Table3[Total]))</f>
        <v>0</v>
      </c>
      <c r="AP25" s="44">
        <f>X25/(SUMIF(Table3[Career Cluster], 'Dashboard Data'!$AP$3, Table3[Total]))</f>
        <v>0</v>
      </c>
      <c r="AQ25" s="44">
        <f>Y25/(SUMIF(Table3[Career Cluster], 'Dashboard Data'!$AQ$3, Table3[Total]))</f>
        <v>0</v>
      </c>
      <c r="AR25" s="44" t="e">
        <f>Z25/(SUMIF(Table3[Career Cluster], 'Dashboard Data'!$AR$3, Table3[Total]))</f>
        <v>#DIV/0!</v>
      </c>
      <c r="AS25" s="44">
        <f>AA25/(SUMIF(Table3[Career Cluster], 'Dashboard Data'!$AS$3, Table3[Total]))</f>
        <v>0</v>
      </c>
      <c r="AT25" s="44">
        <f>AB25/(SUMIF(Table3[Career Cluster], 'Dashboard Data'!$AT$3, Table3[Total]))</f>
        <v>0</v>
      </c>
    </row>
    <row r="26" spans="2:46" x14ac:dyDescent="0.25">
      <c r="B26" s="46"/>
      <c r="C26" s="48"/>
      <c r="D26" s="48"/>
      <c r="E26" s="48"/>
      <c r="F26" s="48"/>
      <c r="G26" s="46"/>
      <c r="H26" s="46"/>
      <c r="I26" s="46"/>
      <c r="J26" s="46"/>
      <c r="L26" s="46"/>
      <c r="M26" s="45"/>
      <c r="N26" s="45"/>
    </row>
    <row r="27" spans="2:46" x14ac:dyDescent="0.25">
      <c r="B27" s="46"/>
      <c r="C27" s="48"/>
      <c r="D27" s="48"/>
      <c r="E27" s="48"/>
      <c r="F27" s="48"/>
      <c r="G27" s="46"/>
      <c r="H27" s="46"/>
      <c r="I27" s="46"/>
      <c r="J27" s="46"/>
      <c r="L27" t="s">
        <v>132</v>
      </c>
    </row>
    <row r="28" spans="2:46" x14ac:dyDescent="0.25">
      <c r="B28" s="46"/>
      <c r="C28" s="48"/>
      <c r="D28" s="48"/>
      <c r="E28" s="48"/>
      <c r="F28" s="48"/>
      <c r="G28" s="46"/>
      <c r="H28" s="46"/>
      <c r="I28" s="46"/>
      <c r="J28" s="46"/>
      <c r="M28" s="179" t="s">
        <v>127</v>
      </c>
      <c r="N28" s="179"/>
      <c r="O28" s="179"/>
      <c r="P28" s="179"/>
      <c r="Q28" s="179"/>
      <c r="R28" s="179"/>
      <c r="S28" s="179"/>
      <c r="T28" s="179"/>
      <c r="U28" s="179"/>
      <c r="V28" s="179"/>
      <c r="W28" s="179"/>
      <c r="X28" s="179"/>
      <c r="Y28" s="179"/>
      <c r="Z28" s="179"/>
      <c r="AA28" s="179"/>
      <c r="AB28" s="179"/>
      <c r="AC28" s="45"/>
      <c r="AE28" s="179" t="s">
        <v>128</v>
      </c>
      <c r="AF28" s="179"/>
      <c r="AG28" s="179"/>
      <c r="AH28" s="179"/>
      <c r="AI28" s="179"/>
      <c r="AJ28" s="179"/>
      <c r="AK28" s="179"/>
      <c r="AL28" s="179"/>
      <c r="AM28" s="179"/>
      <c r="AN28" s="179"/>
      <c r="AO28" s="179"/>
      <c r="AP28" s="179"/>
      <c r="AQ28" s="179"/>
      <c r="AR28" s="179"/>
      <c r="AS28" s="179"/>
      <c r="AT28" s="179"/>
    </row>
    <row r="29" spans="2:46" x14ac:dyDescent="0.25">
      <c r="B29" s="46"/>
      <c r="C29" s="48"/>
      <c r="D29" s="48"/>
      <c r="E29" s="48"/>
      <c r="F29" s="48"/>
      <c r="G29" s="46"/>
      <c r="H29" s="46"/>
      <c r="I29" s="46"/>
      <c r="J29" s="46"/>
      <c r="L29" s="41"/>
      <c r="M29" s="41" t="s">
        <v>108</v>
      </c>
      <c r="N29" s="41" t="s">
        <v>109</v>
      </c>
      <c r="O29" s="41" t="s">
        <v>110</v>
      </c>
      <c r="P29" s="41" t="s">
        <v>111</v>
      </c>
      <c r="Q29" s="41" t="s">
        <v>112</v>
      </c>
      <c r="R29" s="41" t="s">
        <v>113</v>
      </c>
      <c r="S29" s="41" t="s">
        <v>114</v>
      </c>
      <c r="T29" s="41" t="s">
        <v>115</v>
      </c>
      <c r="U29" s="41" t="s">
        <v>18</v>
      </c>
      <c r="V29" s="41" t="s">
        <v>16</v>
      </c>
      <c r="W29" s="41" t="s">
        <v>116</v>
      </c>
      <c r="X29" s="41" t="s">
        <v>117</v>
      </c>
      <c r="Y29" s="41" t="s">
        <v>118</v>
      </c>
      <c r="Z29" s="41" t="s">
        <v>119</v>
      </c>
      <c r="AA29" s="41" t="s">
        <v>120</v>
      </c>
      <c r="AB29" s="41" t="s">
        <v>121</v>
      </c>
      <c r="AC29" s="46"/>
      <c r="AD29" s="41"/>
      <c r="AE29" s="41" t="s">
        <v>108</v>
      </c>
      <c r="AF29" s="41" t="s">
        <v>109</v>
      </c>
      <c r="AG29" s="41" t="s">
        <v>110</v>
      </c>
      <c r="AH29" s="41" t="s">
        <v>111</v>
      </c>
      <c r="AI29" s="41" t="s">
        <v>112</v>
      </c>
      <c r="AJ29" s="41" t="s">
        <v>113</v>
      </c>
      <c r="AK29" s="41" t="s">
        <v>114</v>
      </c>
      <c r="AL29" s="41" t="s">
        <v>115</v>
      </c>
      <c r="AM29" s="41" t="s">
        <v>18</v>
      </c>
      <c r="AN29" s="41" t="s">
        <v>16</v>
      </c>
      <c r="AO29" s="41" t="s">
        <v>116</v>
      </c>
      <c r="AP29" s="41" t="s">
        <v>117</v>
      </c>
      <c r="AQ29" s="41" t="s">
        <v>118</v>
      </c>
      <c r="AR29" s="41" t="s">
        <v>119</v>
      </c>
      <c r="AS29" s="41" t="s">
        <v>120</v>
      </c>
      <c r="AT29" s="41" t="s">
        <v>121</v>
      </c>
    </row>
    <row r="30" spans="2:46" x14ac:dyDescent="0.25">
      <c r="B30" s="46"/>
      <c r="C30" s="48"/>
      <c r="D30" s="48"/>
      <c r="E30" s="48"/>
      <c r="F30" s="48"/>
      <c r="G30" s="46"/>
      <c r="H30" s="46"/>
      <c r="I30" s="46"/>
      <c r="J30" s="46"/>
      <c r="L30" s="41" t="s">
        <v>55</v>
      </c>
      <c r="M30" s="43">
        <f>SUMIF(Table35[Career Cluster], 'Dashboard Data'!$M$3, Table35[F] )</f>
        <v>0</v>
      </c>
      <c r="N30" s="43">
        <f>SUMIF(Table35[Career Cluster], 'Dashboard Data'!$N$3, Table35[F] )</f>
        <v>0</v>
      </c>
      <c r="O30" s="43">
        <f>SUMIF(Table35[Career Cluster], 'Dashboard Data'!$O$3, Table35[F] )</f>
        <v>0</v>
      </c>
      <c r="P30" s="43">
        <f>SUMIF(Table35[Career Cluster], 'Dashboard Data'!$P$3, Table35[F] )</f>
        <v>0</v>
      </c>
      <c r="Q30" s="43">
        <f>SUMIF(Table35[Career Cluster], 'Dashboard Data'!$Q$3, Table35[F] )</f>
        <v>0</v>
      </c>
      <c r="R30" s="43">
        <f>SUMIF(Table35[Career Cluster], 'Dashboard Data'!$R$3, Table35[F] )</f>
        <v>0</v>
      </c>
      <c r="S30" s="43">
        <f>SUMIF(Table35[Career Cluster], 'Dashboard Data'!$S$3, Table35[F] )</f>
        <v>0</v>
      </c>
      <c r="T30" s="43">
        <f>SUMIF(Table35[Career Cluster], 'Dashboard Data'!$T$3, Table35[F] )</f>
        <v>0</v>
      </c>
      <c r="U30" s="43">
        <f>SUMIF(Table35[Career Cluster], 'Dashboard Data'!$U$3, Table35[F] )</f>
        <v>0</v>
      </c>
      <c r="V30" s="43">
        <f>SUMIF(Table35[Career Cluster], 'Dashboard Data'!$V$3, Table35[F] )</f>
        <v>0</v>
      </c>
      <c r="W30" s="43">
        <f>SUMIF(Table35[Career Cluster], 'Dashboard Data'!$W$3, Table35[F] )</f>
        <v>0</v>
      </c>
      <c r="X30" s="43">
        <f>SUMIF(Table35[Career Cluster], 'Dashboard Data'!$X$3, Table35[F] )</f>
        <v>0</v>
      </c>
      <c r="Y30" s="43">
        <f>SUMIF(Table35[Career Cluster], 'Dashboard Data'!$Y$3, Table35[F] )</f>
        <v>0</v>
      </c>
      <c r="Z30" s="43">
        <f>SUMIF(Table35[Career Cluster], 'Dashboard Data'!$Z$3, Table35[F] )</f>
        <v>0</v>
      </c>
      <c r="AA30" s="43">
        <f>SUMIF(Table35[Career Cluster], 'Dashboard Data'!$AA$3, Table35[F] )</f>
        <v>0</v>
      </c>
      <c r="AB30" s="43">
        <f>SUMIF(Table35[Career Cluster], 'Dashboard Data'!$AB$3, Table35[F] )</f>
        <v>0</v>
      </c>
      <c r="AC30" s="45"/>
      <c r="AD30" s="41" t="s">
        <v>55</v>
      </c>
      <c r="AE30" s="44" t="e">
        <f>M30/(SUMIF(Table35[Career Cluster], 'Dashboard Data'!$AE$3, Table35[Total]))</f>
        <v>#DIV/0!</v>
      </c>
      <c r="AF30" s="44" t="e">
        <f>N30/(SUMIF(Table35[Career Cluster], 'Dashboard Data'!$AF$3, Table35[Total]))</f>
        <v>#DIV/0!</v>
      </c>
      <c r="AG30" s="44" t="e">
        <f>O30/(SUMIF(Table35[Career Cluster], 'Dashboard Data'!$AG$3, Table35[Total]))</f>
        <v>#DIV/0!</v>
      </c>
      <c r="AH30" s="44" t="e">
        <f>P30/(SUMIF(Table35[Career Cluster], 'Dashboard Data'!$AH$3, Table35[Total]))</f>
        <v>#DIV/0!</v>
      </c>
      <c r="AI30" s="44" t="e">
        <f>Q30/(SUMIF(Table35[Career Cluster], 'Dashboard Data'!$AI$3, Table35[Total]))</f>
        <v>#DIV/0!</v>
      </c>
      <c r="AJ30" s="44" t="e">
        <f>R30/(SUMIF(Table35[Career Cluster], 'Dashboard Data'!$AJ$3, Table35[Total]))</f>
        <v>#DIV/0!</v>
      </c>
      <c r="AK30" s="44" t="e">
        <f>S30/(SUMIF(Table35[Career Cluster], 'Dashboard Data'!$AK$3, Table35[Total]))</f>
        <v>#DIV/0!</v>
      </c>
      <c r="AL30" s="44" t="e">
        <f>T30/(SUMIF(Table35[Career Cluster], 'Dashboard Data'!$AL$3, Table35[Total]))</f>
        <v>#DIV/0!</v>
      </c>
      <c r="AM30" s="44" t="e">
        <f>U30/(SUMIF(Table35[Career Cluster], 'Dashboard Data'!$AM$3, Table35[Total]))</f>
        <v>#DIV/0!</v>
      </c>
      <c r="AN30" s="44" t="e">
        <f>V30/(SUMIF(Table35[Career Cluster], 'Dashboard Data'!$AN$3, Table35[Total]))</f>
        <v>#DIV/0!</v>
      </c>
      <c r="AO30" s="44" t="e">
        <f>W30/(SUMIF(Table35[Career Cluster], 'Dashboard Data'!$AO$3, Table35[Total]))</f>
        <v>#DIV/0!</v>
      </c>
      <c r="AP30" s="44" t="e">
        <f>X30/(SUMIF(Table35[Career Cluster], 'Dashboard Data'!$AP$3, Table35[Total]))</f>
        <v>#DIV/0!</v>
      </c>
      <c r="AQ30" s="44" t="e">
        <f>Y30/(SUMIF(Table35[Career Cluster], 'Dashboard Data'!$AQ$3, Table35[Total]))</f>
        <v>#DIV/0!</v>
      </c>
      <c r="AR30" s="44" t="e">
        <f>Z30/(SUMIF(Table35[Career Cluster], 'Dashboard Data'!$AR$3, Table35[Total]))</f>
        <v>#DIV/0!</v>
      </c>
      <c r="AS30" s="44" t="e">
        <f>AA30/(SUMIF(Table35[Career Cluster], 'Dashboard Data'!$AS$3, Table35[Total]))</f>
        <v>#DIV/0!</v>
      </c>
      <c r="AT30" s="44" t="e">
        <f>AB30/(SUMIF(Table35[Career Cluster], 'Dashboard Data'!$AT$3, Table35[Total]))</f>
        <v>#DIV/0!</v>
      </c>
    </row>
    <row r="31" spans="2:46" x14ac:dyDescent="0.25">
      <c r="B31" s="46"/>
      <c r="C31" s="48"/>
      <c r="D31" s="48"/>
      <c r="E31" s="48"/>
      <c r="F31" s="48"/>
      <c r="G31" s="46"/>
      <c r="H31" s="46"/>
      <c r="I31" s="46"/>
      <c r="J31" s="46"/>
      <c r="L31" s="41" t="s">
        <v>56</v>
      </c>
      <c r="M31" s="43">
        <f>SUMIF(Table35[Career Cluster], 'Dashboard Data'!$M$3, Table35[M] )</f>
        <v>0</v>
      </c>
      <c r="N31" s="43">
        <f>SUMIF(Table35[Career Cluster], 'Dashboard Data'!$N$3, Table35[M] )</f>
        <v>0</v>
      </c>
      <c r="O31" s="43">
        <f>SUMIF(Table35[Career Cluster], 'Dashboard Data'!$O$3, Table35[M] )</f>
        <v>0</v>
      </c>
      <c r="P31" s="43">
        <f>SUMIF(Table35[Career Cluster], 'Dashboard Data'!$P$3, Table35[M] )</f>
        <v>0</v>
      </c>
      <c r="Q31" s="43">
        <f>SUMIF(Table35[Career Cluster], 'Dashboard Data'!$Q$3, Table35[M] )</f>
        <v>0</v>
      </c>
      <c r="R31" s="43">
        <f>SUMIF(Table35[Career Cluster], 'Dashboard Data'!$R$3, Table35[M] )</f>
        <v>0</v>
      </c>
      <c r="S31" s="43">
        <f>SUMIF(Table35[Career Cluster], 'Dashboard Data'!$S$3, Table35[M] )</f>
        <v>0</v>
      </c>
      <c r="T31" s="43">
        <f>SUMIF(Table35[Career Cluster], 'Dashboard Data'!$T$3, Table35[M] )</f>
        <v>0</v>
      </c>
      <c r="U31" s="43">
        <f>SUMIF(Table35[Career Cluster], 'Dashboard Data'!$U$3, Table35[M] )</f>
        <v>0</v>
      </c>
      <c r="V31" s="43">
        <f>SUMIF(Table35[Career Cluster], 'Dashboard Data'!$V$3, Table35[M] )</f>
        <v>0</v>
      </c>
      <c r="W31" s="43">
        <f>SUMIF(Table35[Career Cluster], 'Dashboard Data'!$W$3, Table35[M] )</f>
        <v>0</v>
      </c>
      <c r="X31" s="43">
        <f>SUMIF(Table35[Career Cluster], 'Dashboard Data'!$X$3, Table35[M] )</f>
        <v>0</v>
      </c>
      <c r="Y31" s="43">
        <f>SUMIF(Table35[Career Cluster], 'Dashboard Data'!$Y$3, Table35[M] )</f>
        <v>0</v>
      </c>
      <c r="Z31" s="43">
        <f>SUMIF(Table35[Career Cluster], 'Dashboard Data'!$Z$3, Table35[M] )</f>
        <v>0</v>
      </c>
      <c r="AA31" s="43">
        <f>SUMIF(Table35[Career Cluster], 'Dashboard Data'!$AA$3, Table35[M] )</f>
        <v>0</v>
      </c>
      <c r="AB31" s="43">
        <f>SUMIF(Table35[Career Cluster], 'Dashboard Data'!$AB$3, Table35[M] )</f>
        <v>0</v>
      </c>
      <c r="AC31" s="45"/>
      <c r="AD31" s="41" t="s">
        <v>56</v>
      </c>
      <c r="AE31" s="44" t="e">
        <f>M31/(SUMIF(Table35[Career Cluster], 'Dashboard Data'!$AE$3, Table35[Total]))</f>
        <v>#DIV/0!</v>
      </c>
      <c r="AF31" s="44" t="e">
        <f>N31/(SUMIF(Table35[Career Cluster], 'Dashboard Data'!$AF$3, Table35[Total]))</f>
        <v>#DIV/0!</v>
      </c>
      <c r="AG31" s="44" t="e">
        <f>O31/(SUMIF(Table35[Career Cluster], 'Dashboard Data'!$AG$3, Table35[Total]))</f>
        <v>#DIV/0!</v>
      </c>
      <c r="AH31" s="44" t="e">
        <f>P31/(SUMIF(Table35[Career Cluster], 'Dashboard Data'!$AH$3, Table35[Total]))</f>
        <v>#DIV/0!</v>
      </c>
      <c r="AI31" s="44" t="e">
        <f>Q31/(SUMIF(Table35[Career Cluster], 'Dashboard Data'!$AI$3, Table35[Total]))</f>
        <v>#DIV/0!</v>
      </c>
      <c r="AJ31" s="44" t="e">
        <f>R31/(SUMIF(Table35[Career Cluster], 'Dashboard Data'!$AJ$3, Table35[Total]))</f>
        <v>#DIV/0!</v>
      </c>
      <c r="AK31" s="44" t="e">
        <f>S31/(SUMIF(Table35[Career Cluster], 'Dashboard Data'!$AK$3, Table35[Total]))</f>
        <v>#DIV/0!</v>
      </c>
      <c r="AL31" s="44" t="e">
        <f>T31/(SUMIF(Table35[Career Cluster], 'Dashboard Data'!$AL$3, Table35[Total]))</f>
        <v>#DIV/0!</v>
      </c>
      <c r="AM31" s="44" t="e">
        <f>U31/(SUMIF(Table35[Career Cluster], 'Dashboard Data'!$AM$3, Table35[Total]))</f>
        <v>#DIV/0!</v>
      </c>
      <c r="AN31" s="44" t="e">
        <f>V31/(SUMIF(Table35[Career Cluster], 'Dashboard Data'!$AN$3, Table35[Total]))</f>
        <v>#DIV/0!</v>
      </c>
      <c r="AO31" s="44" t="e">
        <f>W31/(SUMIF(Table35[Career Cluster], 'Dashboard Data'!$AO$3, Table35[Total]))</f>
        <v>#DIV/0!</v>
      </c>
      <c r="AP31" s="44" t="e">
        <f>X31/(SUMIF(Table35[Career Cluster], 'Dashboard Data'!$AP$3, Table35[Total]))</f>
        <v>#DIV/0!</v>
      </c>
      <c r="AQ31" s="44" t="e">
        <f>Y31/(SUMIF(Table35[Career Cluster], 'Dashboard Data'!$AQ$3, Table35[Total]))</f>
        <v>#DIV/0!</v>
      </c>
      <c r="AR31" s="44" t="e">
        <f>Z31/(SUMIF(Table35[Career Cluster], 'Dashboard Data'!$AR$3, Table35[Total]))</f>
        <v>#DIV/0!</v>
      </c>
      <c r="AS31" s="44" t="e">
        <f>AA31/(SUMIF(Table35[Career Cluster], 'Dashboard Data'!$AS$3, Table35[Total]))</f>
        <v>#DIV/0!</v>
      </c>
      <c r="AT31" s="44" t="e">
        <f>AB31/(SUMIF(Table35[Career Cluster], 'Dashboard Data'!$AT$3, Table35[Total]))</f>
        <v>#DIV/0!</v>
      </c>
    </row>
    <row r="32" spans="2:46" x14ac:dyDescent="0.25">
      <c r="B32" s="46"/>
      <c r="C32" s="48"/>
      <c r="D32" s="48"/>
      <c r="E32" s="48"/>
      <c r="F32" s="48"/>
      <c r="G32" s="46"/>
      <c r="H32" s="46"/>
      <c r="I32" s="46"/>
      <c r="J32" s="46"/>
      <c r="L32" s="41" t="s">
        <v>50</v>
      </c>
      <c r="M32" s="43">
        <f>SUMIF(Table35[Career Cluster], 'Dashboard Data'!$M$3, Table35[Other] )</f>
        <v>0</v>
      </c>
      <c r="N32" s="43">
        <f>SUMIF(Table35[Career Cluster], 'Dashboard Data'!$N$3, Table35[Other] )</f>
        <v>0</v>
      </c>
      <c r="O32" s="43">
        <f>SUMIF(Table35[Career Cluster], 'Dashboard Data'!$O$3, Table35[Other] )</f>
        <v>0</v>
      </c>
      <c r="P32" s="43">
        <f>SUMIF(Table35[Career Cluster], 'Dashboard Data'!$P$3, Table35[Other] )</f>
        <v>0</v>
      </c>
      <c r="Q32" s="43">
        <f>SUMIF(Table35[Career Cluster], 'Dashboard Data'!$Q$3, Table35[Other] )</f>
        <v>0</v>
      </c>
      <c r="R32" s="43">
        <f>SUMIF(Table35[Career Cluster], 'Dashboard Data'!$R$3, Table35[Other] )</f>
        <v>0</v>
      </c>
      <c r="S32" s="43">
        <f>SUMIF(Table35[Career Cluster], 'Dashboard Data'!$S$3, Table35[Other] )</f>
        <v>0</v>
      </c>
      <c r="T32" s="43">
        <f>SUMIF(Table35[Career Cluster], 'Dashboard Data'!$T$3, Table35[Other] )</f>
        <v>0</v>
      </c>
      <c r="U32" s="43">
        <f>SUMIF(Table35[Career Cluster], 'Dashboard Data'!$U$3, Table35[Other] )</f>
        <v>0</v>
      </c>
      <c r="V32" s="43">
        <f>SUMIF(Table35[Career Cluster], 'Dashboard Data'!$V$3, Table35[Other] )</f>
        <v>0</v>
      </c>
      <c r="W32" s="43">
        <f>SUMIF(Table35[Career Cluster], 'Dashboard Data'!$W$3, Table35[Other] )</f>
        <v>0</v>
      </c>
      <c r="X32" s="43">
        <f>SUMIF(Table35[Career Cluster], 'Dashboard Data'!$X$3, Table35[Other] )</f>
        <v>0</v>
      </c>
      <c r="Y32" s="43">
        <f>SUMIF(Table35[Career Cluster], 'Dashboard Data'!$Y$3, Table35[Other] )</f>
        <v>0</v>
      </c>
      <c r="Z32" s="43">
        <f>SUMIF(Table35[Career Cluster], 'Dashboard Data'!$Z$3, Table35[Other] )</f>
        <v>0</v>
      </c>
      <c r="AA32" s="43">
        <f>SUMIF(Table35[Career Cluster], 'Dashboard Data'!$AA$3, Table35[Other] )</f>
        <v>0</v>
      </c>
      <c r="AB32" s="43">
        <f>SUMIF(Table35[Career Cluster], 'Dashboard Data'!$AB$3, Table35[Other] )</f>
        <v>0</v>
      </c>
      <c r="AC32" s="45"/>
      <c r="AD32" s="41" t="s">
        <v>50</v>
      </c>
      <c r="AE32" s="44" t="e">
        <f>M32/(SUMIF(Table35[Career Cluster], 'Dashboard Data'!$AE$3, Table35[Total]))</f>
        <v>#DIV/0!</v>
      </c>
      <c r="AF32" s="44" t="e">
        <f>N32/(SUMIF(Table35[Career Cluster], 'Dashboard Data'!$AF$3, Table35[Total]))</f>
        <v>#DIV/0!</v>
      </c>
      <c r="AG32" s="44" t="e">
        <f>O32/(SUMIF(Table35[Career Cluster], 'Dashboard Data'!$AG$3, Table35[Total]))</f>
        <v>#DIV/0!</v>
      </c>
      <c r="AH32" s="44" t="e">
        <f>P32/(SUMIF(Table35[Career Cluster], 'Dashboard Data'!$AH$3, Table35[Total]))</f>
        <v>#DIV/0!</v>
      </c>
      <c r="AI32" s="44" t="e">
        <f>Q32/(SUMIF(Table35[Career Cluster], 'Dashboard Data'!$AI$3, Table35[Total]))</f>
        <v>#DIV/0!</v>
      </c>
      <c r="AJ32" s="44" t="e">
        <f>R32/(SUMIF(Table35[Career Cluster], 'Dashboard Data'!$AJ$3, Table35[Total]))</f>
        <v>#DIV/0!</v>
      </c>
      <c r="AK32" s="44" t="e">
        <f>S32/(SUMIF(Table35[Career Cluster], 'Dashboard Data'!$AK$3, Table35[Total]))</f>
        <v>#DIV/0!</v>
      </c>
      <c r="AL32" s="44" t="e">
        <f>T32/(SUMIF(Table35[Career Cluster], 'Dashboard Data'!$AL$3, Table35[Total]))</f>
        <v>#DIV/0!</v>
      </c>
      <c r="AM32" s="44" t="e">
        <f>U32/(SUMIF(Table35[Career Cluster], 'Dashboard Data'!$AM$3, Table35[Total]))</f>
        <v>#DIV/0!</v>
      </c>
      <c r="AN32" s="44" t="e">
        <f>V32/(SUMIF(Table35[Career Cluster], 'Dashboard Data'!$AN$3, Table35[Total]))</f>
        <v>#DIV/0!</v>
      </c>
      <c r="AO32" s="44" t="e">
        <f>W32/(SUMIF(Table35[Career Cluster], 'Dashboard Data'!$AO$3, Table35[Total]))</f>
        <v>#DIV/0!</v>
      </c>
      <c r="AP32" s="44" t="e">
        <f>X32/(SUMIF(Table35[Career Cluster], 'Dashboard Data'!$AP$3, Table35[Total]))</f>
        <v>#DIV/0!</v>
      </c>
      <c r="AQ32" s="44" t="e">
        <f>Y32/(SUMIF(Table35[Career Cluster], 'Dashboard Data'!$AQ$3, Table35[Total]))</f>
        <v>#DIV/0!</v>
      </c>
      <c r="AR32" s="44" t="e">
        <f>Z32/(SUMIF(Table35[Career Cluster], 'Dashboard Data'!$AR$3, Table35[Total]))</f>
        <v>#DIV/0!</v>
      </c>
      <c r="AS32" s="44" t="e">
        <f>AA32/(SUMIF(Table35[Career Cluster], 'Dashboard Data'!$AS$3, Table35[Total]))</f>
        <v>#DIV/0!</v>
      </c>
      <c r="AT32" s="44" t="e">
        <f>AB32/(SUMIF(Table35[Career Cluster], 'Dashboard Data'!$AT$3, Table35[Total]))</f>
        <v>#DIV/0!</v>
      </c>
    </row>
    <row r="33" spans="2:46" x14ac:dyDescent="0.25">
      <c r="B33" s="46"/>
      <c r="C33" s="48"/>
      <c r="D33" s="48"/>
      <c r="E33" s="48"/>
      <c r="F33" s="48"/>
      <c r="G33" s="46"/>
      <c r="H33" s="46"/>
      <c r="I33" s="46"/>
      <c r="J33" s="46"/>
      <c r="L33" s="41"/>
      <c r="M33" s="43"/>
      <c r="N33" s="43"/>
      <c r="O33" s="43"/>
      <c r="P33" s="43"/>
      <c r="Q33" s="43"/>
      <c r="R33" s="43"/>
      <c r="S33" s="43"/>
      <c r="T33" s="43"/>
      <c r="U33" s="43"/>
      <c r="V33" s="43"/>
      <c r="W33" s="43"/>
      <c r="X33" s="43"/>
      <c r="Y33" s="43"/>
      <c r="Z33" s="43"/>
      <c r="AA33" s="43"/>
      <c r="AB33" s="43"/>
      <c r="AC33" s="45"/>
      <c r="AD33" s="41"/>
      <c r="AE33" s="44"/>
      <c r="AF33" s="44"/>
      <c r="AG33" s="44"/>
      <c r="AH33" s="44"/>
      <c r="AI33" s="44"/>
      <c r="AJ33" s="44"/>
      <c r="AK33" s="44"/>
      <c r="AL33" s="44"/>
      <c r="AM33" s="44"/>
      <c r="AN33" s="44"/>
      <c r="AO33" s="44"/>
      <c r="AP33" s="44"/>
      <c r="AQ33" s="44"/>
      <c r="AR33" s="44"/>
      <c r="AS33" s="44"/>
      <c r="AT33" s="44"/>
    </row>
    <row r="34" spans="2:46" ht="30" x14ac:dyDescent="0.25">
      <c r="B34" s="46"/>
      <c r="C34" s="48"/>
      <c r="D34" s="48"/>
      <c r="E34" s="48"/>
      <c r="F34" s="48"/>
      <c r="G34" s="46"/>
      <c r="H34" s="46"/>
      <c r="I34" s="46"/>
      <c r="J34" s="46"/>
      <c r="L34" s="47" t="s">
        <v>122</v>
      </c>
      <c r="M34" s="43">
        <f>SUMIF(Table35[Career Cluster], 'Dashboard Data'!$M$3, Table35[AmInd] )</f>
        <v>0</v>
      </c>
      <c r="N34" s="43">
        <f>SUMIF(Table35[Career Cluster], 'Dashboard Data'!$N$3, Table35[AmInd] )</f>
        <v>0</v>
      </c>
      <c r="O34" s="43">
        <f>SUMIF(Table35[Career Cluster], 'Dashboard Data'!$O$3, Table35[AmInd] )</f>
        <v>0</v>
      </c>
      <c r="P34" s="43">
        <f>SUMIF(Table35[Career Cluster], 'Dashboard Data'!$P$3, Table35[AmInd] )</f>
        <v>0</v>
      </c>
      <c r="Q34" s="43">
        <f>SUMIF(Table35[Career Cluster], 'Dashboard Data'!$Q$3, Table35[AmInd] )</f>
        <v>0</v>
      </c>
      <c r="R34" s="43">
        <f>SUMIF(Table35[Career Cluster], 'Dashboard Data'!$R$3, Table35[AmInd] )</f>
        <v>0</v>
      </c>
      <c r="S34" s="43">
        <f>SUMIF(Table35[Career Cluster], 'Dashboard Data'!$S$3, Table35[AmInd] )</f>
        <v>0</v>
      </c>
      <c r="T34" s="43">
        <f>SUMIF(Table35[Career Cluster], 'Dashboard Data'!$T$3, Table35[AmInd] )</f>
        <v>0</v>
      </c>
      <c r="U34" s="43">
        <f>SUMIF(Table35[Career Cluster], 'Dashboard Data'!$U$3, Table35[AmInd] )</f>
        <v>0</v>
      </c>
      <c r="V34" s="43">
        <f>SUMIF(Table35[Career Cluster], 'Dashboard Data'!$V$3, Table35[AmInd] )</f>
        <v>0</v>
      </c>
      <c r="W34" s="43">
        <f>SUMIF(Table35[Career Cluster], 'Dashboard Data'!$W$3, Table35[AmInd] )</f>
        <v>0</v>
      </c>
      <c r="X34" s="43">
        <f>SUMIF(Table35[Career Cluster], 'Dashboard Data'!$X$3, Table35[AmInd] )</f>
        <v>0</v>
      </c>
      <c r="Y34" s="43">
        <f>SUMIF(Table35[Career Cluster], 'Dashboard Data'!$Y$3, Table35[AmInd] )</f>
        <v>0</v>
      </c>
      <c r="Z34" s="43">
        <f>SUMIF(Table35[Career Cluster], 'Dashboard Data'!$Z$3, Table35[AmInd] )</f>
        <v>0</v>
      </c>
      <c r="AA34" s="43">
        <f>SUMIF(Table35[Career Cluster], 'Dashboard Data'!$AA$3, Table35[AmInd] )</f>
        <v>0</v>
      </c>
      <c r="AB34" s="43">
        <f>SUMIF(Table35[Career Cluster], 'Dashboard Data'!$AB$3, Table35[AmInd] )</f>
        <v>0</v>
      </c>
      <c r="AC34" s="45"/>
      <c r="AD34" s="47" t="s">
        <v>122</v>
      </c>
      <c r="AE34" s="44" t="e">
        <f>M34/(SUMIF(Table35[Career Cluster], 'Dashboard Data'!$AE$3, Table35[Total]))</f>
        <v>#DIV/0!</v>
      </c>
      <c r="AF34" s="44" t="e">
        <f>N34/(SUMIF(Table35[Career Cluster], 'Dashboard Data'!$AF$3, Table35[Total]))</f>
        <v>#DIV/0!</v>
      </c>
      <c r="AG34" s="44" t="e">
        <f>O34/(SUMIF(Table35[Career Cluster], 'Dashboard Data'!$AG$3, Table35[Total]))</f>
        <v>#DIV/0!</v>
      </c>
      <c r="AH34" s="44" t="e">
        <f>P34/(SUMIF(Table35[Career Cluster], 'Dashboard Data'!$AH$3, Table35[Total]))</f>
        <v>#DIV/0!</v>
      </c>
      <c r="AI34" s="44" t="e">
        <f>Q34/(SUMIF(Table35[Career Cluster], 'Dashboard Data'!$AI$3, Table35[Total]))</f>
        <v>#DIV/0!</v>
      </c>
      <c r="AJ34" s="44" t="e">
        <f>R34/(SUMIF(Table35[Career Cluster], 'Dashboard Data'!$AJ$3, Table35[Total]))</f>
        <v>#DIV/0!</v>
      </c>
      <c r="AK34" s="44" t="e">
        <f>S34/(SUMIF(Table35[Career Cluster], 'Dashboard Data'!$AK$3, Table35[Total]))</f>
        <v>#DIV/0!</v>
      </c>
      <c r="AL34" s="44" t="e">
        <f>T34/(SUMIF(Table35[Career Cluster], 'Dashboard Data'!$AL$3, Table35[Total]))</f>
        <v>#DIV/0!</v>
      </c>
      <c r="AM34" s="44" t="e">
        <f>U34/(SUMIF(Table35[Career Cluster], 'Dashboard Data'!$AM$3, Table35[Total]))</f>
        <v>#DIV/0!</v>
      </c>
      <c r="AN34" s="44" t="e">
        <f>V34/(SUMIF(Table35[Career Cluster], 'Dashboard Data'!$AN$3, Table35[Total]))</f>
        <v>#DIV/0!</v>
      </c>
      <c r="AO34" s="44" t="e">
        <f>W34/(SUMIF(Table35[Career Cluster], 'Dashboard Data'!$AO$3, Table35[Total]))</f>
        <v>#DIV/0!</v>
      </c>
      <c r="AP34" s="44" t="e">
        <f>X34/(SUMIF(Table35[Career Cluster], 'Dashboard Data'!$AP$3, Table35[Total]))</f>
        <v>#DIV/0!</v>
      </c>
      <c r="AQ34" s="44" t="e">
        <f>Y34/(SUMIF(Table35[Career Cluster], 'Dashboard Data'!$AQ$3, Table35[Total]))</f>
        <v>#DIV/0!</v>
      </c>
      <c r="AR34" s="44" t="e">
        <f>Z34/(SUMIF(Table35[Career Cluster], 'Dashboard Data'!$AR$3, Table35[Total]))</f>
        <v>#DIV/0!</v>
      </c>
      <c r="AS34" s="44" t="e">
        <f>AA34/(SUMIF(Table35[Career Cluster], 'Dashboard Data'!$AS$3, Table35[Total]))</f>
        <v>#DIV/0!</v>
      </c>
      <c r="AT34" s="44" t="e">
        <f>AB34/(SUMIF(Table35[Career Cluster], 'Dashboard Data'!$AT$3, Table35[Total]))</f>
        <v>#DIV/0!</v>
      </c>
    </row>
    <row r="35" spans="2:46" x14ac:dyDescent="0.25">
      <c r="B35" s="46"/>
      <c r="C35" s="48"/>
      <c r="D35" s="48"/>
      <c r="E35" s="48"/>
      <c r="F35" s="48"/>
      <c r="G35" s="46"/>
      <c r="H35" s="46"/>
      <c r="I35" s="46"/>
      <c r="J35" s="46"/>
      <c r="L35" s="41" t="s">
        <v>3</v>
      </c>
      <c r="M35" s="43">
        <f>SUMIF(Table35[Career Cluster], 'Dashboard Data'!$M$3, Table35[Asian] )</f>
        <v>0</v>
      </c>
      <c r="N35" s="43">
        <f>SUMIF(Table35[Career Cluster], 'Dashboard Data'!$N$3, Table35[Asian] )</f>
        <v>0</v>
      </c>
      <c r="O35" s="43">
        <f>SUMIF(Table35[Career Cluster], 'Dashboard Data'!$O$3, Table35[Asian] )</f>
        <v>0</v>
      </c>
      <c r="P35" s="43">
        <f>SUMIF(Table35[Career Cluster], 'Dashboard Data'!$P$3, Table35[Asian] )</f>
        <v>0</v>
      </c>
      <c r="Q35" s="43">
        <f>SUMIF(Table35[Career Cluster], 'Dashboard Data'!$Q$3, Table35[Asian] )</f>
        <v>0</v>
      </c>
      <c r="R35" s="43">
        <f>SUMIF(Table35[Career Cluster], 'Dashboard Data'!$R$3, Table35[Asian] )</f>
        <v>0</v>
      </c>
      <c r="S35" s="43">
        <f>SUMIF(Table35[Career Cluster], 'Dashboard Data'!$S$3, Table35[Asian] )</f>
        <v>0</v>
      </c>
      <c r="T35" s="43">
        <f>SUMIF(Table35[Career Cluster], 'Dashboard Data'!$T$3, Table35[Asian] )</f>
        <v>0</v>
      </c>
      <c r="U35" s="43">
        <f>SUMIF(Table35[Career Cluster], 'Dashboard Data'!$U$3, Table35[Asian] )</f>
        <v>0</v>
      </c>
      <c r="V35" s="43">
        <f>SUMIF(Table35[Career Cluster], 'Dashboard Data'!$V$3, Table35[Asian] )</f>
        <v>0</v>
      </c>
      <c r="W35" s="43">
        <f>SUMIF(Table35[Career Cluster], 'Dashboard Data'!$W$3, Table35[Asian] )</f>
        <v>0</v>
      </c>
      <c r="X35" s="43">
        <f>SUMIF(Table35[Career Cluster], 'Dashboard Data'!$X$3, Table35[Asian] )</f>
        <v>0</v>
      </c>
      <c r="Y35" s="43">
        <f>SUMIF(Table35[Career Cluster], 'Dashboard Data'!$Y$3, Table35[Asian] )</f>
        <v>0</v>
      </c>
      <c r="Z35" s="43">
        <f>SUMIF(Table35[Career Cluster], 'Dashboard Data'!$Z$3, Table35[Asian] )</f>
        <v>0</v>
      </c>
      <c r="AA35" s="43">
        <f>SUMIF(Table35[Career Cluster], 'Dashboard Data'!$AA$3, Table35[Asian] )</f>
        <v>0</v>
      </c>
      <c r="AB35" s="43">
        <f>SUMIF(Table35[Career Cluster], 'Dashboard Data'!$AB$3, Table35[Asian] )</f>
        <v>0</v>
      </c>
      <c r="AC35" s="45"/>
      <c r="AD35" s="41" t="s">
        <v>3</v>
      </c>
      <c r="AE35" s="44" t="e">
        <f>M35/(SUMIF(Table35[Career Cluster], 'Dashboard Data'!$AE$3, Table35[Total]))</f>
        <v>#DIV/0!</v>
      </c>
      <c r="AF35" s="44" t="e">
        <f>N35/(SUMIF(Table35[Career Cluster], 'Dashboard Data'!$AF$3, Table35[Total]))</f>
        <v>#DIV/0!</v>
      </c>
      <c r="AG35" s="44" t="e">
        <f>O35/(SUMIF(Table35[Career Cluster], 'Dashboard Data'!$AG$3, Table35[Total]))</f>
        <v>#DIV/0!</v>
      </c>
      <c r="AH35" s="44" t="e">
        <f>P35/(SUMIF(Table35[Career Cluster], 'Dashboard Data'!$AH$3, Table35[Total]))</f>
        <v>#DIV/0!</v>
      </c>
      <c r="AI35" s="44" t="e">
        <f>Q35/(SUMIF(Table35[Career Cluster], 'Dashboard Data'!$AI$3, Table35[Total]))</f>
        <v>#DIV/0!</v>
      </c>
      <c r="AJ35" s="44" t="e">
        <f>R35/(SUMIF(Table35[Career Cluster], 'Dashboard Data'!$AJ$3, Table35[Total]))</f>
        <v>#DIV/0!</v>
      </c>
      <c r="AK35" s="44" t="e">
        <f>S35/(SUMIF(Table35[Career Cluster], 'Dashboard Data'!$AK$3, Table35[Total]))</f>
        <v>#DIV/0!</v>
      </c>
      <c r="AL35" s="44" t="e">
        <f>T35/(SUMIF(Table35[Career Cluster], 'Dashboard Data'!$AL$3, Table35[Total]))</f>
        <v>#DIV/0!</v>
      </c>
      <c r="AM35" s="44" t="e">
        <f>U35/(SUMIF(Table35[Career Cluster], 'Dashboard Data'!$AM$3, Table35[Total]))</f>
        <v>#DIV/0!</v>
      </c>
      <c r="AN35" s="44" t="e">
        <f>V35/(SUMIF(Table35[Career Cluster], 'Dashboard Data'!$AN$3, Table35[Total]))</f>
        <v>#DIV/0!</v>
      </c>
      <c r="AO35" s="44" t="e">
        <f>W35/(SUMIF(Table35[Career Cluster], 'Dashboard Data'!$AO$3, Table35[Total]))</f>
        <v>#DIV/0!</v>
      </c>
      <c r="AP35" s="44" t="e">
        <f>X35/(SUMIF(Table35[Career Cluster], 'Dashboard Data'!$AP$3, Table35[Total]))</f>
        <v>#DIV/0!</v>
      </c>
      <c r="AQ35" s="44" t="e">
        <f>Y35/(SUMIF(Table35[Career Cluster], 'Dashboard Data'!$AQ$3, Table35[Total]))</f>
        <v>#DIV/0!</v>
      </c>
      <c r="AR35" s="44" t="e">
        <f>Z35/(SUMIF(Table35[Career Cluster], 'Dashboard Data'!$AR$3, Table35[Total]))</f>
        <v>#DIV/0!</v>
      </c>
      <c r="AS35" s="44" t="e">
        <f>AA35/(SUMIF(Table35[Career Cluster], 'Dashboard Data'!$AS$3, Table35[Total]))</f>
        <v>#DIV/0!</v>
      </c>
      <c r="AT35" s="44" t="e">
        <f>AB35/(SUMIF(Table35[Career Cluster], 'Dashboard Data'!$AT$3, Table35[Total]))</f>
        <v>#DIV/0!</v>
      </c>
    </row>
    <row r="36" spans="2:46" x14ac:dyDescent="0.25">
      <c r="B36" s="46"/>
      <c r="C36" s="48"/>
      <c r="D36" s="48"/>
      <c r="E36" s="48"/>
      <c r="F36" s="48"/>
      <c r="G36" s="46"/>
      <c r="H36" s="46"/>
      <c r="I36" s="46"/>
      <c r="J36" s="46"/>
      <c r="L36" s="41" t="s">
        <v>123</v>
      </c>
      <c r="M36" s="43">
        <f>SUMIF(Table35[Career Cluster], 'Dashboard Data'!$M$3, Table35[Hispanic] )</f>
        <v>0</v>
      </c>
      <c r="N36" s="43">
        <f>SUMIF(Table35[Career Cluster], 'Dashboard Data'!$N$3, Table35[Hispanic] )</f>
        <v>0</v>
      </c>
      <c r="O36" s="43">
        <f>SUMIF(Table35[Career Cluster], 'Dashboard Data'!$O$3, Table35[Hispanic] )</f>
        <v>0</v>
      </c>
      <c r="P36" s="43">
        <f>SUMIF(Table35[Career Cluster], 'Dashboard Data'!$P$3, Table35[Hispanic] )</f>
        <v>0</v>
      </c>
      <c r="Q36" s="43">
        <f>SUMIF(Table35[Career Cluster], 'Dashboard Data'!$Q$3, Table35[Hispanic] )</f>
        <v>0</v>
      </c>
      <c r="R36" s="43">
        <f>SUMIF(Table35[Career Cluster], 'Dashboard Data'!$R$3, Table35[Hispanic] )</f>
        <v>0</v>
      </c>
      <c r="S36" s="43">
        <f>SUMIF(Table35[Career Cluster], 'Dashboard Data'!$S$3, Table35[Hispanic] )</f>
        <v>0</v>
      </c>
      <c r="T36" s="43">
        <f>SUMIF(Table35[Career Cluster], 'Dashboard Data'!$T$3, Table35[Hispanic] )</f>
        <v>0</v>
      </c>
      <c r="U36" s="43">
        <f>SUMIF(Table35[Career Cluster], 'Dashboard Data'!$U$3, Table35[Hispanic] )</f>
        <v>0</v>
      </c>
      <c r="V36" s="43">
        <f>SUMIF(Table35[Career Cluster], 'Dashboard Data'!$V$3, Table35[Hispanic] )</f>
        <v>0</v>
      </c>
      <c r="W36" s="43">
        <f>SUMIF(Table35[Career Cluster], 'Dashboard Data'!$W$3, Table35[Hispanic] )</f>
        <v>0</v>
      </c>
      <c r="X36" s="43">
        <f>SUMIF(Table35[Career Cluster], 'Dashboard Data'!$X$3, Table35[Hispanic] )</f>
        <v>0</v>
      </c>
      <c r="Y36" s="43">
        <f>SUMIF(Table35[Career Cluster], 'Dashboard Data'!$Y$3, Table35[Hispanic] )</f>
        <v>0</v>
      </c>
      <c r="Z36" s="43">
        <f>SUMIF(Table35[Career Cluster], 'Dashboard Data'!$Z$3, Table35[Hispanic] )</f>
        <v>0</v>
      </c>
      <c r="AA36" s="43">
        <f>SUMIF(Table35[Career Cluster], 'Dashboard Data'!$AA$3, Table35[Hispanic] )</f>
        <v>0</v>
      </c>
      <c r="AB36" s="43">
        <f>SUMIF(Table35[Career Cluster], 'Dashboard Data'!$AB$3, Table35[Hispanic] )</f>
        <v>0</v>
      </c>
      <c r="AC36" s="45"/>
      <c r="AD36" s="41" t="s">
        <v>123</v>
      </c>
      <c r="AE36" s="44" t="e">
        <f>M36/(SUMIF(Table35[Career Cluster], 'Dashboard Data'!$AE$3, Table35[Total]))</f>
        <v>#DIV/0!</v>
      </c>
      <c r="AF36" s="44" t="e">
        <f>N36/(SUMIF(Table35[Career Cluster], 'Dashboard Data'!$AF$3, Table35[Total]))</f>
        <v>#DIV/0!</v>
      </c>
      <c r="AG36" s="44" t="e">
        <f>O36/(SUMIF(Table35[Career Cluster], 'Dashboard Data'!$AG$3, Table35[Total]))</f>
        <v>#DIV/0!</v>
      </c>
      <c r="AH36" s="44" t="e">
        <f>P36/(SUMIF(Table35[Career Cluster], 'Dashboard Data'!$AH$3, Table35[Total]))</f>
        <v>#DIV/0!</v>
      </c>
      <c r="AI36" s="44" t="e">
        <f>Q36/(SUMIF(Table35[Career Cluster], 'Dashboard Data'!$AI$3, Table35[Total]))</f>
        <v>#DIV/0!</v>
      </c>
      <c r="AJ36" s="44" t="e">
        <f>R36/(SUMIF(Table35[Career Cluster], 'Dashboard Data'!$AJ$3, Table35[Total]))</f>
        <v>#DIV/0!</v>
      </c>
      <c r="AK36" s="44" t="e">
        <f>S36/(SUMIF(Table35[Career Cluster], 'Dashboard Data'!$AK$3, Table35[Total]))</f>
        <v>#DIV/0!</v>
      </c>
      <c r="AL36" s="44" t="e">
        <f>T36/(SUMIF(Table35[Career Cluster], 'Dashboard Data'!$AL$3, Table35[Total]))</f>
        <v>#DIV/0!</v>
      </c>
      <c r="AM36" s="44" t="e">
        <f>U36/(SUMIF(Table35[Career Cluster], 'Dashboard Data'!$AM$3, Table35[Total]))</f>
        <v>#DIV/0!</v>
      </c>
      <c r="AN36" s="44" t="e">
        <f>V36/(SUMIF(Table35[Career Cluster], 'Dashboard Data'!$AN$3, Table35[Total]))</f>
        <v>#DIV/0!</v>
      </c>
      <c r="AO36" s="44" t="e">
        <f>W36/(SUMIF(Table35[Career Cluster], 'Dashboard Data'!$AO$3, Table35[Total]))</f>
        <v>#DIV/0!</v>
      </c>
      <c r="AP36" s="44" t="e">
        <f>X36/(SUMIF(Table35[Career Cluster], 'Dashboard Data'!$AP$3, Table35[Total]))</f>
        <v>#DIV/0!</v>
      </c>
      <c r="AQ36" s="44" t="e">
        <f>Y36/(SUMIF(Table35[Career Cluster], 'Dashboard Data'!$AQ$3, Table35[Total]))</f>
        <v>#DIV/0!</v>
      </c>
      <c r="AR36" s="44" t="e">
        <f>Z36/(SUMIF(Table35[Career Cluster], 'Dashboard Data'!$AR$3, Table35[Total]))</f>
        <v>#DIV/0!</v>
      </c>
      <c r="AS36" s="44" t="e">
        <f>AA36/(SUMIF(Table35[Career Cluster], 'Dashboard Data'!$AS$3, Table35[Total]))</f>
        <v>#DIV/0!</v>
      </c>
      <c r="AT36" s="44" t="e">
        <f>AB36/(SUMIF(Table35[Career Cluster], 'Dashboard Data'!$AT$3, Table35[Total]))</f>
        <v>#DIV/0!</v>
      </c>
    </row>
    <row r="37" spans="2:46" x14ac:dyDescent="0.25">
      <c r="B37" s="46"/>
      <c r="C37" s="48"/>
      <c r="D37" s="48"/>
      <c r="E37" s="48"/>
      <c r="F37" s="48"/>
      <c r="G37" s="46"/>
      <c r="H37" s="46"/>
      <c r="I37" s="46"/>
      <c r="J37" s="46"/>
      <c r="L37" s="41" t="s">
        <v>124</v>
      </c>
      <c r="M37" s="43">
        <f>SUMIF(Table35[Career Cluster], 'Dashboard Data'!$M$3, Table35[Black] )</f>
        <v>0</v>
      </c>
      <c r="N37" s="43">
        <f>SUMIF(Table35[Career Cluster], 'Dashboard Data'!$N$3, Table35[Black] )</f>
        <v>0</v>
      </c>
      <c r="O37" s="43">
        <f>SUMIF(Table35[Career Cluster], 'Dashboard Data'!$O$3, Table35[Black] )</f>
        <v>0</v>
      </c>
      <c r="P37" s="43">
        <f>SUMIF(Table35[Career Cluster], 'Dashboard Data'!$P$3, Table35[Black] )</f>
        <v>0</v>
      </c>
      <c r="Q37" s="43">
        <f>SUMIF(Table35[Career Cluster], 'Dashboard Data'!$Q$3, Table35[Black] )</f>
        <v>0</v>
      </c>
      <c r="R37" s="43">
        <f>SUMIF(Table35[Career Cluster], 'Dashboard Data'!$R$3, Table35[Black] )</f>
        <v>0</v>
      </c>
      <c r="S37" s="43">
        <f>SUMIF(Table35[Career Cluster], 'Dashboard Data'!$S$3, Table35[Black] )</f>
        <v>0</v>
      </c>
      <c r="T37" s="43">
        <f>SUMIF(Table35[Career Cluster], 'Dashboard Data'!$T$3, Table35[Black] )</f>
        <v>0</v>
      </c>
      <c r="U37" s="43">
        <f>SUMIF(Table35[Career Cluster], 'Dashboard Data'!$U$3, Table35[Black] )</f>
        <v>0</v>
      </c>
      <c r="V37" s="43">
        <f>SUMIF(Table35[Career Cluster], 'Dashboard Data'!$V$3, Table35[Black] )</f>
        <v>0</v>
      </c>
      <c r="W37" s="43">
        <f>SUMIF(Table35[Career Cluster], 'Dashboard Data'!$W$3, Table35[Black] )</f>
        <v>0</v>
      </c>
      <c r="X37" s="43">
        <f>SUMIF(Table35[Career Cluster], 'Dashboard Data'!$X$3, Table35[Black] )</f>
        <v>0</v>
      </c>
      <c r="Y37" s="43">
        <f>SUMIF(Table35[Career Cluster], 'Dashboard Data'!$Y$3, Table35[Black] )</f>
        <v>0</v>
      </c>
      <c r="Z37" s="43">
        <f>SUMIF(Table35[Career Cluster], 'Dashboard Data'!$Z$3, Table35[Black] )</f>
        <v>0</v>
      </c>
      <c r="AA37" s="43">
        <f>SUMIF(Table35[Career Cluster], 'Dashboard Data'!$AA$3, Table35[Black] )</f>
        <v>0</v>
      </c>
      <c r="AB37" s="43">
        <f>SUMIF(Table35[Career Cluster], 'Dashboard Data'!$AB$3, Table35[Black] )</f>
        <v>0</v>
      </c>
      <c r="AC37" s="45"/>
      <c r="AD37" s="41" t="s">
        <v>124</v>
      </c>
      <c r="AE37" s="44" t="e">
        <f>M37/(SUMIF(Table35[Career Cluster], 'Dashboard Data'!$AE$3, Table35[Total]))</f>
        <v>#DIV/0!</v>
      </c>
      <c r="AF37" s="44" t="e">
        <f>N37/(SUMIF(Table35[Career Cluster], 'Dashboard Data'!$AF$3, Table35[Total]))</f>
        <v>#DIV/0!</v>
      </c>
      <c r="AG37" s="44" t="e">
        <f>O37/(SUMIF(Table35[Career Cluster], 'Dashboard Data'!$AG$3, Table35[Total]))</f>
        <v>#DIV/0!</v>
      </c>
      <c r="AH37" s="44" t="e">
        <f>P37/(SUMIF(Table35[Career Cluster], 'Dashboard Data'!$AH$3, Table35[Total]))</f>
        <v>#DIV/0!</v>
      </c>
      <c r="AI37" s="44" t="e">
        <f>Q37/(SUMIF(Table35[Career Cluster], 'Dashboard Data'!$AI$3, Table35[Total]))</f>
        <v>#DIV/0!</v>
      </c>
      <c r="AJ37" s="44" t="e">
        <f>R37/(SUMIF(Table35[Career Cluster], 'Dashboard Data'!$AJ$3, Table35[Total]))</f>
        <v>#DIV/0!</v>
      </c>
      <c r="AK37" s="44" t="e">
        <f>S37/(SUMIF(Table35[Career Cluster], 'Dashboard Data'!$AK$3, Table35[Total]))</f>
        <v>#DIV/0!</v>
      </c>
      <c r="AL37" s="44" t="e">
        <f>T37/(SUMIF(Table35[Career Cluster], 'Dashboard Data'!$AL$3, Table35[Total]))</f>
        <v>#DIV/0!</v>
      </c>
      <c r="AM37" s="44" t="e">
        <f>U37/(SUMIF(Table35[Career Cluster], 'Dashboard Data'!$AM$3, Table35[Total]))</f>
        <v>#DIV/0!</v>
      </c>
      <c r="AN37" s="44" t="e">
        <f>V37/(SUMIF(Table35[Career Cluster], 'Dashboard Data'!$AN$3, Table35[Total]))</f>
        <v>#DIV/0!</v>
      </c>
      <c r="AO37" s="44" t="e">
        <f>W37/(SUMIF(Table35[Career Cluster], 'Dashboard Data'!$AO$3, Table35[Total]))</f>
        <v>#DIV/0!</v>
      </c>
      <c r="AP37" s="44" t="e">
        <f>X37/(SUMIF(Table35[Career Cluster], 'Dashboard Data'!$AP$3, Table35[Total]))</f>
        <v>#DIV/0!</v>
      </c>
      <c r="AQ37" s="44" t="e">
        <f>Y37/(SUMIF(Table35[Career Cluster], 'Dashboard Data'!$AQ$3, Table35[Total]))</f>
        <v>#DIV/0!</v>
      </c>
      <c r="AR37" s="44" t="e">
        <f>Z37/(SUMIF(Table35[Career Cluster], 'Dashboard Data'!$AR$3, Table35[Total]))</f>
        <v>#DIV/0!</v>
      </c>
      <c r="AS37" s="44" t="e">
        <f>AA37/(SUMIF(Table35[Career Cluster], 'Dashboard Data'!$AS$3, Table35[Total]))</f>
        <v>#DIV/0!</v>
      </c>
      <c r="AT37" s="44" t="e">
        <f>AB37/(SUMIF(Table35[Career Cluster], 'Dashboard Data'!$AT$3, Table35[Total]))</f>
        <v>#DIV/0!</v>
      </c>
    </row>
    <row r="38" spans="2:46" x14ac:dyDescent="0.25">
      <c r="B38" s="46"/>
      <c r="C38" s="48"/>
      <c r="D38" s="48"/>
      <c r="E38" s="48"/>
      <c r="F38" s="48"/>
      <c r="G38" s="46"/>
      <c r="H38" s="46"/>
      <c r="I38" s="46"/>
      <c r="J38" s="46"/>
      <c r="L38" s="41" t="s">
        <v>9</v>
      </c>
      <c r="M38" s="43">
        <f>SUMIF(Table35[Career Cluster], 'Dashboard Data'!$M$3, Table35[White] )</f>
        <v>0</v>
      </c>
      <c r="N38" s="43">
        <f>SUMIF(Table35[Career Cluster], 'Dashboard Data'!$N$3, Table35[White] )</f>
        <v>0</v>
      </c>
      <c r="O38" s="43">
        <f>SUMIF(Table35[Career Cluster], 'Dashboard Data'!$O$3, Table35[White] )</f>
        <v>0</v>
      </c>
      <c r="P38" s="43">
        <f>SUMIF(Table35[Career Cluster], 'Dashboard Data'!$P$3, Table35[White] )</f>
        <v>0</v>
      </c>
      <c r="Q38" s="43">
        <f>SUMIF(Table35[Career Cluster], 'Dashboard Data'!$Q$3, Table35[White] )</f>
        <v>0</v>
      </c>
      <c r="R38" s="43">
        <f>SUMIF(Table35[Career Cluster], 'Dashboard Data'!$R$3, Table35[White] )</f>
        <v>0</v>
      </c>
      <c r="S38" s="43">
        <f>SUMIF(Table35[Career Cluster], 'Dashboard Data'!$S$3, Table35[White] )</f>
        <v>0</v>
      </c>
      <c r="T38" s="43">
        <f>SUMIF(Table35[Career Cluster], 'Dashboard Data'!$T$3, Table35[White] )</f>
        <v>0</v>
      </c>
      <c r="U38" s="43">
        <f>SUMIF(Table35[Career Cluster], 'Dashboard Data'!$U$3, Table35[White] )</f>
        <v>0</v>
      </c>
      <c r="V38" s="43">
        <f>SUMIF(Table35[Career Cluster], 'Dashboard Data'!$V$3, Table35[White] )</f>
        <v>0</v>
      </c>
      <c r="W38" s="43">
        <f>SUMIF(Table35[Career Cluster], 'Dashboard Data'!$W$3, Table35[White] )</f>
        <v>0</v>
      </c>
      <c r="X38" s="43">
        <f>SUMIF(Table35[Career Cluster], 'Dashboard Data'!$X$3, Table35[White] )</f>
        <v>0</v>
      </c>
      <c r="Y38" s="43">
        <f>SUMIF(Table35[Career Cluster], 'Dashboard Data'!$Y$3, Table35[White] )</f>
        <v>0</v>
      </c>
      <c r="Z38" s="43">
        <f>SUMIF(Table35[Career Cluster], 'Dashboard Data'!$Z$3, Table35[White] )</f>
        <v>0</v>
      </c>
      <c r="AA38" s="43">
        <f>SUMIF(Table35[Career Cluster], 'Dashboard Data'!$AA$3, Table35[White] )</f>
        <v>0</v>
      </c>
      <c r="AB38" s="43">
        <f>SUMIF(Table35[Career Cluster], 'Dashboard Data'!$AB$3, Table35[White] )</f>
        <v>0</v>
      </c>
      <c r="AC38" s="45"/>
      <c r="AD38" s="41" t="s">
        <v>9</v>
      </c>
      <c r="AE38" s="44" t="e">
        <f>M38/(SUMIF(Table35[Career Cluster], 'Dashboard Data'!$AE$3, Table35[Total]))</f>
        <v>#DIV/0!</v>
      </c>
      <c r="AF38" s="44" t="e">
        <f>N38/(SUMIF(Table35[Career Cluster], 'Dashboard Data'!$AF$3, Table35[Total]))</f>
        <v>#DIV/0!</v>
      </c>
      <c r="AG38" s="44" t="e">
        <f>O38/(SUMIF(Table35[Career Cluster], 'Dashboard Data'!$AG$3, Table35[Total]))</f>
        <v>#DIV/0!</v>
      </c>
      <c r="AH38" s="44" t="e">
        <f>P38/(SUMIF(Table35[Career Cluster], 'Dashboard Data'!$AH$3, Table35[Total]))</f>
        <v>#DIV/0!</v>
      </c>
      <c r="AI38" s="44" t="e">
        <f>Q38/(SUMIF(Table35[Career Cluster], 'Dashboard Data'!$AI$3, Table35[Total]))</f>
        <v>#DIV/0!</v>
      </c>
      <c r="AJ38" s="44" t="e">
        <f>R38/(SUMIF(Table35[Career Cluster], 'Dashboard Data'!$AJ$3, Table35[Total]))</f>
        <v>#DIV/0!</v>
      </c>
      <c r="AK38" s="44" t="e">
        <f>S38/(SUMIF(Table35[Career Cluster], 'Dashboard Data'!$AK$3, Table35[Total]))</f>
        <v>#DIV/0!</v>
      </c>
      <c r="AL38" s="44" t="e">
        <f>T38/(SUMIF(Table35[Career Cluster], 'Dashboard Data'!$AL$3, Table35[Total]))</f>
        <v>#DIV/0!</v>
      </c>
      <c r="AM38" s="44" t="e">
        <f>U38/(SUMIF(Table35[Career Cluster], 'Dashboard Data'!$AM$3, Table35[Total]))</f>
        <v>#DIV/0!</v>
      </c>
      <c r="AN38" s="44" t="e">
        <f>V38/(SUMIF(Table35[Career Cluster], 'Dashboard Data'!$AN$3, Table35[Total]))</f>
        <v>#DIV/0!</v>
      </c>
      <c r="AO38" s="44" t="e">
        <f>W38/(SUMIF(Table35[Career Cluster], 'Dashboard Data'!$AO$3, Table35[Total]))</f>
        <v>#DIV/0!</v>
      </c>
      <c r="AP38" s="44" t="e">
        <f>X38/(SUMIF(Table35[Career Cluster], 'Dashboard Data'!$AP$3, Table35[Total]))</f>
        <v>#DIV/0!</v>
      </c>
      <c r="AQ38" s="44" t="e">
        <f>Y38/(SUMIF(Table35[Career Cluster], 'Dashboard Data'!$AQ$3, Table35[Total]))</f>
        <v>#DIV/0!</v>
      </c>
      <c r="AR38" s="44" t="e">
        <f>Z38/(SUMIF(Table35[Career Cluster], 'Dashboard Data'!$AR$3, Table35[Total]))</f>
        <v>#DIV/0!</v>
      </c>
      <c r="AS38" s="44" t="e">
        <f>AA38/(SUMIF(Table35[Career Cluster], 'Dashboard Data'!$AS$3, Table35[Total]))</f>
        <v>#DIV/0!</v>
      </c>
      <c r="AT38" s="44" t="e">
        <f>AB38/(SUMIF(Table35[Career Cluster], 'Dashboard Data'!$AT$3, Table35[Total]))</f>
        <v>#DIV/0!</v>
      </c>
    </row>
    <row r="39" spans="2:46" x14ac:dyDescent="0.25">
      <c r="B39" s="46"/>
      <c r="C39" s="48"/>
      <c r="D39" s="48"/>
      <c r="E39" s="48"/>
      <c r="F39" s="48"/>
      <c r="G39" s="46"/>
      <c r="H39" s="46"/>
      <c r="I39" s="46"/>
      <c r="J39" s="46"/>
      <c r="L39" s="41" t="s">
        <v>125</v>
      </c>
      <c r="M39" s="43">
        <f>SUMIF(Table35[Career Cluster], 'Dashboard Data'!$M$3, Table35[H/PI] )</f>
        <v>0</v>
      </c>
      <c r="N39" s="43">
        <f>SUMIF(Table35[Career Cluster], 'Dashboard Data'!$N$3, Table35[H/PI] )</f>
        <v>0</v>
      </c>
      <c r="O39" s="43">
        <f>SUMIF(Table35[Career Cluster], 'Dashboard Data'!$O$3, Table35[H/PI] )</f>
        <v>0</v>
      </c>
      <c r="P39" s="43">
        <f>SUMIF(Table35[Career Cluster], 'Dashboard Data'!$P$3, Table35[H/PI] )</f>
        <v>0</v>
      </c>
      <c r="Q39" s="43">
        <f>SUMIF(Table35[Career Cluster], 'Dashboard Data'!$Q$3, Table35[H/PI] )</f>
        <v>0</v>
      </c>
      <c r="R39" s="43">
        <f>SUMIF(Table35[Career Cluster], 'Dashboard Data'!$R$3, Table35[H/PI] )</f>
        <v>0</v>
      </c>
      <c r="S39" s="43">
        <f>SUMIF(Table35[Career Cluster], 'Dashboard Data'!$S$3, Table35[H/PI] )</f>
        <v>0</v>
      </c>
      <c r="T39" s="43">
        <f>SUMIF(Table35[Career Cluster], 'Dashboard Data'!$T$3, Table35[H/PI] )</f>
        <v>0</v>
      </c>
      <c r="U39" s="43">
        <f>SUMIF(Table35[Career Cluster], 'Dashboard Data'!$U$3, Table35[H/PI] )</f>
        <v>0</v>
      </c>
      <c r="V39" s="43">
        <f>SUMIF(Table35[Career Cluster], 'Dashboard Data'!$V$3, Table35[H/PI] )</f>
        <v>0</v>
      </c>
      <c r="W39" s="43">
        <f>SUMIF(Table35[Career Cluster], 'Dashboard Data'!$W$3, Table35[H/PI] )</f>
        <v>0</v>
      </c>
      <c r="X39" s="43">
        <f>SUMIF(Table35[Career Cluster], 'Dashboard Data'!$X$3, Table35[H/PI] )</f>
        <v>0</v>
      </c>
      <c r="Y39" s="43">
        <f>SUMIF(Table35[Career Cluster], 'Dashboard Data'!$Y$3, Table35[H/PI] )</f>
        <v>0</v>
      </c>
      <c r="Z39" s="43">
        <f>SUMIF(Table35[Career Cluster], 'Dashboard Data'!$Z$3, Table35[H/PI] )</f>
        <v>0</v>
      </c>
      <c r="AA39" s="43">
        <f>SUMIF(Table35[Career Cluster], 'Dashboard Data'!$AA$3, Table35[H/PI] )</f>
        <v>0</v>
      </c>
      <c r="AB39" s="43">
        <f>SUMIF(Table35[Career Cluster], 'Dashboard Data'!$AB$3, Table35[H/PI] )</f>
        <v>0</v>
      </c>
      <c r="AC39" s="45"/>
      <c r="AD39" s="41" t="s">
        <v>125</v>
      </c>
      <c r="AE39" s="44" t="e">
        <f>M39/(SUMIF(Table35[Career Cluster], 'Dashboard Data'!$AE$3, Table35[Total]))</f>
        <v>#DIV/0!</v>
      </c>
      <c r="AF39" s="44" t="e">
        <f>N39/(SUMIF(Table35[Career Cluster], 'Dashboard Data'!$AF$3, Table35[Total]))</f>
        <v>#DIV/0!</v>
      </c>
      <c r="AG39" s="44" t="e">
        <f>O39/(SUMIF(Table35[Career Cluster], 'Dashboard Data'!$AG$3, Table35[Total]))</f>
        <v>#DIV/0!</v>
      </c>
      <c r="AH39" s="44" t="e">
        <f>P39/(SUMIF(Table35[Career Cluster], 'Dashboard Data'!$AH$3, Table35[Total]))</f>
        <v>#DIV/0!</v>
      </c>
      <c r="AI39" s="44" t="e">
        <f>Q39/(SUMIF(Table35[Career Cluster], 'Dashboard Data'!$AI$3, Table35[Total]))</f>
        <v>#DIV/0!</v>
      </c>
      <c r="AJ39" s="44" t="e">
        <f>R39/(SUMIF(Table35[Career Cluster], 'Dashboard Data'!$AJ$3, Table35[Total]))</f>
        <v>#DIV/0!</v>
      </c>
      <c r="AK39" s="44" t="e">
        <f>S39/(SUMIF(Table35[Career Cluster], 'Dashboard Data'!$AK$3, Table35[Total]))</f>
        <v>#DIV/0!</v>
      </c>
      <c r="AL39" s="44" t="e">
        <f>T39/(SUMIF(Table35[Career Cluster], 'Dashboard Data'!$AL$3, Table35[Total]))</f>
        <v>#DIV/0!</v>
      </c>
      <c r="AM39" s="44" t="e">
        <f>U39/(SUMIF(Table35[Career Cluster], 'Dashboard Data'!$AM$3, Table35[Total]))</f>
        <v>#DIV/0!</v>
      </c>
      <c r="AN39" s="44" t="e">
        <f>V39/(SUMIF(Table35[Career Cluster], 'Dashboard Data'!$AN$3, Table35[Total]))</f>
        <v>#DIV/0!</v>
      </c>
      <c r="AO39" s="44" t="e">
        <f>W39/(SUMIF(Table35[Career Cluster], 'Dashboard Data'!$AO$3, Table35[Total]))</f>
        <v>#DIV/0!</v>
      </c>
      <c r="AP39" s="44" t="e">
        <f>X39/(SUMIF(Table35[Career Cluster], 'Dashboard Data'!$AP$3, Table35[Total]))</f>
        <v>#DIV/0!</v>
      </c>
      <c r="AQ39" s="44" t="e">
        <f>Y39/(SUMIF(Table35[Career Cluster], 'Dashboard Data'!$AQ$3, Table35[Total]))</f>
        <v>#DIV/0!</v>
      </c>
      <c r="AR39" s="44" t="e">
        <f>Z39/(SUMIF(Table35[Career Cluster], 'Dashboard Data'!$AR$3, Table35[Total]))</f>
        <v>#DIV/0!</v>
      </c>
      <c r="AS39" s="44" t="e">
        <f>AA39/(SUMIF(Table35[Career Cluster], 'Dashboard Data'!$AS$3, Table35[Total]))</f>
        <v>#DIV/0!</v>
      </c>
      <c r="AT39" s="44" t="e">
        <f>AB39/(SUMIF(Table35[Career Cluster], 'Dashboard Data'!$AT$3, Table35[Total]))</f>
        <v>#DIV/0!</v>
      </c>
    </row>
    <row r="40" spans="2:46" x14ac:dyDescent="0.25">
      <c r="B40" s="46"/>
      <c r="C40" s="48"/>
      <c r="D40" s="48"/>
      <c r="E40" s="48"/>
      <c r="F40" s="48"/>
      <c r="G40" s="46"/>
      <c r="H40" s="46"/>
      <c r="I40" s="46"/>
      <c r="J40" s="46"/>
      <c r="L40" s="41" t="s">
        <v>126</v>
      </c>
      <c r="M40" s="43">
        <f>SUMIF(Table35[Career Cluster], 'Dashboard Data'!$M$3, Table35[Multi] )</f>
        <v>0</v>
      </c>
      <c r="N40" s="43">
        <f>SUMIF(Table35[Career Cluster], 'Dashboard Data'!$N$3, Table35[Multi] )</f>
        <v>0</v>
      </c>
      <c r="O40" s="43">
        <f>SUMIF(Table35[Career Cluster], 'Dashboard Data'!$O$3, Table35[Multi] )</f>
        <v>0</v>
      </c>
      <c r="P40" s="43">
        <f>SUMIF(Table35[Career Cluster], 'Dashboard Data'!$P$3, Table35[Multi] )</f>
        <v>0</v>
      </c>
      <c r="Q40" s="43">
        <f>SUMIF(Table35[Career Cluster], 'Dashboard Data'!$Q$3, Table35[Multi] )</f>
        <v>0</v>
      </c>
      <c r="R40" s="43">
        <f>SUMIF(Table35[Career Cluster], 'Dashboard Data'!$R$3, Table35[Multi] )</f>
        <v>0</v>
      </c>
      <c r="S40" s="43">
        <f>SUMIF(Table35[Career Cluster], 'Dashboard Data'!$S$3, Table35[Multi] )</f>
        <v>0</v>
      </c>
      <c r="T40" s="43">
        <f>SUMIF(Table35[Career Cluster], 'Dashboard Data'!$T$3, Table35[Multi] )</f>
        <v>0</v>
      </c>
      <c r="U40" s="43">
        <f>SUMIF(Table35[Career Cluster], 'Dashboard Data'!$U$3, Table35[Multi] )</f>
        <v>0</v>
      </c>
      <c r="V40" s="43">
        <f>SUMIF(Table35[Career Cluster], 'Dashboard Data'!$V$3, Table35[Multi] )</f>
        <v>0</v>
      </c>
      <c r="W40" s="43">
        <f>SUMIF(Table35[Career Cluster], 'Dashboard Data'!$W$3, Table35[Multi] )</f>
        <v>0</v>
      </c>
      <c r="X40" s="43">
        <f>SUMIF(Table35[Career Cluster], 'Dashboard Data'!$X$3, Table35[Multi] )</f>
        <v>0</v>
      </c>
      <c r="Y40" s="43">
        <f>SUMIF(Table35[Career Cluster], 'Dashboard Data'!$Y$3, Table35[Multi] )</f>
        <v>0</v>
      </c>
      <c r="Z40" s="43">
        <f>SUMIF(Table35[Career Cluster], 'Dashboard Data'!$Z$3, Table35[Multi] )</f>
        <v>0</v>
      </c>
      <c r="AA40" s="43">
        <f>SUMIF(Table35[Career Cluster], 'Dashboard Data'!$AA$3, Table35[Multi] )</f>
        <v>0</v>
      </c>
      <c r="AB40" s="43">
        <f>SUMIF(Table35[Career Cluster], 'Dashboard Data'!$AB$3, Table35[Multi] )</f>
        <v>0</v>
      </c>
      <c r="AC40" s="45"/>
      <c r="AD40" s="41" t="s">
        <v>126</v>
      </c>
      <c r="AE40" s="44" t="e">
        <f>M40/(SUMIF(Table35[Career Cluster], 'Dashboard Data'!$AE$3, Table35[Total]))</f>
        <v>#DIV/0!</v>
      </c>
      <c r="AF40" s="44" t="e">
        <f>N40/(SUMIF(Table35[Career Cluster], 'Dashboard Data'!$AF$3, Table35[Total]))</f>
        <v>#DIV/0!</v>
      </c>
      <c r="AG40" s="44" t="e">
        <f>O40/(SUMIF(Table35[Career Cluster], 'Dashboard Data'!$AG$3, Table35[Total]))</f>
        <v>#DIV/0!</v>
      </c>
      <c r="AH40" s="44" t="e">
        <f>P40/(SUMIF(Table35[Career Cluster], 'Dashboard Data'!$AH$3, Table35[Total]))</f>
        <v>#DIV/0!</v>
      </c>
      <c r="AI40" s="44" t="e">
        <f>Q40/(SUMIF(Table35[Career Cluster], 'Dashboard Data'!$AI$3, Table35[Total]))</f>
        <v>#DIV/0!</v>
      </c>
      <c r="AJ40" s="44" t="e">
        <f>R40/(SUMIF(Table35[Career Cluster], 'Dashboard Data'!$AJ$3, Table35[Total]))</f>
        <v>#DIV/0!</v>
      </c>
      <c r="AK40" s="44" t="e">
        <f>S40/(SUMIF(Table35[Career Cluster], 'Dashboard Data'!$AK$3, Table35[Total]))</f>
        <v>#DIV/0!</v>
      </c>
      <c r="AL40" s="44" t="e">
        <f>T40/(SUMIF(Table35[Career Cluster], 'Dashboard Data'!$AL$3, Table35[Total]))</f>
        <v>#DIV/0!</v>
      </c>
      <c r="AM40" s="44" t="e">
        <f>U40/(SUMIF(Table35[Career Cluster], 'Dashboard Data'!$AM$3, Table35[Total]))</f>
        <v>#DIV/0!</v>
      </c>
      <c r="AN40" s="44" t="e">
        <f>V40/(SUMIF(Table35[Career Cluster], 'Dashboard Data'!$AN$3, Table35[Total]))</f>
        <v>#DIV/0!</v>
      </c>
      <c r="AO40" s="44" t="e">
        <f>W40/(SUMIF(Table35[Career Cluster], 'Dashboard Data'!$AO$3, Table35[Total]))</f>
        <v>#DIV/0!</v>
      </c>
      <c r="AP40" s="44" t="e">
        <f>X40/(SUMIF(Table35[Career Cluster], 'Dashboard Data'!$AP$3, Table35[Total]))</f>
        <v>#DIV/0!</v>
      </c>
      <c r="AQ40" s="44" t="e">
        <f>Y40/(SUMIF(Table35[Career Cluster], 'Dashboard Data'!$AQ$3, Table35[Total]))</f>
        <v>#DIV/0!</v>
      </c>
      <c r="AR40" s="44" t="e">
        <f>Z40/(SUMIF(Table35[Career Cluster], 'Dashboard Data'!$AR$3, Table35[Total]))</f>
        <v>#DIV/0!</v>
      </c>
      <c r="AS40" s="44" t="e">
        <f>AA40/(SUMIF(Table35[Career Cluster], 'Dashboard Data'!$AS$3, Table35[Total]))</f>
        <v>#DIV/0!</v>
      </c>
      <c r="AT40" s="44" t="e">
        <f>AB40/(SUMIF(Table35[Career Cluster], 'Dashboard Data'!$AT$3, Table35[Total]))</f>
        <v>#DIV/0!</v>
      </c>
    </row>
    <row r="41" spans="2:46" x14ac:dyDescent="0.25">
      <c r="B41" s="46"/>
      <c r="C41" s="48"/>
      <c r="D41" s="48"/>
      <c r="E41" s="48"/>
      <c r="F41" s="48"/>
      <c r="G41" s="46"/>
      <c r="H41" s="46"/>
      <c r="I41" s="46"/>
      <c r="J41" s="46"/>
      <c r="L41" s="41" t="s">
        <v>17</v>
      </c>
      <c r="M41" s="43">
        <f>SUMIF(Table35[Career Cluster], 'Dashboard Data'!$M$3, Table35[Unknown] )</f>
        <v>0</v>
      </c>
      <c r="N41" s="43">
        <f>SUMIF(Table35[Career Cluster], 'Dashboard Data'!$N$3, Table35[Unknown] )</f>
        <v>0</v>
      </c>
      <c r="O41" s="43">
        <f>SUMIF(Table35[Career Cluster], 'Dashboard Data'!$O$3, Table35[Unknown] )</f>
        <v>0</v>
      </c>
      <c r="P41" s="43">
        <f>SUMIF(Table35[Career Cluster], 'Dashboard Data'!$P$3, Table35[Unknown] )</f>
        <v>0</v>
      </c>
      <c r="Q41" s="43">
        <f>SUMIF(Table35[Career Cluster], 'Dashboard Data'!$Q$3, Table35[Unknown] )</f>
        <v>0</v>
      </c>
      <c r="R41" s="43">
        <f>SUMIF(Table35[Career Cluster], 'Dashboard Data'!$R$3, Table35[Unknown] )</f>
        <v>0</v>
      </c>
      <c r="S41" s="43">
        <f>SUMIF(Table35[Career Cluster], 'Dashboard Data'!$S$3, Table35[Unknown] )</f>
        <v>0</v>
      </c>
      <c r="T41" s="43">
        <f>SUMIF(Table35[Career Cluster], 'Dashboard Data'!$T$3, Table35[Unknown] )</f>
        <v>0</v>
      </c>
      <c r="U41" s="43">
        <f>SUMIF(Table35[Career Cluster], 'Dashboard Data'!$U$3, Table35[Unknown] )</f>
        <v>0</v>
      </c>
      <c r="V41" s="43">
        <f>SUMIF(Table35[Career Cluster], 'Dashboard Data'!$V$3, Table35[Unknown] )</f>
        <v>0</v>
      </c>
      <c r="W41" s="43">
        <f>SUMIF(Table35[Career Cluster], 'Dashboard Data'!$W$3, Table35[Unknown] )</f>
        <v>0</v>
      </c>
      <c r="X41" s="43">
        <f>SUMIF(Table35[Career Cluster], 'Dashboard Data'!$X$3, Table35[Unknown] )</f>
        <v>0</v>
      </c>
      <c r="Y41" s="43">
        <f>SUMIF(Table35[Career Cluster], 'Dashboard Data'!$Y$3, Table35[Unknown] )</f>
        <v>0</v>
      </c>
      <c r="Z41" s="43">
        <f>SUMIF(Table35[Career Cluster], 'Dashboard Data'!$Z$3, Table35[Unknown] )</f>
        <v>0</v>
      </c>
      <c r="AA41" s="43">
        <f>SUMIF(Table35[Career Cluster], 'Dashboard Data'!$AA$3, Table35[Unknown] )</f>
        <v>0</v>
      </c>
      <c r="AB41" s="43">
        <f>SUMIF(Table35[Career Cluster], 'Dashboard Data'!$AB$3, Table35[Unknown] )</f>
        <v>0</v>
      </c>
      <c r="AC41" s="45"/>
      <c r="AD41" s="41" t="s">
        <v>17</v>
      </c>
      <c r="AE41" s="44" t="e">
        <f>M41/(SUMIF(Table35[Career Cluster], 'Dashboard Data'!$AE$3, Table35[Total]))</f>
        <v>#DIV/0!</v>
      </c>
      <c r="AF41" s="44" t="e">
        <f>N41/(SUMIF(Table35[Career Cluster], 'Dashboard Data'!$AF$3, Table35[Total]))</f>
        <v>#DIV/0!</v>
      </c>
      <c r="AG41" s="44" t="e">
        <f>O41/(SUMIF(Table35[Career Cluster], 'Dashboard Data'!$AG$3, Table35[Total]))</f>
        <v>#DIV/0!</v>
      </c>
      <c r="AH41" s="44" t="e">
        <f>P41/(SUMIF(Table35[Career Cluster], 'Dashboard Data'!$AH$3, Table35[Total]))</f>
        <v>#DIV/0!</v>
      </c>
      <c r="AI41" s="44" t="e">
        <f>Q41/(SUMIF(Table35[Career Cluster], 'Dashboard Data'!$AI$3, Table35[Total]))</f>
        <v>#DIV/0!</v>
      </c>
      <c r="AJ41" s="44" t="e">
        <f>R41/(SUMIF(Table35[Career Cluster], 'Dashboard Data'!$AJ$3, Table35[Total]))</f>
        <v>#DIV/0!</v>
      </c>
      <c r="AK41" s="44" t="e">
        <f>S41/(SUMIF(Table35[Career Cluster], 'Dashboard Data'!$AK$3, Table35[Total]))</f>
        <v>#DIV/0!</v>
      </c>
      <c r="AL41" s="44" t="e">
        <f>T41/(SUMIF(Table35[Career Cluster], 'Dashboard Data'!$AL$3, Table35[Total]))</f>
        <v>#DIV/0!</v>
      </c>
      <c r="AM41" s="44" t="e">
        <f>U41/(SUMIF(Table35[Career Cluster], 'Dashboard Data'!$AM$3, Table35[Total]))</f>
        <v>#DIV/0!</v>
      </c>
      <c r="AN41" s="44" t="e">
        <f>V41/(SUMIF(Table35[Career Cluster], 'Dashboard Data'!$AN$3, Table35[Total]))</f>
        <v>#DIV/0!</v>
      </c>
      <c r="AO41" s="44" t="e">
        <f>W41/(SUMIF(Table35[Career Cluster], 'Dashboard Data'!$AO$3, Table35[Total]))</f>
        <v>#DIV/0!</v>
      </c>
      <c r="AP41" s="44" t="e">
        <f>X41/(SUMIF(Table35[Career Cluster], 'Dashboard Data'!$AP$3, Table35[Total]))</f>
        <v>#DIV/0!</v>
      </c>
      <c r="AQ41" s="44" t="e">
        <f>Y41/(SUMIF(Table35[Career Cluster], 'Dashboard Data'!$AQ$3, Table35[Total]))</f>
        <v>#DIV/0!</v>
      </c>
      <c r="AR41" s="44" t="e">
        <f>Z41/(SUMIF(Table35[Career Cluster], 'Dashboard Data'!$AR$3, Table35[Total]))</f>
        <v>#DIV/0!</v>
      </c>
      <c r="AS41" s="44" t="e">
        <f>AA41/(SUMIF(Table35[Career Cluster], 'Dashboard Data'!$AS$3, Table35[Total]))</f>
        <v>#DIV/0!</v>
      </c>
      <c r="AT41" s="44" t="e">
        <f>AB41/(SUMIF(Table35[Career Cluster], 'Dashboard Data'!$AT$3, Table35[Total]))</f>
        <v>#DIV/0!</v>
      </c>
    </row>
    <row r="42" spans="2:46" x14ac:dyDescent="0.25">
      <c r="B42" s="46"/>
      <c r="C42" s="48"/>
      <c r="D42" s="48"/>
      <c r="E42" s="48"/>
      <c r="F42" s="48"/>
      <c r="G42" s="46"/>
      <c r="H42" s="46"/>
      <c r="I42" s="46"/>
      <c r="J42" s="46"/>
      <c r="L42" s="41"/>
      <c r="M42" s="43"/>
      <c r="N42" s="43"/>
      <c r="O42" s="43"/>
      <c r="P42" s="43"/>
      <c r="Q42" s="43"/>
      <c r="R42" s="43"/>
      <c r="S42" s="43"/>
      <c r="T42" s="43"/>
      <c r="U42" s="43"/>
      <c r="V42" s="43"/>
      <c r="W42" s="43"/>
      <c r="X42" s="43"/>
      <c r="Y42" s="43"/>
      <c r="Z42" s="43"/>
      <c r="AA42" s="43"/>
      <c r="AB42" s="43"/>
      <c r="AC42" s="45"/>
      <c r="AD42" s="41"/>
      <c r="AE42" s="44"/>
      <c r="AF42" s="44"/>
      <c r="AG42" s="44"/>
      <c r="AH42" s="44"/>
      <c r="AI42" s="44"/>
      <c r="AJ42" s="44"/>
      <c r="AK42" s="44"/>
      <c r="AL42" s="44"/>
      <c r="AM42" s="44"/>
      <c r="AN42" s="44"/>
      <c r="AO42" s="44"/>
      <c r="AP42" s="44"/>
      <c r="AQ42" s="44"/>
      <c r="AR42" s="44"/>
      <c r="AS42" s="44"/>
      <c r="AT42" s="44"/>
    </row>
    <row r="43" spans="2:46" x14ac:dyDescent="0.25">
      <c r="B43" s="46"/>
      <c r="C43" s="48"/>
      <c r="D43" s="48"/>
      <c r="E43" s="48"/>
      <c r="F43" s="48"/>
      <c r="G43" s="46"/>
      <c r="H43" s="46"/>
      <c r="I43" s="46"/>
      <c r="J43" s="46"/>
      <c r="L43" s="41" t="s">
        <v>54</v>
      </c>
      <c r="M43" s="43">
        <f>SUMIF(Table35[Career Cluster], 'Dashboard Data'!$M$3, Table35[Dis] )</f>
        <v>0</v>
      </c>
      <c r="N43" s="43">
        <f>SUMIF(Table35[Career Cluster], 'Dashboard Data'!$N$3, Table35[Dis] )</f>
        <v>0</v>
      </c>
      <c r="O43" s="43">
        <f>SUMIF(Table35[Career Cluster], 'Dashboard Data'!$O$3, Table35[Dis] )</f>
        <v>0</v>
      </c>
      <c r="P43" s="43">
        <f>SUMIF(Table35[Career Cluster], 'Dashboard Data'!$P$3, Table35[Dis] )</f>
        <v>0</v>
      </c>
      <c r="Q43" s="43">
        <f>SUMIF(Table35[Career Cluster], 'Dashboard Data'!$Q$3, Table35[Dis] )</f>
        <v>0</v>
      </c>
      <c r="R43" s="43">
        <f>SUMIF(Table35[Career Cluster], 'Dashboard Data'!$R$3, Table35[Dis] )</f>
        <v>0</v>
      </c>
      <c r="S43" s="43">
        <f>SUMIF(Table35[Career Cluster], 'Dashboard Data'!$S$3, Table35[Dis] )</f>
        <v>0</v>
      </c>
      <c r="T43" s="43">
        <f>SUMIF(Table35[Career Cluster], 'Dashboard Data'!$T$3, Table35[Dis] )</f>
        <v>0</v>
      </c>
      <c r="U43" s="43">
        <f>SUMIF(Table35[Career Cluster], 'Dashboard Data'!$U$3, Table35[Dis] )</f>
        <v>0</v>
      </c>
      <c r="V43" s="43">
        <f>SUMIF(Table35[Career Cluster], 'Dashboard Data'!$V$3, Table35[Dis] )</f>
        <v>0</v>
      </c>
      <c r="W43" s="43">
        <f>SUMIF(Table35[Career Cluster], 'Dashboard Data'!$W$3, Table35[Dis] )</f>
        <v>0</v>
      </c>
      <c r="X43" s="43">
        <f>SUMIF(Table35[Career Cluster], 'Dashboard Data'!$X$3, Table35[Dis] )</f>
        <v>0</v>
      </c>
      <c r="Y43" s="43">
        <f>SUMIF(Table35[Career Cluster], 'Dashboard Data'!$Y$3, Table35[Dis] )</f>
        <v>0</v>
      </c>
      <c r="Z43" s="43">
        <f>SUMIF(Table35[Career Cluster], 'Dashboard Data'!$Z$3, Table35[Dis] )</f>
        <v>0</v>
      </c>
      <c r="AA43" s="43">
        <f>SUMIF(Table35[Career Cluster], 'Dashboard Data'!$AA$3, Table35[Dis] )</f>
        <v>0</v>
      </c>
      <c r="AB43" s="43">
        <f>SUMIF(Table35[Career Cluster], 'Dashboard Data'!$AB$3, Table35[Dis] )</f>
        <v>0</v>
      </c>
      <c r="AC43" s="45"/>
      <c r="AD43" s="41" t="s">
        <v>54</v>
      </c>
      <c r="AE43" s="44" t="e">
        <f>M43/(SUMIF(Table35[Career Cluster], 'Dashboard Data'!$AE$3, Table35[Total]))</f>
        <v>#DIV/0!</v>
      </c>
      <c r="AF43" s="44" t="e">
        <f>N43/(SUMIF(Table35[Career Cluster], 'Dashboard Data'!$AF$3, Table35[Total]))</f>
        <v>#DIV/0!</v>
      </c>
      <c r="AG43" s="44" t="e">
        <f>O43/(SUMIF(Table35[Career Cluster], 'Dashboard Data'!$AG$3, Table35[Total]))</f>
        <v>#DIV/0!</v>
      </c>
      <c r="AH43" s="44" t="e">
        <f>P43/(SUMIF(Table35[Career Cluster], 'Dashboard Data'!$AH$3, Table35[Total]))</f>
        <v>#DIV/0!</v>
      </c>
      <c r="AI43" s="44" t="e">
        <f>Q43/(SUMIF(Table35[Career Cluster], 'Dashboard Data'!$AI$3, Table35[Total]))</f>
        <v>#DIV/0!</v>
      </c>
      <c r="AJ43" s="44" t="e">
        <f>R43/(SUMIF(Table35[Career Cluster], 'Dashboard Data'!$AJ$3, Table35[Total]))</f>
        <v>#DIV/0!</v>
      </c>
      <c r="AK43" s="44" t="e">
        <f>S43/(SUMIF(Table35[Career Cluster], 'Dashboard Data'!$AK$3, Table35[Total]))</f>
        <v>#DIV/0!</v>
      </c>
      <c r="AL43" s="44" t="e">
        <f>T43/(SUMIF(Table35[Career Cluster], 'Dashboard Data'!$AL$3, Table35[Total]))</f>
        <v>#DIV/0!</v>
      </c>
      <c r="AM43" s="44" t="e">
        <f>U43/(SUMIF(Table35[Career Cluster], 'Dashboard Data'!$AM$3, Table35[Total]))</f>
        <v>#DIV/0!</v>
      </c>
      <c r="AN43" s="44" t="e">
        <f>V43/(SUMIF(Table35[Career Cluster], 'Dashboard Data'!$AN$3, Table35[Total]))</f>
        <v>#DIV/0!</v>
      </c>
      <c r="AO43" s="44" t="e">
        <f>W43/(SUMIF(Table35[Career Cluster], 'Dashboard Data'!$AO$3, Table35[Total]))</f>
        <v>#DIV/0!</v>
      </c>
      <c r="AP43" s="44" t="e">
        <f>X43/(SUMIF(Table35[Career Cluster], 'Dashboard Data'!$AP$3, Table35[Total]))</f>
        <v>#DIV/0!</v>
      </c>
      <c r="AQ43" s="44" t="e">
        <f>Y43/(SUMIF(Table35[Career Cluster], 'Dashboard Data'!$AQ$3, Table35[Total]))</f>
        <v>#DIV/0!</v>
      </c>
      <c r="AR43" s="44" t="e">
        <f>Z43/(SUMIF(Table35[Career Cluster], 'Dashboard Data'!$AR$3, Table35[Total]))</f>
        <v>#DIV/0!</v>
      </c>
      <c r="AS43" s="44" t="e">
        <f>AA43/(SUMIF(Table35[Career Cluster], 'Dashboard Data'!$AS$3, Table35[Total]))</f>
        <v>#DIV/0!</v>
      </c>
      <c r="AT43" s="44" t="e">
        <f>AB43/(SUMIF(Table35[Career Cluster], 'Dashboard Data'!$AT$3, Table35[Total]))</f>
        <v>#DIV/0!</v>
      </c>
    </row>
    <row r="44" spans="2:46" x14ac:dyDescent="0.25">
      <c r="B44" s="46"/>
      <c r="C44" s="48"/>
      <c r="D44" s="48"/>
      <c r="E44" s="48"/>
      <c r="F44" s="48"/>
      <c r="G44" s="46"/>
      <c r="H44" s="46"/>
      <c r="I44" s="46"/>
      <c r="J44" s="46"/>
      <c r="L44" s="41" t="s">
        <v>57</v>
      </c>
      <c r="M44" s="43">
        <f>SUMIF(Table35[Career Cluster], 'Dashboard Data'!$M$3, Table35[ED] )</f>
        <v>0</v>
      </c>
      <c r="N44" s="43">
        <f>SUMIF(Table35[Career Cluster], 'Dashboard Data'!$N$3, Table35[ED] )</f>
        <v>0</v>
      </c>
      <c r="O44" s="43">
        <f>SUMIF(Table35[Career Cluster], 'Dashboard Data'!$O$3, Table35[ED] )</f>
        <v>0</v>
      </c>
      <c r="P44" s="43">
        <f>SUMIF(Table35[Career Cluster], 'Dashboard Data'!$P$3, Table35[ED] )</f>
        <v>0</v>
      </c>
      <c r="Q44" s="43">
        <f>SUMIF(Table35[Career Cluster], 'Dashboard Data'!$Q$3, Table35[ED] )</f>
        <v>0</v>
      </c>
      <c r="R44" s="43">
        <f>SUMIF(Table35[Career Cluster], 'Dashboard Data'!$R$3, Table35[ED] )</f>
        <v>0</v>
      </c>
      <c r="S44" s="43">
        <f>SUMIF(Table35[Career Cluster], 'Dashboard Data'!$S$3, Table35[ED] )</f>
        <v>0</v>
      </c>
      <c r="T44" s="43">
        <f>SUMIF(Table35[Career Cluster], 'Dashboard Data'!$T$3, Table35[ED] )</f>
        <v>0</v>
      </c>
      <c r="U44" s="43">
        <f>SUMIF(Table35[Career Cluster], 'Dashboard Data'!$U$3, Table35[ED] )</f>
        <v>0</v>
      </c>
      <c r="V44" s="43">
        <f>SUMIF(Table35[Career Cluster], 'Dashboard Data'!$V$3, Table35[ED] )</f>
        <v>0</v>
      </c>
      <c r="W44" s="43">
        <f>SUMIF(Table35[Career Cluster], 'Dashboard Data'!$W$3, Table35[ED] )</f>
        <v>0</v>
      </c>
      <c r="X44" s="43">
        <f>SUMIF(Table35[Career Cluster], 'Dashboard Data'!$X$3, Table35[ED] )</f>
        <v>0</v>
      </c>
      <c r="Y44" s="43">
        <f>SUMIF(Table35[Career Cluster], 'Dashboard Data'!$Y$3, Table35[ED] )</f>
        <v>0</v>
      </c>
      <c r="Z44" s="43">
        <f>SUMIF(Table35[Career Cluster], 'Dashboard Data'!$Z$3, Table35[ED] )</f>
        <v>0</v>
      </c>
      <c r="AA44" s="43">
        <f>SUMIF(Table35[Career Cluster], 'Dashboard Data'!$AA$3, Table35[ED] )</f>
        <v>0</v>
      </c>
      <c r="AB44" s="43">
        <f>SUMIF(Table35[Career Cluster], 'Dashboard Data'!$AB$3, Table35[ED] )</f>
        <v>0</v>
      </c>
      <c r="AC44" s="45"/>
      <c r="AD44" s="41" t="s">
        <v>57</v>
      </c>
      <c r="AE44" s="44" t="e">
        <f>M44/(SUMIF(Table35[Career Cluster], 'Dashboard Data'!$AE$3, Table35[Total]))</f>
        <v>#DIV/0!</v>
      </c>
      <c r="AF44" s="44" t="e">
        <f>N44/(SUMIF(Table35[Career Cluster], 'Dashboard Data'!$AF$3, Table35[Total]))</f>
        <v>#DIV/0!</v>
      </c>
      <c r="AG44" s="44" t="e">
        <f>O44/(SUMIF(Table35[Career Cluster], 'Dashboard Data'!$AG$3, Table35[Total]))</f>
        <v>#DIV/0!</v>
      </c>
      <c r="AH44" s="44" t="e">
        <f>P44/(SUMIF(Table35[Career Cluster], 'Dashboard Data'!$AH$3, Table35[Total]))</f>
        <v>#DIV/0!</v>
      </c>
      <c r="AI44" s="44" t="e">
        <f>Q44/(SUMIF(Table35[Career Cluster], 'Dashboard Data'!$AI$3, Table35[Total]))</f>
        <v>#DIV/0!</v>
      </c>
      <c r="AJ44" s="44" t="e">
        <f>R44/(SUMIF(Table35[Career Cluster], 'Dashboard Data'!$AJ$3, Table35[Total]))</f>
        <v>#DIV/0!</v>
      </c>
      <c r="AK44" s="44" t="e">
        <f>S44/(SUMIF(Table35[Career Cluster], 'Dashboard Data'!$AK$3, Table35[Total]))</f>
        <v>#DIV/0!</v>
      </c>
      <c r="AL44" s="44" t="e">
        <f>T44/(SUMIF(Table35[Career Cluster], 'Dashboard Data'!$AL$3, Table35[Total]))</f>
        <v>#DIV/0!</v>
      </c>
      <c r="AM44" s="44" t="e">
        <f>U44/(SUMIF(Table35[Career Cluster], 'Dashboard Data'!$AM$3, Table35[Total]))</f>
        <v>#DIV/0!</v>
      </c>
      <c r="AN44" s="44" t="e">
        <f>V44/(SUMIF(Table35[Career Cluster], 'Dashboard Data'!$AN$3, Table35[Total]))</f>
        <v>#DIV/0!</v>
      </c>
      <c r="AO44" s="44" t="e">
        <f>W44/(SUMIF(Table35[Career Cluster], 'Dashboard Data'!$AO$3, Table35[Total]))</f>
        <v>#DIV/0!</v>
      </c>
      <c r="AP44" s="44" t="e">
        <f>X44/(SUMIF(Table35[Career Cluster], 'Dashboard Data'!$AP$3, Table35[Total]))</f>
        <v>#DIV/0!</v>
      </c>
      <c r="AQ44" s="44" t="e">
        <f>Y44/(SUMIF(Table35[Career Cluster], 'Dashboard Data'!$AQ$3, Table35[Total]))</f>
        <v>#DIV/0!</v>
      </c>
      <c r="AR44" s="44" t="e">
        <f>Z44/(SUMIF(Table35[Career Cluster], 'Dashboard Data'!$AR$3, Table35[Total]))</f>
        <v>#DIV/0!</v>
      </c>
      <c r="AS44" s="44" t="e">
        <f>AA44/(SUMIF(Table35[Career Cluster], 'Dashboard Data'!$AS$3, Table35[Total]))</f>
        <v>#DIV/0!</v>
      </c>
      <c r="AT44" s="44" t="e">
        <f>AB44/(SUMIF(Table35[Career Cluster], 'Dashboard Data'!$AT$3, Table35[Total]))</f>
        <v>#DIV/0!</v>
      </c>
    </row>
    <row r="45" spans="2:46" x14ac:dyDescent="0.25">
      <c r="B45" s="46"/>
      <c r="C45" s="48"/>
      <c r="D45" s="48"/>
      <c r="E45" s="48"/>
      <c r="F45" s="48"/>
      <c r="G45" s="46"/>
      <c r="H45" s="46"/>
      <c r="I45" s="46"/>
      <c r="J45" s="46"/>
      <c r="L45" s="41" t="s">
        <v>58</v>
      </c>
      <c r="M45" s="43">
        <f>SUMIF(Table35[Career Cluster], 'Dashboard Data'!$M$3, Table35[Non-trad] )</f>
        <v>0</v>
      </c>
      <c r="N45" s="43">
        <f>SUMIF(Table35[Career Cluster], 'Dashboard Data'!$N$3, Table35[Non-trad] )</f>
        <v>0</v>
      </c>
      <c r="O45" s="43">
        <f>SUMIF(Table35[Career Cluster], 'Dashboard Data'!$O$3, Table35[Non-trad] )</f>
        <v>0</v>
      </c>
      <c r="P45" s="43">
        <f>SUMIF(Table35[Career Cluster], 'Dashboard Data'!$P$3, Table35[Non-trad] )</f>
        <v>0</v>
      </c>
      <c r="Q45" s="43">
        <f>SUMIF(Table35[Career Cluster], 'Dashboard Data'!$Q$3, Table35[Non-trad] )</f>
        <v>0</v>
      </c>
      <c r="R45" s="43">
        <f>SUMIF(Table35[Career Cluster], 'Dashboard Data'!$R$3, Table35[Non-trad] )</f>
        <v>0</v>
      </c>
      <c r="S45" s="43">
        <f>SUMIF(Table35[Career Cluster], 'Dashboard Data'!$S$3, Table35[Non-trad] )</f>
        <v>0</v>
      </c>
      <c r="T45" s="43">
        <f>SUMIF(Table35[Career Cluster], 'Dashboard Data'!$T$3, Table35[Non-trad] )</f>
        <v>0</v>
      </c>
      <c r="U45" s="43">
        <f>SUMIF(Table35[Career Cluster], 'Dashboard Data'!$U$3, Table35[Non-trad] )</f>
        <v>0</v>
      </c>
      <c r="V45" s="43">
        <f>SUMIF(Table35[Career Cluster], 'Dashboard Data'!$V$3, Table35[Non-trad] )</f>
        <v>0</v>
      </c>
      <c r="W45" s="43">
        <f>SUMIF(Table35[Career Cluster], 'Dashboard Data'!$W$3, Table35[Non-trad] )</f>
        <v>0</v>
      </c>
      <c r="X45" s="43">
        <f>SUMIF(Table35[Career Cluster], 'Dashboard Data'!$X$3, Table35[Non-trad] )</f>
        <v>0</v>
      </c>
      <c r="Y45" s="43">
        <f>SUMIF(Table35[Career Cluster], 'Dashboard Data'!$Y$3, Table35[Non-trad] )</f>
        <v>0</v>
      </c>
      <c r="Z45" s="43">
        <f>SUMIF(Table35[Career Cluster], 'Dashboard Data'!$Z$3, Table35[Non-trad] )</f>
        <v>0</v>
      </c>
      <c r="AA45" s="43">
        <f>SUMIF(Table35[Career Cluster], 'Dashboard Data'!$AA$3, Table35[Non-trad] )</f>
        <v>0</v>
      </c>
      <c r="AB45" s="43">
        <f>SUMIF(Table35[Career Cluster], 'Dashboard Data'!$AB$3, Table35[Non-trad] )</f>
        <v>0</v>
      </c>
      <c r="AC45" s="45"/>
      <c r="AD45" s="41" t="s">
        <v>58</v>
      </c>
      <c r="AE45" s="44" t="e">
        <f>M45/(SUMIF(Table35[Career Cluster], 'Dashboard Data'!$AE$3, Table35[Total]))</f>
        <v>#DIV/0!</v>
      </c>
      <c r="AF45" s="44" t="e">
        <f>N45/(SUMIF(Table35[Career Cluster], 'Dashboard Data'!$AF$3, Table35[Total]))</f>
        <v>#DIV/0!</v>
      </c>
      <c r="AG45" s="44" t="e">
        <f>O45/(SUMIF(Table35[Career Cluster], 'Dashboard Data'!$AG$3, Table35[Total]))</f>
        <v>#DIV/0!</v>
      </c>
      <c r="AH45" s="44" t="e">
        <f>P45/(SUMIF(Table35[Career Cluster], 'Dashboard Data'!$AH$3, Table35[Total]))</f>
        <v>#DIV/0!</v>
      </c>
      <c r="AI45" s="44" t="e">
        <f>Q45/(SUMIF(Table35[Career Cluster], 'Dashboard Data'!$AI$3, Table35[Total]))</f>
        <v>#DIV/0!</v>
      </c>
      <c r="AJ45" s="44" t="e">
        <f>R45/(SUMIF(Table35[Career Cluster], 'Dashboard Data'!$AJ$3, Table35[Total]))</f>
        <v>#DIV/0!</v>
      </c>
      <c r="AK45" s="44" t="e">
        <f>S45/(SUMIF(Table35[Career Cluster], 'Dashboard Data'!$AK$3, Table35[Total]))</f>
        <v>#DIV/0!</v>
      </c>
      <c r="AL45" s="44" t="e">
        <f>T45/(SUMIF(Table35[Career Cluster], 'Dashboard Data'!$AL$3, Table35[Total]))</f>
        <v>#DIV/0!</v>
      </c>
      <c r="AM45" s="44" t="e">
        <f>U45/(SUMIF(Table35[Career Cluster], 'Dashboard Data'!$AM$3, Table35[Total]))</f>
        <v>#DIV/0!</v>
      </c>
      <c r="AN45" s="44" t="e">
        <f>V45/(SUMIF(Table35[Career Cluster], 'Dashboard Data'!$AN$3, Table35[Total]))</f>
        <v>#DIV/0!</v>
      </c>
      <c r="AO45" s="44" t="e">
        <f>W45/(SUMIF(Table35[Career Cluster], 'Dashboard Data'!$AO$3, Table35[Total]))</f>
        <v>#DIV/0!</v>
      </c>
      <c r="AP45" s="44" t="e">
        <f>X45/(SUMIF(Table35[Career Cluster], 'Dashboard Data'!$AP$3, Table35[Total]))</f>
        <v>#DIV/0!</v>
      </c>
      <c r="AQ45" s="44" t="e">
        <f>Y45/(SUMIF(Table35[Career Cluster], 'Dashboard Data'!$AQ$3, Table35[Total]))</f>
        <v>#DIV/0!</v>
      </c>
      <c r="AR45" s="44" t="e">
        <f>Z45/(SUMIF(Table35[Career Cluster], 'Dashboard Data'!$AR$3, Table35[Total]))</f>
        <v>#DIV/0!</v>
      </c>
      <c r="AS45" s="44" t="e">
        <f>AA45/(SUMIF(Table35[Career Cluster], 'Dashboard Data'!$AS$3, Table35[Total]))</f>
        <v>#DIV/0!</v>
      </c>
      <c r="AT45" s="44" t="e">
        <f>AB45/(SUMIF(Table35[Career Cluster], 'Dashboard Data'!$AT$3, Table35[Total]))</f>
        <v>#DIV/0!</v>
      </c>
    </row>
    <row r="46" spans="2:46" x14ac:dyDescent="0.25">
      <c r="B46" s="46"/>
      <c r="C46" s="48"/>
      <c r="D46" s="48"/>
      <c r="E46" s="48"/>
      <c r="F46" s="48"/>
      <c r="G46" s="46"/>
      <c r="H46" s="46"/>
      <c r="I46" s="46"/>
      <c r="J46" s="46"/>
      <c r="L46" s="41" t="s">
        <v>85</v>
      </c>
      <c r="M46" s="43">
        <f>SUMIF(Table35[Career Cluster], 'Dashboard Data'!$M$3, Table35[SP] )</f>
        <v>0</v>
      </c>
      <c r="N46" s="43">
        <f>SUMIF(Table35[Career Cluster], 'Dashboard Data'!$N$3, Table35[SP] )</f>
        <v>0</v>
      </c>
      <c r="O46" s="43">
        <f>SUMIF(Table35[Career Cluster], 'Dashboard Data'!$O$3, Table35[SP] )</f>
        <v>0</v>
      </c>
      <c r="P46" s="43">
        <f>SUMIF(Table35[Career Cluster], 'Dashboard Data'!$P$3, Table35[SP] )</f>
        <v>0</v>
      </c>
      <c r="Q46" s="43">
        <f>SUMIF(Table35[Career Cluster], 'Dashboard Data'!$Q$3, Table35[SP] )</f>
        <v>0</v>
      </c>
      <c r="R46" s="43">
        <f>SUMIF(Table35[Career Cluster], 'Dashboard Data'!$R$3, Table35[SP] )</f>
        <v>0</v>
      </c>
      <c r="S46" s="43">
        <f>SUMIF(Table35[Career Cluster], 'Dashboard Data'!$S$3, Table35[SP] )</f>
        <v>0</v>
      </c>
      <c r="T46" s="43">
        <f>SUMIF(Table35[Career Cluster], 'Dashboard Data'!$T$3, Table35[SP] )</f>
        <v>0</v>
      </c>
      <c r="U46" s="43">
        <f>SUMIF(Table35[Career Cluster], 'Dashboard Data'!$U$3, Table35[SP] )</f>
        <v>0</v>
      </c>
      <c r="V46" s="43">
        <f>SUMIF(Table35[Career Cluster], 'Dashboard Data'!$V$3, Table35[SP] )</f>
        <v>0</v>
      </c>
      <c r="W46" s="43">
        <f>SUMIF(Table35[Career Cluster], 'Dashboard Data'!$W$3, Table35[SP] )</f>
        <v>0</v>
      </c>
      <c r="X46" s="43">
        <f>SUMIF(Table35[Career Cluster], 'Dashboard Data'!$X$3, Table35[SP] )</f>
        <v>0</v>
      </c>
      <c r="Y46" s="43">
        <f>SUMIF(Table35[Career Cluster], 'Dashboard Data'!$Y$3, Table35[SP] )</f>
        <v>0</v>
      </c>
      <c r="Z46" s="43">
        <f>SUMIF(Table35[Career Cluster], 'Dashboard Data'!$Z$3, Table35[SP] )</f>
        <v>0</v>
      </c>
      <c r="AA46" s="43">
        <f>SUMIF(Table35[Career Cluster], 'Dashboard Data'!$AA$3, Table35[SP] )</f>
        <v>0</v>
      </c>
      <c r="AB46" s="43">
        <f>SUMIF(Table35[Career Cluster], 'Dashboard Data'!$AB$3, Table35[SP] )</f>
        <v>0</v>
      </c>
      <c r="AC46" s="45"/>
      <c r="AD46" s="41" t="s">
        <v>85</v>
      </c>
      <c r="AE46" s="44" t="e">
        <f>M46/(SUMIF(Table35[Career Cluster], 'Dashboard Data'!$AE$3, Table35[Total]))</f>
        <v>#DIV/0!</v>
      </c>
      <c r="AF46" s="44" t="e">
        <f>N46/(SUMIF(Table35[Career Cluster], 'Dashboard Data'!$AF$3, Table35[Total]))</f>
        <v>#DIV/0!</v>
      </c>
      <c r="AG46" s="44" t="e">
        <f>O46/(SUMIF(Table35[Career Cluster], 'Dashboard Data'!$AG$3, Table35[Total]))</f>
        <v>#DIV/0!</v>
      </c>
      <c r="AH46" s="44" t="e">
        <f>P46/(SUMIF(Table35[Career Cluster], 'Dashboard Data'!$AH$3, Table35[Total]))</f>
        <v>#DIV/0!</v>
      </c>
      <c r="AI46" s="44" t="e">
        <f>Q46/(SUMIF(Table35[Career Cluster], 'Dashboard Data'!$AI$3, Table35[Total]))</f>
        <v>#DIV/0!</v>
      </c>
      <c r="AJ46" s="44" t="e">
        <f>R46/(SUMIF(Table35[Career Cluster], 'Dashboard Data'!$AJ$3, Table35[Total]))</f>
        <v>#DIV/0!</v>
      </c>
      <c r="AK46" s="44" t="e">
        <f>S46/(SUMIF(Table35[Career Cluster], 'Dashboard Data'!$AK$3, Table35[Total]))</f>
        <v>#DIV/0!</v>
      </c>
      <c r="AL46" s="44" t="e">
        <f>T46/(SUMIF(Table35[Career Cluster], 'Dashboard Data'!$AL$3, Table35[Total]))</f>
        <v>#DIV/0!</v>
      </c>
      <c r="AM46" s="44" t="e">
        <f>U46/(SUMIF(Table35[Career Cluster], 'Dashboard Data'!$AM$3, Table35[Total]))</f>
        <v>#DIV/0!</v>
      </c>
      <c r="AN46" s="44" t="e">
        <f>V46/(SUMIF(Table35[Career Cluster], 'Dashboard Data'!$AN$3, Table35[Total]))</f>
        <v>#DIV/0!</v>
      </c>
      <c r="AO46" s="44" t="e">
        <f>W46/(SUMIF(Table35[Career Cluster], 'Dashboard Data'!$AO$3, Table35[Total]))</f>
        <v>#DIV/0!</v>
      </c>
      <c r="AP46" s="44" t="e">
        <f>X46/(SUMIF(Table35[Career Cluster], 'Dashboard Data'!$AP$3, Table35[Total]))</f>
        <v>#DIV/0!</v>
      </c>
      <c r="AQ46" s="44" t="e">
        <f>Y46/(SUMIF(Table35[Career Cluster], 'Dashboard Data'!$AQ$3, Table35[Total]))</f>
        <v>#DIV/0!</v>
      </c>
      <c r="AR46" s="44" t="e">
        <f>Z46/(SUMIF(Table35[Career Cluster], 'Dashboard Data'!$AR$3, Table35[Total]))</f>
        <v>#DIV/0!</v>
      </c>
      <c r="AS46" s="44" t="e">
        <f>AA46/(SUMIF(Table35[Career Cluster], 'Dashboard Data'!$AS$3, Table35[Total]))</f>
        <v>#DIV/0!</v>
      </c>
      <c r="AT46" s="44" t="e">
        <f>AB46/(SUMIF(Table35[Career Cluster], 'Dashboard Data'!$AT$3, Table35[Total]))</f>
        <v>#DIV/0!</v>
      </c>
    </row>
    <row r="47" spans="2:46" x14ac:dyDescent="0.25">
      <c r="B47" s="46"/>
      <c r="C47" s="48"/>
      <c r="D47" s="48"/>
      <c r="E47" s="48"/>
      <c r="F47" s="48"/>
      <c r="G47" s="46"/>
      <c r="H47" s="46"/>
      <c r="I47" s="46"/>
      <c r="J47" s="46"/>
      <c r="L47" s="41" t="s">
        <v>59</v>
      </c>
      <c r="M47" s="43">
        <f>SUMIF(Table35[Career Cluster], 'Dashboard Data'!$M$3, Table35[OOW] )</f>
        <v>0</v>
      </c>
      <c r="N47" s="43">
        <f>SUMIF(Table35[Career Cluster], 'Dashboard Data'!$N$3, Table35[OOW] )</f>
        <v>0</v>
      </c>
      <c r="O47" s="43">
        <f>SUMIF(Table35[Career Cluster], 'Dashboard Data'!$O$3, Table35[OOW] )</f>
        <v>0</v>
      </c>
      <c r="P47" s="43">
        <f>SUMIF(Table35[Career Cluster], 'Dashboard Data'!$P$3, Table35[OOW] )</f>
        <v>0</v>
      </c>
      <c r="Q47" s="43">
        <f>SUMIF(Table35[Career Cluster], 'Dashboard Data'!$Q$3, Table35[OOW] )</f>
        <v>0</v>
      </c>
      <c r="R47" s="43">
        <f>SUMIF(Table35[Career Cluster], 'Dashboard Data'!$R$3, Table35[OOW] )</f>
        <v>0</v>
      </c>
      <c r="S47" s="43">
        <f>SUMIF(Table35[Career Cluster], 'Dashboard Data'!$S$3, Table35[OOW] )</f>
        <v>0</v>
      </c>
      <c r="T47" s="43">
        <f>SUMIF(Table35[Career Cluster], 'Dashboard Data'!$T$3, Table35[OOW] )</f>
        <v>0</v>
      </c>
      <c r="U47" s="43">
        <f>SUMIF(Table35[Career Cluster], 'Dashboard Data'!$U$3, Table35[OOW] )</f>
        <v>0</v>
      </c>
      <c r="V47" s="43">
        <f>SUMIF(Table35[Career Cluster], 'Dashboard Data'!$V$3, Table35[OOW] )</f>
        <v>0</v>
      </c>
      <c r="W47" s="43">
        <f>SUMIF(Table35[Career Cluster], 'Dashboard Data'!$W$3, Table35[OOW] )</f>
        <v>0</v>
      </c>
      <c r="X47" s="43">
        <f>SUMIF(Table35[Career Cluster], 'Dashboard Data'!$X$3, Table35[OOW] )</f>
        <v>0</v>
      </c>
      <c r="Y47" s="43">
        <f>SUMIF(Table35[Career Cluster], 'Dashboard Data'!$Y$3, Table35[OOW] )</f>
        <v>0</v>
      </c>
      <c r="Z47" s="43">
        <f>SUMIF(Table35[Career Cluster], 'Dashboard Data'!$Z$3, Table35[OOW] )</f>
        <v>0</v>
      </c>
      <c r="AA47" s="43">
        <f>SUMIF(Table35[Career Cluster], 'Dashboard Data'!$AA$3, Table35[OOW] )</f>
        <v>0</v>
      </c>
      <c r="AB47" s="43">
        <f>SUMIF(Table35[Career Cluster], 'Dashboard Data'!$AB$3, Table35[OOW] )</f>
        <v>0</v>
      </c>
      <c r="AC47" s="45"/>
      <c r="AD47" s="41" t="s">
        <v>59</v>
      </c>
      <c r="AE47" s="44" t="e">
        <f>M47/(SUMIF(Table35[Career Cluster], 'Dashboard Data'!$AE$3, Table35[Total]))</f>
        <v>#DIV/0!</v>
      </c>
      <c r="AF47" s="44" t="e">
        <f>N47/(SUMIF(Table35[Career Cluster], 'Dashboard Data'!$AF$3, Table35[Total]))</f>
        <v>#DIV/0!</v>
      </c>
      <c r="AG47" s="44" t="e">
        <f>O47/(SUMIF(Table35[Career Cluster], 'Dashboard Data'!$AG$3, Table35[Total]))</f>
        <v>#DIV/0!</v>
      </c>
      <c r="AH47" s="44" t="e">
        <f>P47/(SUMIF(Table35[Career Cluster], 'Dashboard Data'!$AH$3, Table35[Total]))</f>
        <v>#DIV/0!</v>
      </c>
      <c r="AI47" s="44" t="e">
        <f>Q47/(SUMIF(Table35[Career Cluster], 'Dashboard Data'!$AI$3, Table35[Total]))</f>
        <v>#DIV/0!</v>
      </c>
      <c r="AJ47" s="44" t="e">
        <f>R47/(SUMIF(Table35[Career Cluster], 'Dashboard Data'!$AJ$3, Table35[Total]))</f>
        <v>#DIV/0!</v>
      </c>
      <c r="AK47" s="44" t="e">
        <f>S47/(SUMIF(Table35[Career Cluster], 'Dashboard Data'!$AK$3, Table35[Total]))</f>
        <v>#DIV/0!</v>
      </c>
      <c r="AL47" s="44" t="e">
        <f>T47/(SUMIF(Table35[Career Cluster], 'Dashboard Data'!$AL$3, Table35[Total]))</f>
        <v>#DIV/0!</v>
      </c>
      <c r="AM47" s="44" t="e">
        <f>U47/(SUMIF(Table35[Career Cluster], 'Dashboard Data'!$AM$3, Table35[Total]))</f>
        <v>#DIV/0!</v>
      </c>
      <c r="AN47" s="44" t="e">
        <f>V47/(SUMIF(Table35[Career Cluster], 'Dashboard Data'!$AN$3, Table35[Total]))</f>
        <v>#DIV/0!</v>
      </c>
      <c r="AO47" s="44" t="e">
        <f>W47/(SUMIF(Table35[Career Cluster], 'Dashboard Data'!$AO$3, Table35[Total]))</f>
        <v>#DIV/0!</v>
      </c>
      <c r="AP47" s="44" t="e">
        <f>X47/(SUMIF(Table35[Career Cluster], 'Dashboard Data'!$AP$3, Table35[Total]))</f>
        <v>#DIV/0!</v>
      </c>
      <c r="AQ47" s="44" t="e">
        <f>Y47/(SUMIF(Table35[Career Cluster], 'Dashboard Data'!$AQ$3, Table35[Total]))</f>
        <v>#DIV/0!</v>
      </c>
      <c r="AR47" s="44" t="e">
        <f>Z47/(SUMIF(Table35[Career Cluster], 'Dashboard Data'!$AR$3, Table35[Total]))</f>
        <v>#DIV/0!</v>
      </c>
      <c r="AS47" s="44" t="e">
        <f>AA47/(SUMIF(Table35[Career Cluster], 'Dashboard Data'!$AS$3, Table35[Total]))</f>
        <v>#DIV/0!</v>
      </c>
      <c r="AT47" s="44" t="e">
        <f>AB47/(SUMIF(Table35[Career Cluster], 'Dashboard Data'!$AT$3, Table35[Total]))</f>
        <v>#DIV/0!</v>
      </c>
    </row>
    <row r="48" spans="2:46" x14ac:dyDescent="0.25">
      <c r="B48" s="46"/>
      <c r="C48" s="48"/>
      <c r="D48" s="48"/>
      <c r="E48" s="48"/>
      <c r="F48" s="48"/>
      <c r="G48" s="46"/>
      <c r="H48" s="46"/>
      <c r="I48" s="46"/>
      <c r="J48" s="46"/>
      <c r="L48" s="41" t="s">
        <v>74</v>
      </c>
      <c r="M48" s="43">
        <f>SUMIF(Table35[Career Cluster], 'Dashboard Data'!$M$3, Table35[EL] )</f>
        <v>0</v>
      </c>
      <c r="N48" s="43">
        <f>SUMIF(Table35[Career Cluster], 'Dashboard Data'!$N$3, Table35[EL] )</f>
        <v>0</v>
      </c>
      <c r="O48" s="43">
        <f>SUMIF(Table35[Career Cluster], 'Dashboard Data'!$O$3, Table35[EL] )</f>
        <v>0</v>
      </c>
      <c r="P48" s="43">
        <f>SUMIF(Table35[Career Cluster], 'Dashboard Data'!$P$3, Table35[EL] )</f>
        <v>0</v>
      </c>
      <c r="Q48" s="43">
        <f>SUMIF(Table35[Career Cluster], 'Dashboard Data'!$Q$3, Table35[EL] )</f>
        <v>0</v>
      </c>
      <c r="R48" s="43">
        <f>SUMIF(Table35[Career Cluster], 'Dashboard Data'!$R$3, Table35[EL] )</f>
        <v>0</v>
      </c>
      <c r="S48" s="43">
        <f>SUMIF(Table35[Career Cluster], 'Dashboard Data'!$S$3, Table35[EL] )</f>
        <v>0</v>
      </c>
      <c r="T48" s="43">
        <f>SUMIF(Table35[Career Cluster], 'Dashboard Data'!$T$3, Table35[EL] )</f>
        <v>0</v>
      </c>
      <c r="U48" s="43">
        <f>SUMIF(Table35[Career Cluster], 'Dashboard Data'!$U$3, Table35[EL] )</f>
        <v>0</v>
      </c>
      <c r="V48" s="43">
        <f>SUMIF(Table35[Career Cluster], 'Dashboard Data'!$V$3, Table35[EL] )</f>
        <v>0</v>
      </c>
      <c r="W48" s="43">
        <f>SUMIF(Table35[Career Cluster], 'Dashboard Data'!$W$3, Table35[EL] )</f>
        <v>0</v>
      </c>
      <c r="X48" s="43">
        <f>SUMIF(Table35[Career Cluster], 'Dashboard Data'!$X$3, Table35[EL] )</f>
        <v>0</v>
      </c>
      <c r="Y48" s="43">
        <f>SUMIF(Table35[Career Cluster], 'Dashboard Data'!$Y$3, Table35[EL] )</f>
        <v>0</v>
      </c>
      <c r="Z48" s="43">
        <f>SUMIF(Table35[Career Cluster], 'Dashboard Data'!$Z$3, Table35[EL] )</f>
        <v>0</v>
      </c>
      <c r="AA48" s="43">
        <f>SUMIF(Table35[Career Cluster], 'Dashboard Data'!$AA$3, Table35[EL] )</f>
        <v>0</v>
      </c>
      <c r="AB48" s="43">
        <f>SUMIF(Table35[Career Cluster], 'Dashboard Data'!$AB$3, Table35[EL] )</f>
        <v>0</v>
      </c>
      <c r="AC48" s="45"/>
      <c r="AD48" s="41" t="s">
        <v>74</v>
      </c>
      <c r="AE48" s="44" t="e">
        <f>M48/(SUMIF(Table35[Career Cluster], 'Dashboard Data'!$AE$3, Table35[Total]))</f>
        <v>#DIV/0!</v>
      </c>
      <c r="AF48" s="44" t="e">
        <f>N48/(SUMIF(Table35[Career Cluster], 'Dashboard Data'!$AF$3, Table35[Total]))</f>
        <v>#DIV/0!</v>
      </c>
      <c r="AG48" s="44" t="e">
        <f>O48/(SUMIF(Table35[Career Cluster], 'Dashboard Data'!$AG$3, Table35[Total]))</f>
        <v>#DIV/0!</v>
      </c>
      <c r="AH48" s="44" t="e">
        <f>P48/(SUMIF(Table35[Career Cluster], 'Dashboard Data'!$AH$3, Table35[Total]))</f>
        <v>#DIV/0!</v>
      </c>
      <c r="AI48" s="44" t="e">
        <f>Q48/(SUMIF(Table35[Career Cluster], 'Dashboard Data'!$AI$3, Table35[Total]))</f>
        <v>#DIV/0!</v>
      </c>
      <c r="AJ48" s="44" t="e">
        <f>R48/(SUMIF(Table35[Career Cluster], 'Dashboard Data'!$AJ$3, Table35[Total]))</f>
        <v>#DIV/0!</v>
      </c>
      <c r="AK48" s="44" t="e">
        <f>S48/(SUMIF(Table35[Career Cluster], 'Dashboard Data'!$AK$3, Table35[Total]))</f>
        <v>#DIV/0!</v>
      </c>
      <c r="AL48" s="44" t="e">
        <f>T48/(SUMIF(Table35[Career Cluster], 'Dashboard Data'!$AL$3, Table35[Total]))</f>
        <v>#DIV/0!</v>
      </c>
      <c r="AM48" s="44" t="e">
        <f>U48/(SUMIF(Table35[Career Cluster], 'Dashboard Data'!$AM$3, Table35[Total]))</f>
        <v>#DIV/0!</v>
      </c>
      <c r="AN48" s="44" t="e">
        <f>V48/(SUMIF(Table35[Career Cluster], 'Dashboard Data'!$AN$3, Table35[Total]))</f>
        <v>#DIV/0!</v>
      </c>
      <c r="AO48" s="44" t="e">
        <f>W48/(SUMIF(Table35[Career Cluster], 'Dashboard Data'!$AO$3, Table35[Total]))</f>
        <v>#DIV/0!</v>
      </c>
      <c r="AP48" s="44" t="e">
        <f>X48/(SUMIF(Table35[Career Cluster], 'Dashboard Data'!$AP$3, Table35[Total]))</f>
        <v>#DIV/0!</v>
      </c>
      <c r="AQ48" s="44" t="e">
        <f>Y48/(SUMIF(Table35[Career Cluster], 'Dashboard Data'!$AQ$3, Table35[Total]))</f>
        <v>#DIV/0!</v>
      </c>
      <c r="AR48" s="44" t="e">
        <f>Z48/(SUMIF(Table35[Career Cluster], 'Dashboard Data'!$AR$3, Table35[Total]))</f>
        <v>#DIV/0!</v>
      </c>
      <c r="AS48" s="44" t="e">
        <f>AA48/(SUMIF(Table35[Career Cluster], 'Dashboard Data'!$AS$3, Table35[Total]))</f>
        <v>#DIV/0!</v>
      </c>
      <c r="AT48" s="44" t="e">
        <f>AB48/(SUMIF(Table35[Career Cluster], 'Dashboard Data'!$AT$3, Table35[Total]))</f>
        <v>#DIV/0!</v>
      </c>
    </row>
    <row r="49" spans="2:46" x14ac:dyDescent="0.25">
      <c r="B49" s="46"/>
      <c r="C49" s="48"/>
      <c r="D49" s="48"/>
      <c r="E49" s="48"/>
      <c r="F49" s="48"/>
      <c r="G49" s="46"/>
      <c r="H49" s="46"/>
      <c r="I49" s="46"/>
      <c r="J49" s="46"/>
      <c r="L49" s="41" t="s">
        <v>60</v>
      </c>
      <c r="M49" s="43">
        <f>SUMIF(Table35[Career Cluster], 'Dashboard Data'!$M$3, Table35[Homeless] )</f>
        <v>0</v>
      </c>
      <c r="N49" s="43">
        <f>SUMIF(Table35[Career Cluster], 'Dashboard Data'!$N$3, Table35[Homeless] )</f>
        <v>0</v>
      </c>
      <c r="O49" s="43">
        <f>SUMIF(Table35[Career Cluster], 'Dashboard Data'!$O$3, Table35[Homeless] )</f>
        <v>0</v>
      </c>
      <c r="P49" s="43">
        <f>SUMIF(Table35[Career Cluster], 'Dashboard Data'!$P$3, Table35[Homeless] )</f>
        <v>0</v>
      </c>
      <c r="Q49" s="43">
        <f>SUMIF(Table35[Career Cluster], 'Dashboard Data'!$Q$3, Table35[Homeless] )</f>
        <v>0</v>
      </c>
      <c r="R49" s="43">
        <f>SUMIF(Table35[Career Cluster], 'Dashboard Data'!$R$3, Table35[Homeless] )</f>
        <v>0</v>
      </c>
      <c r="S49" s="43">
        <f>SUMIF(Table35[Career Cluster], 'Dashboard Data'!$S$3, Table35[Homeless] )</f>
        <v>0</v>
      </c>
      <c r="T49" s="43">
        <f>SUMIF(Table35[Career Cluster], 'Dashboard Data'!$T$3, Table35[Homeless] )</f>
        <v>0</v>
      </c>
      <c r="U49" s="43">
        <f>SUMIF(Table35[Career Cluster], 'Dashboard Data'!$U$3, Table35[Homeless] )</f>
        <v>0</v>
      </c>
      <c r="V49" s="43">
        <f>SUMIF(Table35[Career Cluster], 'Dashboard Data'!$V$3, Table35[Homeless] )</f>
        <v>0</v>
      </c>
      <c r="W49" s="43">
        <f>SUMIF(Table35[Career Cluster], 'Dashboard Data'!$W$3, Table35[Homeless] )</f>
        <v>0</v>
      </c>
      <c r="X49" s="43">
        <f>SUMIF(Table35[Career Cluster], 'Dashboard Data'!$X$3, Table35[Homeless] )</f>
        <v>0</v>
      </c>
      <c r="Y49" s="43">
        <f>SUMIF(Table35[Career Cluster], 'Dashboard Data'!$Y$3, Table35[Homeless] )</f>
        <v>0</v>
      </c>
      <c r="Z49" s="43">
        <f>SUMIF(Table35[Career Cluster], 'Dashboard Data'!$Z$3, Table35[Homeless] )</f>
        <v>0</v>
      </c>
      <c r="AA49" s="43">
        <f>SUMIF(Table35[Career Cluster], 'Dashboard Data'!$AA$3, Table35[Homeless] )</f>
        <v>0</v>
      </c>
      <c r="AB49" s="43">
        <f>SUMIF(Table35[Career Cluster], 'Dashboard Data'!$AB$3, Table35[Homeless] )</f>
        <v>0</v>
      </c>
      <c r="AC49" s="45"/>
      <c r="AD49" s="41" t="s">
        <v>60</v>
      </c>
      <c r="AE49" s="44" t="e">
        <f>M49/(SUMIF(Table35[Career Cluster], 'Dashboard Data'!$AE$3, Table35[Total]))</f>
        <v>#DIV/0!</v>
      </c>
      <c r="AF49" s="44" t="e">
        <f>N49/(SUMIF(Table35[Career Cluster], 'Dashboard Data'!$AF$3, Table35[Total]))</f>
        <v>#DIV/0!</v>
      </c>
      <c r="AG49" s="44" t="e">
        <f>O49/(SUMIF(Table35[Career Cluster], 'Dashboard Data'!$AG$3, Table35[Total]))</f>
        <v>#DIV/0!</v>
      </c>
      <c r="AH49" s="44" t="e">
        <f>P49/(SUMIF(Table35[Career Cluster], 'Dashboard Data'!$AH$3, Table35[Total]))</f>
        <v>#DIV/0!</v>
      </c>
      <c r="AI49" s="44" t="e">
        <f>Q49/(SUMIF(Table35[Career Cluster], 'Dashboard Data'!$AI$3, Table35[Total]))</f>
        <v>#DIV/0!</v>
      </c>
      <c r="AJ49" s="44" t="e">
        <f>R49/(SUMIF(Table35[Career Cluster], 'Dashboard Data'!$AJ$3, Table35[Total]))</f>
        <v>#DIV/0!</v>
      </c>
      <c r="AK49" s="44" t="e">
        <f>S49/(SUMIF(Table35[Career Cluster], 'Dashboard Data'!$AK$3, Table35[Total]))</f>
        <v>#DIV/0!</v>
      </c>
      <c r="AL49" s="44" t="e">
        <f>T49/(SUMIF(Table35[Career Cluster], 'Dashboard Data'!$AL$3, Table35[Total]))</f>
        <v>#DIV/0!</v>
      </c>
      <c r="AM49" s="44" t="e">
        <f>U49/(SUMIF(Table35[Career Cluster], 'Dashboard Data'!$AM$3, Table35[Total]))</f>
        <v>#DIV/0!</v>
      </c>
      <c r="AN49" s="44" t="e">
        <f>V49/(SUMIF(Table35[Career Cluster], 'Dashboard Data'!$AN$3, Table35[Total]))</f>
        <v>#DIV/0!</v>
      </c>
      <c r="AO49" s="44" t="e">
        <f>W49/(SUMIF(Table35[Career Cluster], 'Dashboard Data'!$AO$3, Table35[Total]))</f>
        <v>#DIV/0!</v>
      </c>
      <c r="AP49" s="44" t="e">
        <f>X49/(SUMIF(Table35[Career Cluster], 'Dashboard Data'!$AP$3, Table35[Total]))</f>
        <v>#DIV/0!</v>
      </c>
      <c r="AQ49" s="44" t="e">
        <f>Y49/(SUMIF(Table35[Career Cluster], 'Dashboard Data'!$AQ$3, Table35[Total]))</f>
        <v>#DIV/0!</v>
      </c>
      <c r="AR49" s="44" t="e">
        <f>Z49/(SUMIF(Table35[Career Cluster], 'Dashboard Data'!$AR$3, Table35[Total]))</f>
        <v>#DIV/0!</v>
      </c>
      <c r="AS49" s="44" t="e">
        <f>AA49/(SUMIF(Table35[Career Cluster], 'Dashboard Data'!$AS$3, Table35[Total]))</f>
        <v>#DIV/0!</v>
      </c>
      <c r="AT49" s="44" t="e">
        <f>AB49/(SUMIF(Table35[Career Cluster], 'Dashboard Data'!$AT$3, Table35[Total]))</f>
        <v>#DIV/0!</v>
      </c>
    </row>
    <row r="50" spans="2:46" x14ac:dyDescent="0.25">
      <c r="B50" s="46"/>
      <c r="C50" s="48"/>
      <c r="D50" s="48"/>
      <c r="E50" s="48"/>
      <c r="F50" s="48"/>
      <c r="G50" s="46"/>
      <c r="H50" s="46"/>
      <c r="I50" s="46"/>
      <c r="J50" s="46"/>
      <c r="L50" s="41" t="s">
        <v>61</v>
      </c>
      <c r="M50" s="43">
        <f>SUMIF(Table35[Career Cluster], 'Dashboard Data'!$M$3, Table35[Foster] )</f>
        <v>0</v>
      </c>
      <c r="N50" s="43">
        <f>SUMIF(Table35[Career Cluster], 'Dashboard Data'!$N$3, Table35[Foster] )</f>
        <v>0</v>
      </c>
      <c r="O50" s="43">
        <f>SUMIF(Table35[Career Cluster], 'Dashboard Data'!$O$3, Table35[Foster] )</f>
        <v>0</v>
      </c>
      <c r="P50" s="43">
        <f>SUMIF(Table35[Career Cluster], 'Dashboard Data'!$P$3, Table35[Foster] )</f>
        <v>0</v>
      </c>
      <c r="Q50" s="43">
        <f>SUMIF(Table35[Career Cluster], 'Dashboard Data'!$Q$3, Table35[Foster] )</f>
        <v>0</v>
      </c>
      <c r="R50" s="43">
        <f>SUMIF(Table35[Career Cluster], 'Dashboard Data'!$R$3, Table35[Foster] )</f>
        <v>0</v>
      </c>
      <c r="S50" s="43">
        <f>SUMIF(Table35[Career Cluster], 'Dashboard Data'!$S$3, Table35[Foster] )</f>
        <v>0</v>
      </c>
      <c r="T50" s="43">
        <f>SUMIF(Table35[Career Cluster], 'Dashboard Data'!$T$3, Table35[Foster] )</f>
        <v>0</v>
      </c>
      <c r="U50" s="43">
        <f>SUMIF(Table35[Career Cluster], 'Dashboard Data'!$U$3, Table35[Foster] )</f>
        <v>0</v>
      </c>
      <c r="V50" s="43">
        <f>SUMIF(Table35[Career Cluster], 'Dashboard Data'!$V$3, Table35[Foster] )</f>
        <v>0</v>
      </c>
      <c r="W50" s="43">
        <f>SUMIF(Table35[Career Cluster], 'Dashboard Data'!$W$3, Table35[Foster] )</f>
        <v>0</v>
      </c>
      <c r="X50" s="43">
        <f>SUMIF(Table35[Career Cluster], 'Dashboard Data'!$X$3, Table35[Foster] )</f>
        <v>0</v>
      </c>
      <c r="Y50" s="43">
        <f>SUMIF(Table35[Career Cluster], 'Dashboard Data'!$Y$3, Table35[Foster] )</f>
        <v>0</v>
      </c>
      <c r="Z50" s="43">
        <f>SUMIF(Table35[Career Cluster], 'Dashboard Data'!$Z$3, Table35[Foster] )</f>
        <v>0</v>
      </c>
      <c r="AA50" s="43">
        <f>SUMIF(Table35[Career Cluster], 'Dashboard Data'!$AA$3, Table35[Foster] )</f>
        <v>0</v>
      </c>
      <c r="AB50" s="43">
        <f>SUMIF(Table35[Career Cluster], 'Dashboard Data'!$AB$3, Table35[Foster] )</f>
        <v>0</v>
      </c>
      <c r="AC50" s="45"/>
      <c r="AD50" s="41" t="s">
        <v>61</v>
      </c>
      <c r="AE50" s="44" t="e">
        <f>M50/(SUMIF(Table35[Career Cluster], 'Dashboard Data'!$AE$3, Table35[Total]))</f>
        <v>#DIV/0!</v>
      </c>
      <c r="AF50" s="44" t="e">
        <f>N50/(SUMIF(Table35[Career Cluster], 'Dashboard Data'!$AF$3, Table35[Total]))</f>
        <v>#DIV/0!</v>
      </c>
      <c r="AG50" s="44" t="e">
        <f>O50/(SUMIF(Table35[Career Cluster], 'Dashboard Data'!$AG$3, Table35[Total]))</f>
        <v>#DIV/0!</v>
      </c>
      <c r="AH50" s="44" t="e">
        <f>P50/(SUMIF(Table35[Career Cluster], 'Dashboard Data'!$AH$3, Table35[Total]))</f>
        <v>#DIV/0!</v>
      </c>
      <c r="AI50" s="44" t="e">
        <f>Q50/(SUMIF(Table35[Career Cluster], 'Dashboard Data'!$AI$3, Table35[Total]))</f>
        <v>#DIV/0!</v>
      </c>
      <c r="AJ50" s="44" t="e">
        <f>R50/(SUMIF(Table35[Career Cluster], 'Dashboard Data'!$AJ$3, Table35[Total]))</f>
        <v>#DIV/0!</v>
      </c>
      <c r="AK50" s="44" t="e">
        <f>S50/(SUMIF(Table35[Career Cluster], 'Dashboard Data'!$AK$3, Table35[Total]))</f>
        <v>#DIV/0!</v>
      </c>
      <c r="AL50" s="44" t="e">
        <f>T50/(SUMIF(Table35[Career Cluster], 'Dashboard Data'!$AL$3, Table35[Total]))</f>
        <v>#DIV/0!</v>
      </c>
      <c r="AM50" s="44" t="e">
        <f>U50/(SUMIF(Table35[Career Cluster], 'Dashboard Data'!$AM$3, Table35[Total]))</f>
        <v>#DIV/0!</v>
      </c>
      <c r="AN50" s="44" t="e">
        <f>V50/(SUMIF(Table35[Career Cluster], 'Dashboard Data'!$AN$3, Table35[Total]))</f>
        <v>#DIV/0!</v>
      </c>
      <c r="AO50" s="44" t="e">
        <f>W50/(SUMIF(Table35[Career Cluster], 'Dashboard Data'!$AO$3, Table35[Total]))</f>
        <v>#DIV/0!</v>
      </c>
      <c r="AP50" s="44" t="e">
        <f>X50/(SUMIF(Table35[Career Cluster], 'Dashboard Data'!$AP$3, Table35[Total]))</f>
        <v>#DIV/0!</v>
      </c>
      <c r="AQ50" s="44" t="e">
        <f>Y50/(SUMIF(Table35[Career Cluster], 'Dashboard Data'!$AQ$3, Table35[Total]))</f>
        <v>#DIV/0!</v>
      </c>
      <c r="AR50" s="44" t="e">
        <f>Z50/(SUMIF(Table35[Career Cluster], 'Dashboard Data'!$AR$3, Table35[Total]))</f>
        <v>#DIV/0!</v>
      </c>
      <c r="AS50" s="44" t="e">
        <f>AA50/(SUMIF(Table35[Career Cluster], 'Dashboard Data'!$AS$3, Table35[Total]))</f>
        <v>#DIV/0!</v>
      </c>
      <c r="AT50" s="44" t="e">
        <f>AB50/(SUMIF(Table35[Career Cluster], 'Dashboard Data'!$AT$3, Table35[Total]))</f>
        <v>#DIV/0!</v>
      </c>
    </row>
    <row r="51" spans="2:46" x14ac:dyDescent="0.25">
      <c r="B51" s="46"/>
      <c r="C51" s="48"/>
      <c r="D51" s="48"/>
      <c r="E51" s="48"/>
      <c r="F51" s="48"/>
      <c r="G51" s="46"/>
      <c r="H51" s="46"/>
      <c r="I51" s="46"/>
      <c r="J51" s="46"/>
      <c r="L51" s="41" t="s">
        <v>62</v>
      </c>
      <c r="M51" s="43">
        <f>SUMIF(Table35[Career Cluster], 'Dashboard Data'!$M$3, Table35[AD] )</f>
        <v>0</v>
      </c>
      <c r="N51" s="43">
        <f>SUMIF(Table35[Career Cluster], 'Dashboard Data'!$N$3, Table35[AD] )</f>
        <v>0</v>
      </c>
      <c r="O51" s="43">
        <f>SUMIF(Table35[Career Cluster], 'Dashboard Data'!$O$3, Table35[AD] )</f>
        <v>0</v>
      </c>
      <c r="P51" s="43">
        <f>SUMIF(Table35[Career Cluster], 'Dashboard Data'!$P$3, Table35[AD] )</f>
        <v>0</v>
      </c>
      <c r="Q51" s="43">
        <f>SUMIF(Table35[Career Cluster], 'Dashboard Data'!$Q$3, Table35[AD] )</f>
        <v>0</v>
      </c>
      <c r="R51" s="43">
        <f>SUMIF(Table35[Career Cluster], 'Dashboard Data'!$R$3, Table35[AD] )</f>
        <v>0</v>
      </c>
      <c r="S51" s="43">
        <f>SUMIF(Table35[Career Cluster], 'Dashboard Data'!$S$3, Table35[AD] )</f>
        <v>0</v>
      </c>
      <c r="T51" s="43">
        <f>SUMIF(Table35[Career Cluster], 'Dashboard Data'!$T$3, Table35[AD] )</f>
        <v>0</v>
      </c>
      <c r="U51" s="43">
        <f>SUMIF(Table35[Career Cluster], 'Dashboard Data'!$U$3, Table35[AD] )</f>
        <v>0</v>
      </c>
      <c r="V51" s="43">
        <f>SUMIF(Table35[Career Cluster], 'Dashboard Data'!$V$3, Table35[AD] )</f>
        <v>0</v>
      </c>
      <c r="W51" s="43">
        <f>SUMIF(Table35[Career Cluster], 'Dashboard Data'!$W$3, Table35[AD] )</f>
        <v>0</v>
      </c>
      <c r="X51" s="43">
        <f>SUMIF(Table35[Career Cluster], 'Dashboard Data'!$X$3, Table35[AD] )</f>
        <v>0</v>
      </c>
      <c r="Y51" s="43">
        <f>SUMIF(Table35[Career Cluster], 'Dashboard Data'!$Y$3, Table35[AD] )</f>
        <v>0</v>
      </c>
      <c r="Z51" s="43">
        <f>SUMIF(Table35[Career Cluster], 'Dashboard Data'!$Z$3, Table35[AD] )</f>
        <v>0</v>
      </c>
      <c r="AA51" s="43">
        <f>SUMIF(Table35[Career Cluster], 'Dashboard Data'!$AA$3, Table35[AD] )</f>
        <v>0</v>
      </c>
      <c r="AB51" s="43">
        <f>SUMIF(Table35[Career Cluster], 'Dashboard Data'!$AB$3, Table35[AD] )</f>
        <v>0</v>
      </c>
      <c r="AC51" s="45"/>
      <c r="AD51" s="41" t="s">
        <v>62</v>
      </c>
      <c r="AE51" s="44" t="e">
        <f>M51/(SUMIF(Table35[Career Cluster], 'Dashboard Data'!$AE$3, Table35[Total]))</f>
        <v>#DIV/0!</v>
      </c>
      <c r="AF51" s="44" t="e">
        <f>N51/(SUMIF(Table35[Career Cluster], 'Dashboard Data'!$AF$3, Table35[Total]))</f>
        <v>#DIV/0!</v>
      </c>
      <c r="AG51" s="44" t="e">
        <f>O51/(SUMIF(Table35[Career Cluster], 'Dashboard Data'!$AG$3, Table35[Total]))</f>
        <v>#DIV/0!</v>
      </c>
      <c r="AH51" s="44" t="e">
        <f>P51/(SUMIF(Table35[Career Cluster], 'Dashboard Data'!$AH$3, Table35[Total]))</f>
        <v>#DIV/0!</v>
      </c>
      <c r="AI51" s="44" t="e">
        <f>Q51/(SUMIF(Table35[Career Cluster], 'Dashboard Data'!$AI$3, Table35[Total]))</f>
        <v>#DIV/0!</v>
      </c>
      <c r="AJ51" s="44" t="e">
        <f>R51/(SUMIF(Table35[Career Cluster], 'Dashboard Data'!$AJ$3, Table35[Total]))</f>
        <v>#DIV/0!</v>
      </c>
      <c r="AK51" s="44" t="e">
        <f>S51/(SUMIF(Table35[Career Cluster], 'Dashboard Data'!$AK$3, Table35[Total]))</f>
        <v>#DIV/0!</v>
      </c>
      <c r="AL51" s="44" t="e">
        <f>T51/(SUMIF(Table35[Career Cluster], 'Dashboard Data'!$AL$3, Table35[Total]))</f>
        <v>#DIV/0!</v>
      </c>
      <c r="AM51" s="44" t="e">
        <f>U51/(SUMIF(Table35[Career Cluster], 'Dashboard Data'!$AM$3, Table35[Total]))</f>
        <v>#DIV/0!</v>
      </c>
      <c r="AN51" s="44" t="e">
        <f>V51/(SUMIF(Table35[Career Cluster], 'Dashboard Data'!$AN$3, Table35[Total]))</f>
        <v>#DIV/0!</v>
      </c>
      <c r="AO51" s="44" t="e">
        <f>W51/(SUMIF(Table35[Career Cluster], 'Dashboard Data'!$AO$3, Table35[Total]))</f>
        <v>#DIV/0!</v>
      </c>
      <c r="AP51" s="44" t="e">
        <f>X51/(SUMIF(Table35[Career Cluster], 'Dashboard Data'!$AP$3, Table35[Total]))</f>
        <v>#DIV/0!</v>
      </c>
      <c r="AQ51" s="44" t="e">
        <f>Y51/(SUMIF(Table35[Career Cluster], 'Dashboard Data'!$AQ$3, Table35[Total]))</f>
        <v>#DIV/0!</v>
      </c>
      <c r="AR51" s="44" t="e">
        <f>Z51/(SUMIF(Table35[Career Cluster], 'Dashboard Data'!$AR$3, Table35[Total]))</f>
        <v>#DIV/0!</v>
      </c>
      <c r="AS51" s="44" t="e">
        <f>AA51/(SUMIF(Table35[Career Cluster], 'Dashboard Data'!$AS$3, Table35[Total]))</f>
        <v>#DIV/0!</v>
      </c>
      <c r="AT51" s="44" t="e">
        <f>AB51/(SUMIF(Table35[Career Cluster], 'Dashboard Data'!$AT$3, Table35[Total]))</f>
        <v>#DIV/0!</v>
      </c>
    </row>
    <row r="52" spans="2:46" x14ac:dyDescent="0.25">
      <c r="B52" s="46"/>
      <c r="C52" s="48"/>
      <c r="D52" s="48"/>
      <c r="E52" s="48"/>
      <c r="F52" s="48"/>
      <c r="G52" s="46"/>
      <c r="H52" s="46"/>
      <c r="I52" s="46"/>
      <c r="J52" s="46"/>
      <c r="L52" s="46"/>
      <c r="M52" s="45"/>
      <c r="N52" s="45"/>
    </row>
    <row r="53" spans="2:46" x14ac:dyDescent="0.25">
      <c r="B53" s="46"/>
      <c r="C53" s="48"/>
      <c r="D53" s="48"/>
      <c r="E53" s="48"/>
      <c r="F53" s="48"/>
      <c r="G53" s="46"/>
      <c r="H53" s="46"/>
      <c r="I53" s="46"/>
      <c r="J53" s="46"/>
      <c r="L53" s="46"/>
      <c r="M53" s="45"/>
      <c r="N53" s="45"/>
    </row>
    <row r="54" spans="2:46" x14ac:dyDescent="0.25">
      <c r="L54" s="46"/>
      <c r="M54" s="45"/>
      <c r="N54" s="45"/>
    </row>
    <row r="56" spans="2:46" x14ac:dyDescent="0.25">
      <c r="L56" t="str">
        <f>Dashboard!$C$83</f>
        <v>Agriculture, Food, and Natural Resources</v>
      </c>
    </row>
    <row r="57" spans="2:46" x14ac:dyDescent="0.25">
      <c r="L57" s="179" t="s">
        <v>131</v>
      </c>
      <c r="M57" s="179"/>
      <c r="N57" s="179"/>
      <c r="P57" s="180" t="s">
        <v>132</v>
      </c>
      <c r="Q57" s="180"/>
      <c r="R57" s="180"/>
    </row>
    <row r="58" spans="2:46" x14ac:dyDescent="0.25">
      <c r="L58" s="41"/>
      <c r="M58" s="41" t="s">
        <v>129</v>
      </c>
      <c r="N58" s="41" t="s">
        <v>130</v>
      </c>
      <c r="P58" s="41"/>
      <c r="Q58" s="41" t="s">
        <v>129</v>
      </c>
      <c r="R58" s="41" t="s">
        <v>130</v>
      </c>
    </row>
    <row r="59" spans="2:46" x14ac:dyDescent="0.25">
      <c r="L59" s="41" t="s">
        <v>55</v>
      </c>
      <c r="M59" s="44">
        <f>INDEX($AD$3:$AT$25, MATCH(L59, $AD$3:$AD$25, 0), MATCH($L$56, $AD$3:$AT$3, 0))</f>
        <v>0.38709677419354838</v>
      </c>
      <c r="N59" s="44">
        <f>'Comparison Population'!C6</f>
        <v>0.51</v>
      </c>
      <c r="P59" s="41" t="s">
        <v>55</v>
      </c>
      <c r="Q59" s="44" t="e">
        <f>INDEX($AD$29:$AT$51, MATCH(P59, $AD$29:$AD$51, 0), MATCH($L$56, $AD$29:$AT$29, 0))</f>
        <v>#DIV/0!</v>
      </c>
      <c r="R59" s="44" t="str">
        <f>'Comparison Population'!E6</f>
        <v/>
      </c>
    </row>
    <row r="60" spans="2:46" x14ac:dyDescent="0.25">
      <c r="L60" s="41" t="s">
        <v>56</v>
      </c>
      <c r="M60" s="44">
        <f>INDEX($AD$3:$AT$25, MATCH(L60, $AD$3:$AD$25, 0), MATCH($L$56, $AD$3:$AT$3, 0))</f>
        <v>0.58064516129032262</v>
      </c>
      <c r="N60" s="44">
        <f>'Comparison Population'!C7</f>
        <v>0.49</v>
      </c>
      <c r="P60" s="41" t="s">
        <v>56</v>
      </c>
      <c r="Q60" s="44" t="e">
        <f t="shared" ref="Q60:Q80" si="0">INDEX($AD$29:$AT$51, MATCH(P60, $AD$29:$AD$51, 0), MATCH($L$56, $AD$29:$AT$29, 0))</f>
        <v>#DIV/0!</v>
      </c>
      <c r="R60" s="44" t="str">
        <f>'Comparison Population'!E7</f>
        <v/>
      </c>
    </row>
    <row r="61" spans="2:46" hidden="1" x14ac:dyDescent="0.25">
      <c r="L61" s="41" t="s">
        <v>50</v>
      </c>
      <c r="M61" s="44">
        <f>INDEX($AD$3:$AT$25, MATCH(L61, $AD$3:$AD$25, 0), MATCH($L$56, $AD$3:$AT$3, 0))</f>
        <v>0</v>
      </c>
      <c r="N61" s="44">
        <f>'Comparison Population'!C8</f>
        <v>0</v>
      </c>
      <c r="P61" s="41" t="s">
        <v>50</v>
      </c>
      <c r="Q61" s="44" t="e">
        <f t="shared" si="0"/>
        <v>#DIV/0!</v>
      </c>
      <c r="R61" s="44" t="str">
        <f>'Comparison Population'!E8</f>
        <v/>
      </c>
    </row>
    <row r="62" spans="2:46" x14ac:dyDescent="0.25">
      <c r="L62" s="41"/>
      <c r="M62" s="44"/>
      <c r="N62" s="44"/>
      <c r="P62" s="41"/>
      <c r="Q62" s="44"/>
      <c r="R62" s="44"/>
    </row>
    <row r="63" spans="2:46" hidden="1" x14ac:dyDescent="0.25">
      <c r="L63" s="47" t="s">
        <v>122</v>
      </c>
      <c r="M63" s="44">
        <f t="shared" ref="M63:M70" si="1">INDEX($AD$3:$AT$25, MATCH(L63, $AD$3:$AD$25, 0), MATCH($L$56, $AD$3:$AT$3, 0))</f>
        <v>0</v>
      </c>
      <c r="N63" s="44">
        <f>'Comparison Population'!C10</f>
        <v>0</v>
      </c>
      <c r="P63" s="47" t="s">
        <v>122</v>
      </c>
      <c r="Q63" s="44" t="e">
        <f t="shared" si="0"/>
        <v>#DIV/0!</v>
      </c>
      <c r="R63" s="44" t="str">
        <f>'Comparison Population'!E10</f>
        <v/>
      </c>
    </row>
    <row r="64" spans="2:46" x14ac:dyDescent="0.25">
      <c r="L64" s="41" t="s">
        <v>3</v>
      </c>
      <c r="M64" s="44">
        <f t="shared" si="1"/>
        <v>0</v>
      </c>
      <c r="N64" s="44">
        <f>'Comparison Population'!C11</f>
        <v>7.4999999999999997E-2</v>
      </c>
      <c r="P64" s="41" t="s">
        <v>3</v>
      </c>
      <c r="Q64" s="44" t="e">
        <f t="shared" si="0"/>
        <v>#DIV/0!</v>
      </c>
      <c r="R64" s="44" t="str">
        <f>'Comparison Population'!E11</f>
        <v/>
      </c>
    </row>
    <row r="65" spans="12:18" x14ac:dyDescent="0.25">
      <c r="L65" s="41" t="s">
        <v>123</v>
      </c>
      <c r="M65" s="44">
        <f t="shared" si="1"/>
        <v>0.41935483870967744</v>
      </c>
      <c r="N65" s="44">
        <f>'Comparison Population'!C12</f>
        <v>0.31666666666666665</v>
      </c>
      <c r="P65" s="41" t="s">
        <v>123</v>
      </c>
      <c r="Q65" s="44" t="e">
        <f t="shared" si="0"/>
        <v>#DIV/0!</v>
      </c>
      <c r="R65" s="44" t="str">
        <f>'Comparison Population'!E12</f>
        <v/>
      </c>
    </row>
    <row r="66" spans="12:18" x14ac:dyDescent="0.25">
      <c r="L66" s="41" t="s">
        <v>124</v>
      </c>
      <c r="M66" s="44">
        <f t="shared" si="1"/>
        <v>0.29032258064516131</v>
      </c>
      <c r="N66" s="44">
        <f>'Comparison Population'!C13</f>
        <v>0.25833333333333336</v>
      </c>
      <c r="P66" s="41" t="s">
        <v>124</v>
      </c>
      <c r="Q66" s="44" t="e">
        <f t="shared" si="0"/>
        <v>#DIV/0!</v>
      </c>
      <c r="R66" s="44" t="str">
        <f>'Comparison Population'!E13</f>
        <v/>
      </c>
    </row>
    <row r="67" spans="12:18" x14ac:dyDescent="0.25">
      <c r="L67" s="41" t="s">
        <v>9</v>
      </c>
      <c r="M67" s="44">
        <f t="shared" si="1"/>
        <v>0.25806451612903225</v>
      </c>
      <c r="N67" s="44">
        <f>'Comparison Population'!C14</f>
        <v>0.35</v>
      </c>
      <c r="P67" s="41" t="s">
        <v>9</v>
      </c>
      <c r="Q67" s="44" t="e">
        <f t="shared" si="0"/>
        <v>#DIV/0!</v>
      </c>
      <c r="R67" s="44" t="str">
        <f>'Comparison Population'!E14</f>
        <v/>
      </c>
    </row>
    <row r="68" spans="12:18" hidden="1" x14ac:dyDescent="0.25">
      <c r="L68" s="41" t="s">
        <v>125</v>
      </c>
      <c r="M68" s="44">
        <f t="shared" si="1"/>
        <v>0</v>
      </c>
      <c r="N68" s="44">
        <f>'Comparison Population'!C15</f>
        <v>0</v>
      </c>
      <c r="P68" s="41" t="s">
        <v>125</v>
      </c>
      <c r="Q68" s="44" t="e">
        <f t="shared" si="0"/>
        <v>#DIV/0!</v>
      </c>
      <c r="R68" s="44" t="str">
        <f>'Comparison Population'!E15</f>
        <v/>
      </c>
    </row>
    <row r="69" spans="12:18" hidden="1" x14ac:dyDescent="0.25">
      <c r="L69" s="41" t="s">
        <v>126</v>
      </c>
      <c r="M69" s="44">
        <f t="shared" si="1"/>
        <v>0</v>
      </c>
      <c r="N69" s="44">
        <f>'Comparison Population'!C16</f>
        <v>0</v>
      </c>
      <c r="P69" s="41" t="s">
        <v>126</v>
      </c>
      <c r="Q69" s="44" t="e">
        <f t="shared" si="0"/>
        <v>#DIV/0!</v>
      </c>
      <c r="R69" s="44" t="str">
        <f>'Comparison Population'!E16</f>
        <v/>
      </c>
    </row>
    <row r="70" spans="12:18" hidden="1" x14ac:dyDescent="0.25">
      <c r="L70" s="41" t="s">
        <v>17</v>
      </c>
      <c r="M70" s="44">
        <f t="shared" si="1"/>
        <v>0</v>
      </c>
      <c r="N70" s="44">
        <f>'Comparison Population'!C17</f>
        <v>0</v>
      </c>
      <c r="P70" s="41" t="s">
        <v>17</v>
      </c>
      <c r="Q70" s="44" t="e">
        <f t="shared" si="0"/>
        <v>#DIV/0!</v>
      </c>
      <c r="R70" s="44" t="str">
        <f>'Comparison Population'!E17</f>
        <v/>
      </c>
    </row>
    <row r="71" spans="12:18" x14ac:dyDescent="0.25">
      <c r="L71" s="41"/>
      <c r="M71" s="44"/>
      <c r="N71" s="44"/>
      <c r="P71" s="41"/>
      <c r="Q71" s="44"/>
      <c r="R71" s="44"/>
    </row>
    <row r="72" spans="12:18" x14ac:dyDescent="0.25">
      <c r="L72" s="41" t="s">
        <v>54</v>
      </c>
      <c r="M72" s="44">
        <f t="shared" ref="M72:M80" si="2">INDEX($AD$3:$AT$25, MATCH(L72, $AD$3:$AD$25, 0), MATCH($L$56, $AD$3:$AT$3, 0))</f>
        <v>0.70967741935483875</v>
      </c>
      <c r="N72" s="44">
        <f>'Comparison Population'!C19</f>
        <v>0.14000000000000001</v>
      </c>
      <c r="P72" s="41" t="s">
        <v>54</v>
      </c>
      <c r="Q72" s="44" t="e">
        <f t="shared" si="0"/>
        <v>#DIV/0!</v>
      </c>
      <c r="R72" s="44" t="str">
        <f>'Comparison Population'!E19</f>
        <v/>
      </c>
    </row>
    <row r="73" spans="12:18" x14ac:dyDescent="0.25">
      <c r="L73" s="41" t="s">
        <v>57</v>
      </c>
      <c r="M73" s="44">
        <f t="shared" si="2"/>
        <v>0.70967741935483875</v>
      </c>
      <c r="N73" s="44">
        <f>'Comparison Population'!C20</f>
        <v>0.38619205298013243</v>
      </c>
      <c r="P73" s="41" t="s">
        <v>57</v>
      </c>
      <c r="Q73" s="44" t="e">
        <f t="shared" si="0"/>
        <v>#DIV/0!</v>
      </c>
      <c r="R73" s="44" t="str">
        <f>'Comparison Population'!E20</f>
        <v/>
      </c>
    </row>
    <row r="74" spans="12:18" hidden="1" x14ac:dyDescent="0.25">
      <c r="L74" s="41" t="s">
        <v>58</v>
      </c>
      <c r="M74" s="44">
        <f t="shared" si="2"/>
        <v>0</v>
      </c>
      <c r="N74" s="44">
        <f>'Comparison Population'!C21</f>
        <v>0</v>
      </c>
      <c r="P74" s="41" t="s">
        <v>58</v>
      </c>
      <c r="Q74" s="44" t="e">
        <f t="shared" si="0"/>
        <v>#DIV/0!</v>
      </c>
      <c r="R74" s="44" t="str">
        <f>'Comparison Population'!E21</f>
        <v/>
      </c>
    </row>
    <row r="75" spans="12:18" hidden="1" x14ac:dyDescent="0.25">
      <c r="L75" s="41" t="s">
        <v>85</v>
      </c>
      <c r="M75" s="44">
        <f t="shared" si="2"/>
        <v>0</v>
      </c>
      <c r="N75" s="44">
        <f>'Comparison Population'!C22</f>
        <v>0</v>
      </c>
      <c r="P75" s="41" t="s">
        <v>85</v>
      </c>
      <c r="Q75" s="44" t="e">
        <f t="shared" si="0"/>
        <v>#DIV/0!</v>
      </c>
      <c r="R75" s="44" t="str">
        <f>'Comparison Population'!E22</f>
        <v/>
      </c>
    </row>
    <row r="76" spans="12:18" hidden="1" x14ac:dyDescent="0.25">
      <c r="L76" s="41" t="s">
        <v>59</v>
      </c>
      <c r="M76" s="44">
        <f t="shared" si="2"/>
        <v>0</v>
      </c>
      <c r="N76" s="44">
        <f>'Comparison Population'!C23</f>
        <v>0</v>
      </c>
      <c r="P76" s="41" t="s">
        <v>59</v>
      </c>
      <c r="Q76" s="44" t="e">
        <f t="shared" si="0"/>
        <v>#DIV/0!</v>
      </c>
      <c r="R76" s="44" t="str">
        <f>'Comparison Population'!E23</f>
        <v/>
      </c>
    </row>
    <row r="77" spans="12:18" x14ac:dyDescent="0.25">
      <c r="L77" s="41" t="s">
        <v>74</v>
      </c>
      <c r="M77" s="44">
        <f t="shared" si="2"/>
        <v>4.8387096774193547E-2</v>
      </c>
      <c r="N77" s="44">
        <f>'Comparison Population'!C24</f>
        <v>5.1854304635761586E-2</v>
      </c>
      <c r="P77" s="41" t="s">
        <v>74</v>
      </c>
      <c r="Q77" s="44" t="e">
        <f t="shared" si="0"/>
        <v>#DIV/0!</v>
      </c>
      <c r="R77" s="44" t="str">
        <f>'Comparison Population'!E24</f>
        <v/>
      </c>
    </row>
    <row r="78" spans="12:18" hidden="1" x14ac:dyDescent="0.25">
      <c r="L78" s="41" t="s">
        <v>60</v>
      </c>
      <c r="M78" s="44">
        <f t="shared" si="2"/>
        <v>0</v>
      </c>
      <c r="N78" s="44">
        <f>'Comparison Population'!C25</f>
        <v>0</v>
      </c>
      <c r="P78" s="41" t="s">
        <v>60</v>
      </c>
      <c r="Q78" s="44" t="e">
        <f t="shared" si="0"/>
        <v>#DIV/0!</v>
      </c>
      <c r="R78" s="44" t="str">
        <f>'Comparison Population'!E25</f>
        <v/>
      </c>
    </row>
    <row r="79" spans="12:18" hidden="1" x14ac:dyDescent="0.25">
      <c r="L79" s="41" t="s">
        <v>61</v>
      </c>
      <c r="M79" s="44">
        <f t="shared" si="2"/>
        <v>0</v>
      </c>
      <c r="N79" s="44">
        <f>'Comparison Population'!C26</f>
        <v>0</v>
      </c>
      <c r="P79" s="41" t="s">
        <v>61</v>
      </c>
      <c r="Q79" s="44" t="e">
        <f t="shared" si="0"/>
        <v>#DIV/0!</v>
      </c>
      <c r="R79" s="44" t="str">
        <f>'Comparison Population'!E26</f>
        <v/>
      </c>
    </row>
    <row r="80" spans="12:18" hidden="1" x14ac:dyDescent="0.25">
      <c r="L80" s="41" t="s">
        <v>62</v>
      </c>
      <c r="M80" s="44">
        <f t="shared" si="2"/>
        <v>0</v>
      </c>
      <c r="N80" s="44">
        <f>'Comparison Population'!C27</f>
        <v>0</v>
      </c>
      <c r="P80" s="41" t="s">
        <v>62</v>
      </c>
      <c r="Q80" s="44" t="e">
        <f t="shared" si="0"/>
        <v>#DIV/0!</v>
      </c>
      <c r="R80" s="44" t="str">
        <f>'Comparison Population'!E27</f>
        <v/>
      </c>
    </row>
  </sheetData>
  <sheetProtection algorithmName="SHA-512" hashValue="cFL5d4yBiRbaNG+JDPtexHGpzxMM8rxnEafXWkmToNcpMRGKDrBcUOveLPFo6JNtFUdKfvnJoHzJNsOvSFusFg==" saltValue="8WVrcRTVYctEK+xDkwQmBg==" spinCount="100000" sheet="1" objects="1" scenarios="1"/>
  <mergeCells count="8">
    <mergeCell ref="M28:AB28"/>
    <mergeCell ref="AE28:AT28"/>
    <mergeCell ref="L57:N57"/>
    <mergeCell ref="P57:R57"/>
    <mergeCell ref="B2:F2"/>
    <mergeCell ref="G2:J2"/>
    <mergeCell ref="M2:AB2"/>
    <mergeCell ref="AE2:AT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I T e U C o y o t W m A A A A + A A A A B I A H A B D b 2 5 m a W c v U G F j a 2 F n Z S 5 4 b W w g o h g A K K A U A A A A A A A A A A A A A A A A A A A A A A A A A A A A h Y 8 x D o I w G E a v Q r r T l h K V k J 8 y u E p i Q j S u T a 3 Q C M X Q Y r m b g 0 f y C p I o 6 u b 4 v b z h f Y / b H f K x b Y K r 6 q 3 u T I Y i T F G g j O y O 2 l Q Z G t w p T F D O Y S v k W V Q q m G R j 0 9 E e M 1 Q 7 d 0 k J 8 d 5 j H + O u r w i j N C K H Y l P K W r U C f W T 9 X w 6 1 s U 4 Y q R C H / S u G M 5 x E e J H E E V 4 t G Z A Z Q 6 H N V 2 F T M a Z A f i C s h 8 Y N v e L K h L s S y D y B v F / w J 1 B L A w Q U A A I A C A B s h N 5 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I T e U C i K R 7 g O A A A A E Q A A A B M A H A B G b 3 J t d W x h c y 9 T Z W N 0 a W 9 u M S 5 t I K I Y A C i g F A A A A A A A A A A A A A A A A A A A A A A A A A A A A C t O T S 7 J z M 9 T C I b Q h t Y A U E s B A i 0 A F A A C A A g A b I T e U C o y o t W m A A A A + A A A A B I A A A A A A A A A A A A A A A A A A A A A A E N v b m Z p Z y 9 Q Y W N r Y W d l L n h t b F B L A Q I t A B Q A A g A I A G y E 3 l A P y u m r p A A A A O k A A A A T A A A A A A A A A A A A A A A A A P I A A A B b Q 2 9 u d G V u d F 9 U e X B l c 1 0 u e G 1 s U E s B A i 0 A F A A C A A g A b I T e 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P 8 P T X n 0 a a 1 F l F q u 5 h 8 p O O o A A A A A A g A A A A A A E G Y A A A A B A A A g A A A A l Z u 4 w G q v / I 6 S 3 l E f p B E E I 1 J 3 y / X 2 L 0 O b 9 8 / Q N 5 G g a v Q A A A A A D o A A A A A C A A A g A A A A z u S G 8 S b V p h T 8 z k Y L s y T k S f J t k d 3 b V G 2 3 a d L 1 2 d A 2 j 3 R Q A A A A P y T K Y L p m g W 1 1 I f L f o F F t 6 K + t R a G n 0 q o f 3 I b K W H W R 1 n T E Z i C L H m R t x + l / H v b 3 j l R v 1 Y q 7 0 s v W k d j 1 Y 8 Q 4 V + u n Y f T m R x 6 c 3 I h i j X a A A / f u q 0 J A A A A A P Y W K 9 C l / 8 / B I f A a + X M k d C p m Y 8 o M m 8 Y k Y E 4 e u s k p W C r 6 2 M 7 n b O 5 C e x l X K C G 1 K X y k z N Q O 6 O J X l r y 9 1 t W 2 i Y 0 E s V Q = = < / D a t a M a s h u p > 
</file>

<file path=customXml/itemProps1.xml><?xml version="1.0" encoding="utf-8"?>
<ds:datastoreItem xmlns:ds="http://schemas.openxmlformats.org/officeDocument/2006/customXml" ds:itemID="{3C6FDE65-A8C1-4C3D-9DA9-3BB34EE183F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Dashboard</vt:lpstr>
      <vt:lpstr>Comparison Population</vt:lpstr>
      <vt:lpstr>Sec Enrollment</vt:lpstr>
      <vt:lpstr>PS Enrollment</vt:lpstr>
      <vt:lpstr>Heatmap (Sec)</vt:lpstr>
      <vt:lpstr>Heatmap (PS)</vt:lpstr>
      <vt:lpstr>Dashboard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Estes</dc:creator>
  <cp:lastModifiedBy>Austin Estes</cp:lastModifiedBy>
  <dcterms:created xsi:type="dcterms:W3CDTF">2015-06-05T18:17:20Z</dcterms:created>
  <dcterms:modified xsi:type="dcterms:W3CDTF">2020-07-08T14:06:21Z</dcterms:modified>
</cp:coreProperties>
</file>