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inance\bargain\000_Allocation Framework\Cost Studies\FY2023\"/>
    </mc:Choice>
  </mc:AlternateContent>
  <xr:revisionPtr revIDLastSave="0" documentId="13_ncr:1_{F9D3BF16-C054-4D4E-A894-C0AD35365C1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aster Expend Table" sheetId="43" r:id="rId1"/>
    <sheet name="System" sheetId="38" r:id="rId2"/>
    <sheet name="ALEX TC" sheetId="1" r:id="rId3"/>
    <sheet name="ARCCATC" sheetId="48" r:id="rId4"/>
    <sheet name="ANOKARAM CC" sheetId="11" r:id="rId5"/>
    <sheet name="ANOKA TC" sheetId="12" r:id="rId6"/>
    <sheet name="BSU &amp; TC" sheetId="44" r:id="rId7"/>
    <sheet name="BEMIDJI SU" sheetId="37" r:id="rId8"/>
    <sheet name="NTC-Bemidji" sheetId="45" r:id="rId9"/>
    <sheet name="CENTRAL LAKES" sheetId="36" r:id="rId10"/>
    <sheet name="CENTURY" sheetId="35" r:id="rId11"/>
    <sheet name="Sheet2" sheetId="49" r:id="rId12"/>
    <sheet name="DAKCTY TC" sheetId="34" r:id="rId13"/>
    <sheet name="INVER HILLS" sheetId="29" r:id="rId14"/>
    <sheet name="FDL CC" sheetId="32" r:id="rId15"/>
    <sheet name="HENN TC" sheetId="31" r:id="rId16"/>
    <sheet name="LAKE SUPERIOR" sheetId="27" r:id="rId17"/>
    <sheet name="METRO SU" sheetId="25" r:id="rId18"/>
    <sheet name="MPLS COLLEGE" sheetId="24" r:id="rId19"/>
    <sheet name="MN SC-SOUTHEAST" sheetId="23" r:id="rId20"/>
    <sheet name="MINNESOTA STATE COLLEGE" sheetId="46" r:id="rId21"/>
    <sheet name="MSU MOORHEAD" sheetId="20" r:id="rId22"/>
    <sheet name="MSU MANKATO" sheetId="22" r:id="rId23"/>
    <sheet name="MN WEST" sheetId="21" r:id="rId24"/>
    <sheet name="NORMANDALE" sheetId="19" r:id="rId25"/>
    <sheet name="NO HENN CC" sheetId="18" r:id="rId26"/>
    <sheet name="MN North" sheetId="39" r:id="rId27"/>
    <sheet name="HIBBING" sheetId="30" state="hidden" r:id="rId28"/>
    <sheet name="ITASCA CC" sheetId="28" state="hidden" r:id="rId29"/>
    <sheet name="MESABI RANGE" sheetId="40" state="hidden" r:id="rId30"/>
    <sheet name="RAINY RIVER" sheetId="14" state="hidden" r:id="rId31"/>
    <sheet name="VERMILION" sheetId="41" state="hidden" r:id="rId32"/>
    <sheet name="NORTHLAND" sheetId="17" r:id="rId33"/>
    <sheet name="PINE TC" sheetId="15" r:id="rId34"/>
    <sheet name="RIDGEWATER" sheetId="13" r:id="rId35"/>
    <sheet name="RIVERLAND" sheetId="10" r:id="rId36"/>
    <sheet name="ROCHESTER" sheetId="9" r:id="rId37"/>
    <sheet name="SAINT PAUL" sheetId="4" r:id="rId38"/>
    <sheet name="SOUTH CENTRAL" sheetId="8" r:id="rId39"/>
    <sheet name="SOUTHWEST MN SU" sheetId="7" r:id="rId40"/>
    <sheet name="ST CLOUD SU" sheetId="6" r:id="rId41"/>
    <sheet name="ST CLOUD TCC" sheetId="5" r:id="rId42"/>
    <sheet name="WINONA SU" sheetId="2" r:id="rId43"/>
  </sheets>
  <definedNames>
    <definedName name="FY2022_Step_Down_for_Cost_Stud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3" i="43" l="1"/>
  <c r="J43" i="43"/>
  <c r="I43" i="43"/>
  <c r="H43" i="43"/>
  <c r="G43" i="43"/>
  <c r="E43" i="43"/>
  <c r="D43" i="43"/>
  <c r="C43" i="43"/>
  <c r="B43" i="43"/>
  <c r="E39" i="43"/>
  <c r="D39" i="43"/>
  <c r="E30" i="43"/>
  <c r="E26" i="43"/>
  <c r="E13" i="43"/>
  <c r="E8" i="43" l="1"/>
  <c r="E6" i="43"/>
  <c r="A1" i="1"/>
  <c r="K41" i="43" l="1"/>
  <c r="B29" i="49" l="1"/>
  <c r="A1" i="49"/>
  <c r="J15" i="43"/>
  <c r="J9" i="49" s="1"/>
  <c r="I15" i="43"/>
  <c r="I9" i="49" s="1"/>
  <c r="H15" i="43"/>
  <c r="H9" i="49" s="1"/>
  <c r="G15" i="43"/>
  <c r="G9" i="49" s="1"/>
  <c r="E15" i="43"/>
  <c r="E9" i="49" s="1"/>
  <c r="D15" i="43"/>
  <c r="D9" i="49" s="1"/>
  <c r="C15" i="43"/>
  <c r="C9" i="49" s="1"/>
  <c r="B15" i="43"/>
  <c r="B9" i="49" s="1"/>
  <c r="K9" i="49" l="1"/>
  <c r="J11" i="49"/>
  <c r="J12" i="49" s="1"/>
  <c r="J15" i="49" s="1"/>
  <c r="J18" i="49" s="1"/>
  <c r="J22" i="49" s="1"/>
  <c r="B27" i="49"/>
  <c r="B29" i="48"/>
  <c r="A1" i="48"/>
  <c r="J7" i="43"/>
  <c r="I7" i="43"/>
  <c r="H7" i="43"/>
  <c r="G7" i="43"/>
  <c r="E7" i="43"/>
  <c r="D7" i="43"/>
  <c r="C7" i="43"/>
  <c r="B7" i="43"/>
  <c r="B11" i="49" l="1"/>
  <c r="B12" i="49" s="1"/>
  <c r="I9" i="48"/>
  <c r="B9" i="48"/>
  <c r="B27" i="48" s="1"/>
  <c r="G9" i="48"/>
  <c r="J9" i="48"/>
  <c r="J11" i="48" s="1"/>
  <c r="C9" i="48"/>
  <c r="D9" i="48"/>
  <c r="E9" i="48"/>
  <c r="H9" i="48"/>
  <c r="D11" i="49"/>
  <c r="D12" i="49" s="1"/>
  <c r="C11" i="49"/>
  <c r="C12" i="49" s="1"/>
  <c r="E11" i="49"/>
  <c r="E12" i="49" s="1"/>
  <c r="I11" i="49"/>
  <c r="I12" i="49" s="1"/>
  <c r="H11" i="49"/>
  <c r="H12" i="49" s="1"/>
  <c r="G11" i="49"/>
  <c r="G12" i="49" s="1"/>
  <c r="K7" i="43"/>
  <c r="K25" i="43"/>
  <c r="K9" i="48" l="1"/>
  <c r="B11" i="48" s="1"/>
  <c r="B12" i="48" s="1"/>
  <c r="K12" i="49"/>
  <c r="I14" i="49"/>
  <c r="I15" i="49" s="1"/>
  <c r="I18" i="49" s="1"/>
  <c r="I22" i="49" s="1"/>
  <c r="J12" i="48"/>
  <c r="J15" i="48" s="1"/>
  <c r="J18" i="48" s="1"/>
  <c r="J22" i="48" s="1"/>
  <c r="B9" i="45"/>
  <c r="B27" i="45" s="1"/>
  <c r="C9" i="45"/>
  <c r="D9" i="45"/>
  <c r="E9" i="45"/>
  <c r="G9" i="45"/>
  <c r="H9" i="45"/>
  <c r="I9" i="45"/>
  <c r="J9" i="45"/>
  <c r="J11" i="45" s="1"/>
  <c r="B10" i="43"/>
  <c r="B9" i="37"/>
  <c r="B27" i="37" s="1"/>
  <c r="C9" i="37"/>
  <c r="D9" i="37"/>
  <c r="E9" i="37"/>
  <c r="G9" i="37"/>
  <c r="H9" i="37"/>
  <c r="I9" i="37"/>
  <c r="J9" i="37"/>
  <c r="J11" i="37" s="1"/>
  <c r="J12" i="37" s="1"/>
  <c r="J15" i="37" s="1"/>
  <c r="J18" i="37" s="1"/>
  <c r="J22" i="37" s="1"/>
  <c r="I9" i="2"/>
  <c r="G9" i="2"/>
  <c r="I9" i="5"/>
  <c r="G9" i="5"/>
  <c r="I9" i="6"/>
  <c r="G9" i="6"/>
  <c r="I9" i="7"/>
  <c r="G9" i="7"/>
  <c r="I9" i="8"/>
  <c r="G9" i="8"/>
  <c r="I9" i="4"/>
  <c r="G9" i="4"/>
  <c r="I9" i="9"/>
  <c r="G9" i="9"/>
  <c r="I9" i="10"/>
  <c r="G9" i="10"/>
  <c r="I9" i="13"/>
  <c r="G9" i="13"/>
  <c r="I9" i="15"/>
  <c r="G9" i="15"/>
  <c r="I9" i="17"/>
  <c r="G9" i="17"/>
  <c r="I9" i="41"/>
  <c r="G9" i="41"/>
  <c r="I9" i="14"/>
  <c r="G9" i="14"/>
  <c r="I9" i="40"/>
  <c r="G9" i="40"/>
  <c r="I9" i="28"/>
  <c r="G9" i="28"/>
  <c r="I9" i="30"/>
  <c r="G9" i="30"/>
  <c r="I9" i="18"/>
  <c r="G9" i="18"/>
  <c r="I9" i="19"/>
  <c r="G9" i="19"/>
  <c r="I9" i="21"/>
  <c r="G9" i="21"/>
  <c r="I9" i="22"/>
  <c r="G9" i="22"/>
  <c r="I9" i="20"/>
  <c r="G9" i="20"/>
  <c r="I9" i="46"/>
  <c r="G9" i="46"/>
  <c r="I9" i="23"/>
  <c r="G9" i="23"/>
  <c r="I9" i="24"/>
  <c r="G9" i="24"/>
  <c r="I9" i="25"/>
  <c r="G9" i="25"/>
  <c r="I9" i="27"/>
  <c r="G9" i="27"/>
  <c r="I9" i="29"/>
  <c r="G9" i="29"/>
  <c r="I9" i="31"/>
  <c r="G9" i="31"/>
  <c r="I9" i="32"/>
  <c r="G9" i="32"/>
  <c r="I9" i="34"/>
  <c r="G9" i="34"/>
  <c r="I9" i="35"/>
  <c r="G9" i="35"/>
  <c r="I9" i="36"/>
  <c r="G9" i="36"/>
  <c r="I9" i="12"/>
  <c r="G9" i="12"/>
  <c r="I9" i="11"/>
  <c r="G9" i="11"/>
  <c r="I9" i="1"/>
  <c r="G9" i="1"/>
  <c r="G10" i="43"/>
  <c r="I10" i="43"/>
  <c r="E10" i="43"/>
  <c r="D10" i="43"/>
  <c r="C10" i="43"/>
  <c r="J10" i="43"/>
  <c r="H10" i="43"/>
  <c r="K6" i="43"/>
  <c r="K8" i="43"/>
  <c r="K9" i="43"/>
  <c r="K11" i="43"/>
  <c r="K12" i="43"/>
  <c r="K13" i="43"/>
  <c r="K14" i="43"/>
  <c r="K16" i="43"/>
  <c r="K18" i="43"/>
  <c r="K19" i="43"/>
  <c r="K17" i="43"/>
  <c r="K20" i="43"/>
  <c r="K21" i="43"/>
  <c r="K22" i="43"/>
  <c r="K23" i="43"/>
  <c r="K24" i="43"/>
  <c r="K26" i="43"/>
  <c r="K27" i="43"/>
  <c r="K28" i="43"/>
  <c r="K29" i="43"/>
  <c r="C9" i="39"/>
  <c r="J9" i="39"/>
  <c r="K31" i="43"/>
  <c r="K32" i="43"/>
  <c r="K33" i="43"/>
  <c r="K34" i="43"/>
  <c r="K35" i="43"/>
  <c r="K36" i="43"/>
  <c r="K37" i="43"/>
  <c r="K38" i="43"/>
  <c r="K39" i="43"/>
  <c r="K40" i="43"/>
  <c r="B29" i="39"/>
  <c r="B29" i="44"/>
  <c r="J9" i="46"/>
  <c r="J11" i="46" s="1"/>
  <c r="H9" i="46"/>
  <c r="E9" i="46"/>
  <c r="D9" i="46"/>
  <c r="C9" i="46"/>
  <c r="B9" i="46"/>
  <c r="A1" i="46"/>
  <c r="A1" i="45"/>
  <c r="A1" i="44"/>
  <c r="J9" i="2"/>
  <c r="J11" i="2" s="1"/>
  <c r="J12" i="2" s="1"/>
  <c r="J15" i="2" s="1"/>
  <c r="J18" i="2" s="1"/>
  <c r="J22" i="2" s="1"/>
  <c r="H9" i="2"/>
  <c r="E9" i="2"/>
  <c r="D9" i="2"/>
  <c r="C9" i="2"/>
  <c r="B9" i="2"/>
  <c r="B27" i="2" s="1"/>
  <c r="J9" i="5"/>
  <c r="J11" i="5" s="1"/>
  <c r="J12" i="5" s="1"/>
  <c r="J15" i="5" s="1"/>
  <c r="J18" i="5" s="1"/>
  <c r="J22" i="5" s="1"/>
  <c r="H9" i="5"/>
  <c r="E9" i="5"/>
  <c r="D9" i="5"/>
  <c r="C9" i="5"/>
  <c r="B9" i="5"/>
  <c r="B27" i="5" s="1"/>
  <c r="J9" i="6"/>
  <c r="J11" i="6" s="1"/>
  <c r="J12" i="6" s="1"/>
  <c r="J15" i="6" s="1"/>
  <c r="J18" i="6" s="1"/>
  <c r="J22" i="6" s="1"/>
  <c r="H9" i="6"/>
  <c r="E9" i="6"/>
  <c r="D9" i="6"/>
  <c r="C9" i="6"/>
  <c r="B9" i="6"/>
  <c r="B27" i="6" s="1"/>
  <c r="J9" i="7"/>
  <c r="J11" i="7" s="1"/>
  <c r="J12" i="7" s="1"/>
  <c r="J15" i="7" s="1"/>
  <c r="J18" i="7" s="1"/>
  <c r="J22" i="7" s="1"/>
  <c r="H9" i="7"/>
  <c r="E9" i="7"/>
  <c r="D9" i="7"/>
  <c r="C9" i="7"/>
  <c r="B9" i="7"/>
  <c r="B27" i="7" s="1"/>
  <c r="J9" i="8"/>
  <c r="J11" i="8" s="1"/>
  <c r="J12" i="8" s="1"/>
  <c r="J15" i="8" s="1"/>
  <c r="J18" i="8" s="1"/>
  <c r="J22" i="8" s="1"/>
  <c r="H9" i="8"/>
  <c r="E9" i="8"/>
  <c r="D9" i="8"/>
  <c r="C9" i="8"/>
  <c r="B9" i="8"/>
  <c r="B27" i="8" s="1"/>
  <c r="J9" i="4"/>
  <c r="J11" i="4" s="1"/>
  <c r="J12" i="4" s="1"/>
  <c r="J15" i="4" s="1"/>
  <c r="J18" i="4" s="1"/>
  <c r="J22" i="4" s="1"/>
  <c r="H9" i="4"/>
  <c r="E9" i="4"/>
  <c r="D9" i="4"/>
  <c r="C9" i="4"/>
  <c r="B9" i="4"/>
  <c r="B27" i="4" s="1"/>
  <c r="J9" i="9"/>
  <c r="J11" i="9" s="1"/>
  <c r="J12" i="9" s="1"/>
  <c r="J15" i="9" s="1"/>
  <c r="J18" i="9" s="1"/>
  <c r="J22" i="9" s="1"/>
  <c r="H9" i="9"/>
  <c r="E9" i="9"/>
  <c r="D9" i="9"/>
  <c r="C9" i="9"/>
  <c r="B9" i="9"/>
  <c r="B27" i="9" s="1"/>
  <c r="J9" i="10"/>
  <c r="J11" i="10" s="1"/>
  <c r="J12" i="10" s="1"/>
  <c r="J15" i="10" s="1"/>
  <c r="J18" i="10" s="1"/>
  <c r="J22" i="10" s="1"/>
  <c r="H9" i="10"/>
  <c r="E9" i="10"/>
  <c r="D9" i="10"/>
  <c r="C9" i="10"/>
  <c r="B9" i="10"/>
  <c r="B27" i="10" s="1"/>
  <c r="J9" i="13"/>
  <c r="J11" i="13" s="1"/>
  <c r="J12" i="13" s="1"/>
  <c r="J15" i="13" s="1"/>
  <c r="J18" i="13" s="1"/>
  <c r="J22" i="13" s="1"/>
  <c r="H9" i="13"/>
  <c r="E9" i="13"/>
  <c r="D9" i="13"/>
  <c r="C9" i="13"/>
  <c r="B9" i="13"/>
  <c r="B27" i="13" s="1"/>
  <c r="J9" i="15"/>
  <c r="J11" i="15" s="1"/>
  <c r="J12" i="15" s="1"/>
  <c r="J15" i="15" s="1"/>
  <c r="J18" i="15" s="1"/>
  <c r="J22" i="15" s="1"/>
  <c r="H9" i="15"/>
  <c r="E9" i="15"/>
  <c r="D9" i="15"/>
  <c r="C9" i="15"/>
  <c r="B9" i="15"/>
  <c r="B27" i="15" s="1"/>
  <c r="J9" i="17"/>
  <c r="J11" i="17" s="1"/>
  <c r="J12" i="17" s="1"/>
  <c r="J15" i="17" s="1"/>
  <c r="J18" i="17" s="1"/>
  <c r="J22" i="17" s="1"/>
  <c r="H9" i="17"/>
  <c r="E9" i="17"/>
  <c r="D9" i="17"/>
  <c r="C9" i="17"/>
  <c r="B9" i="17"/>
  <c r="B27" i="17" s="1"/>
  <c r="J9" i="41"/>
  <c r="J11" i="41" s="1"/>
  <c r="H9" i="41"/>
  <c r="E9" i="41"/>
  <c r="D9" i="41"/>
  <c r="C9" i="41"/>
  <c r="B9" i="41"/>
  <c r="B27" i="41" s="1"/>
  <c r="J9" i="14"/>
  <c r="H9" i="14"/>
  <c r="E9" i="14"/>
  <c r="D9" i="14"/>
  <c r="C9" i="14"/>
  <c r="B9" i="14"/>
  <c r="B27" i="14" s="1"/>
  <c r="J9" i="40"/>
  <c r="H9" i="40"/>
  <c r="E9" i="40"/>
  <c r="D9" i="40"/>
  <c r="C9" i="40"/>
  <c r="B9" i="40"/>
  <c r="B27" i="40" s="1"/>
  <c r="J9" i="28"/>
  <c r="H9" i="28"/>
  <c r="E9" i="28"/>
  <c r="D9" i="28"/>
  <c r="C9" i="28"/>
  <c r="B9" i="28"/>
  <c r="B27" i="28" s="1"/>
  <c r="J9" i="30"/>
  <c r="J11" i="30" s="1"/>
  <c r="J12" i="30" s="1"/>
  <c r="J15" i="30" s="1"/>
  <c r="J18" i="30" s="1"/>
  <c r="J22" i="30" s="1"/>
  <c r="H9" i="30"/>
  <c r="E9" i="30"/>
  <c r="D9" i="30"/>
  <c r="C9" i="30"/>
  <c r="B9" i="30"/>
  <c r="B27" i="30" s="1"/>
  <c r="J9" i="18"/>
  <c r="J11" i="18" s="1"/>
  <c r="J12" i="18" s="1"/>
  <c r="J15" i="18" s="1"/>
  <c r="J18" i="18" s="1"/>
  <c r="J22" i="18" s="1"/>
  <c r="H9" i="18"/>
  <c r="E9" i="18"/>
  <c r="D9" i="18"/>
  <c r="C9" i="18"/>
  <c r="B9" i="18"/>
  <c r="J9" i="19"/>
  <c r="J11" i="19" s="1"/>
  <c r="H9" i="19"/>
  <c r="E9" i="19"/>
  <c r="D9" i="19"/>
  <c r="C9" i="19"/>
  <c r="B9" i="19"/>
  <c r="B27" i="19" s="1"/>
  <c r="J9" i="21"/>
  <c r="J11" i="21" s="1"/>
  <c r="J12" i="21" s="1"/>
  <c r="J15" i="21" s="1"/>
  <c r="J18" i="21" s="1"/>
  <c r="J22" i="21" s="1"/>
  <c r="H9" i="21"/>
  <c r="E9" i="21"/>
  <c r="D9" i="21"/>
  <c r="C9" i="21"/>
  <c r="B9" i="21"/>
  <c r="B27" i="21" s="1"/>
  <c r="J9" i="22"/>
  <c r="J11" i="22" s="1"/>
  <c r="J12" i="22" s="1"/>
  <c r="J15" i="22" s="1"/>
  <c r="J18" i="22" s="1"/>
  <c r="J22" i="22" s="1"/>
  <c r="H9" i="22"/>
  <c r="E9" i="22"/>
  <c r="D9" i="22"/>
  <c r="C9" i="22"/>
  <c r="B9" i="22"/>
  <c r="J9" i="20"/>
  <c r="J11" i="20" s="1"/>
  <c r="J12" i="20" s="1"/>
  <c r="J15" i="20" s="1"/>
  <c r="J18" i="20" s="1"/>
  <c r="J22" i="20" s="1"/>
  <c r="H9" i="20"/>
  <c r="E9" i="20"/>
  <c r="D9" i="20"/>
  <c r="C9" i="20"/>
  <c r="B9" i="20"/>
  <c r="B27" i="20" s="1"/>
  <c r="J9" i="23"/>
  <c r="J11" i="23" s="1"/>
  <c r="J12" i="23" s="1"/>
  <c r="J15" i="23" s="1"/>
  <c r="J18" i="23" s="1"/>
  <c r="J22" i="23" s="1"/>
  <c r="H9" i="23"/>
  <c r="E9" i="23"/>
  <c r="D9" i="23"/>
  <c r="C9" i="23"/>
  <c r="B9" i="23"/>
  <c r="J9" i="24"/>
  <c r="J11" i="24" s="1"/>
  <c r="J12" i="24" s="1"/>
  <c r="J15" i="24" s="1"/>
  <c r="J18" i="24" s="1"/>
  <c r="J22" i="24" s="1"/>
  <c r="H9" i="24"/>
  <c r="E9" i="24"/>
  <c r="D9" i="24"/>
  <c r="C9" i="24"/>
  <c r="B9" i="24"/>
  <c r="J9" i="25"/>
  <c r="J11" i="25" s="1"/>
  <c r="J12" i="25" s="1"/>
  <c r="J15" i="25" s="1"/>
  <c r="J18" i="25" s="1"/>
  <c r="J22" i="25" s="1"/>
  <c r="H9" i="25"/>
  <c r="E9" i="25"/>
  <c r="D9" i="25"/>
  <c r="C9" i="25"/>
  <c r="B9" i="25"/>
  <c r="B27" i="25" s="1"/>
  <c r="J9" i="27"/>
  <c r="J11" i="27" s="1"/>
  <c r="J12" i="27" s="1"/>
  <c r="J15" i="27" s="1"/>
  <c r="J18" i="27" s="1"/>
  <c r="J22" i="27" s="1"/>
  <c r="H9" i="27"/>
  <c r="E9" i="27"/>
  <c r="D9" i="27"/>
  <c r="C9" i="27"/>
  <c r="B9" i="27"/>
  <c r="J9" i="29"/>
  <c r="J11" i="29" s="1"/>
  <c r="J12" i="29" s="1"/>
  <c r="J15" i="29" s="1"/>
  <c r="J18" i="29" s="1"/>
  <c r="J22" i="29" s="1"/>
  <c r="H9" i="29"/>
  <c r="E9" i="29"/>
  <c r="D9" i="29"/>
  <c r="C9" i="29"/>
  <c r="B9" i="29"/>
  <c r="J9" i="31"/>
  <c r="H9" i="31"/>
  <c r="E9" i="31"/>
  <c r="D9" i="31"/>
  <c r="C9" i="31"/>
  <c r="B9" i="31"/>
  <c r="B27" i="31" s="1"/>
  <c r="J9" i="32"/>
  <c r="J11" i="32" s="1"/>
  <c r="H9" i="32"/>
  <c r="E9" i="32"/>
  <c r="D9" i="32"/>
  <c r="C9" i="32"/>
  <c r="B9" i="32"/>
  <c r="B27" i="32" s="1"/>
  <c r="J9" i="34"/>
  <c r="J11" i="34" s="1"/>
  <c r="H9" i="34"/>
  <c r="E9" i="34"/>
  <c r="D9" i="34"/>
  <c r="C9" i="34"/>
  <c r="B9" i="34"/>
  <c r="B27" i="34" s="1"/>
  <c r="J9" i="35"/>
  <c r="J11" i="35" s="1"/>
  <c r="H9" i="35"/>
  <c r="E9" i="35"/>
  <c r="D9" i="35"/>
  <c r="C9" i="35"/>
  <c r="B9" i="35"/>
  <c r="B27" i="35" s="1"/>
  <c r="J9" i="36"/>
  <c r="J11" i="36" s="1"/>
  <c r="H9" i="36"/>
  <c r="E9" i="36"/>
  <c r="D9" i="36"/>
  <c r="C9" i="36"/>
  <c r="B9" i="36"/>
  <c r="B27" i="36" s="1"/>
  <c r="J9" i="12"/>
  <c r="J11" i="12" s="1"/>
  <c r="H9" i="12"/>
  <c r="E9" i="12"/>
  <c r="D9" i="12"/>
  <c r="C9" i="12"/>
  <c r="B9" i="12"/>
  <c r="B27" i="12" s="1"/>
  <c r="J9" i="11"/>
  <c r="J11" i="11" s="1"/>
  <c r="J12" i="11" s="1"/>
  <c r="J15" i="11" s="1"/>
  <c r="J18" i="11" s="1"/>
  <c r="J22" i="11" s="1"/>
  <c r="H9" i="11"/>
  <c r="E9" i="11"/>
  <c r="D9" i="11"/>
  <c r="C9" i="11"/>
  <c r="B9" i="11"/>
  <c r="B27" i="11" s="1"/>
  <c r="C9" i="1"/>
  <c r="J9" i="1"/>
  <c r="J11" i="1" s="1"/>
  <c r="H9" i="1"/>
  <c r="E9" i="1"/>
  <c r="D9" i="1"/>
  <c r="B9" i="1"/>
  <c r="A1" i="2"/>
  <c r="A1" i="4"/>
  <c r="A1" i="5"/>
  <c r="A1" i="6"/>
  <c r="A1" i="7"/>
  <c r="A1" i="8"/>
  <c r="A1" i="9"/>
  <c r="A1" i="10"/>
  <c r="A1" i="13"/>
  <c r="A1" i="15"/>
  <c r="A1" i="17"/>
  <c r="A1" i="41"/>
  <c r="A1" i="14"/>
  <c r="A1" i="40"/>
  <c r="A1" i="28"/>
  <c r="A1" i="39"/>
  <c r="A1" i="18"/>
  <c r="A1" i="19"/>
  <c r="A1" i="21"/>
  <c r="A1" i="22"/>
  <c r="A1" i="20"/>
  <c r="A1" i="23"/>
  <c r="A1" i="24"/>
  <c r="A1" i="25"/>
  <c r="A1" i="27"/>
  <c r="A1" i="29"/>
  <c r="A1" i="30"/>
  <c r="A1" i="31"/>
  <c r="A1" i="32"/>
  <c r="A1" i="34"/>
  <c r="A1" i="35"/>
  <c r="A1" i="36"/>
  <c r="A1" i="37"/>
  <c r="A1" i="11"/>
  <c r="A1" i="12"/>
  <c r="H11" i="48" l="1"/>
  <c r="H12" i="48" s="1"/>
  <c r="I11" i="48"/>
  <c r="I12" i="48" s="1"/>
  <c r="I14" i="48" s="1"/>
  <c r="C14" i="48" s="1"/>
  <c r="C11" i="48"/>
  <c r="C12" i="48" s="1"/>
  <c r="D11" i="48"/>
  <c r="D12" i="48" s="1"/>
  <c r="D9" i="38"/>
  <c r="C9" i="38"/>
  <c r="G11" i="48"/>
  <c r="G12" i="48" s="1"/>
  <c r="E11" i="48"/>
  <c r="E12" i="48" s="1"/>
  <c r="E9" i="38"/>
  <c r="I9" i="38"/>
  <c r="B9" i="38"/>
  <c r="B27" i="38" s="1"/>
  <c r="K15" i="43"/>
  <c r="H9" i="38"/>
  <c r="G9" i="38"/>
  <c r="J9" i="38"/>
  <c r="J11" i="38" s="1"/>
  <c r="J12" i="38" s="1"/>
  <c r="J15" i="38" s="1"/>
  <c r="J18" i="38" s="1"/>
  <c r="J22" i="38" s="1"/>
  <c r="D14" i="49"/>
  <c r="D15" i="49" s="1"/>
  <c r="E14" i="49"/>
  <c r="E15" i="49" s="1"/>
  <c r="B14" i="49"/>
  <c r="B15" i="49" s="1"/>
  <c r="G14" i="49"/>
  <c r="G15" i="49" s="1"/>
  <c r="C14" i="49"/>
  <c r="C15" i="49" s="1"/>
  <c r="H14" i="49"/>
  <c r="H15" i="49" s="1"/>
  <c r="J11" i="39"/>
  <c r="J12" i="39" s="1"/>
  <c r="J15" i="39" s="1"/>
  <c r="J18" i="39" s="1"/>
  <c r="J22" i="39" s="1"/>
  <c r="J12" i="45"/>
  <c r="J15" i="45" s="1"/>
  <c r="J18" i="45" s="1"/>
  <c r="J22" i="45" s="1"/>
  <c r="J12" i="12"/>
  <c r="J15" i="12" s="1"/>
  <c r="J18" i="12" s="1"/>
  <c r="J22" i="12" s="1"/>
  <c r="I9" i="39"/>
  <c r="K9" i="28"/>
  <c r="H9" i="39"/>
  <c r="G9" i="39"/>
  <c r="D9" i="39"/>
  <c r="B9" i="39"/>
  <c r="B27" i="39" s="1"/>
  <c r="K9" i="45"/>
  <c r="I11" i="45" s="1"/>
  <c r="I12" i="45" s="1"/>
  <c r="J9" i="44"/>
  <c r="J11" i="44" s="1"/>
  <c r="J12" i="44" s="1"/>
  <c r="J15" i="44" s="1"/>
  <c r="J18" i="44" s="1"/>
  <c r="J22" i="44" s="1"/>
  <c r="I9" i="44"/>
  <c r="H9" i="44"/>
  <c r="G9" i="44"/>
  <c r="E9" i="44"/>
  <c r="D9" i="44"/>
  <c r="C9" i="44"/>
  <c r="B9" i="44"/>
  <c r="B27" i="44" s="1"/>
  <c r="K9" i="5"/>
  <c r="C11" i="5" s="1"/>
  <c r="C12" i="5" s="1"/>
  <c r="K9" i="34"/>
  <c r="H11" i="34" s="1"/>
  <c r="H12" i="34" s="1"/>
  <c r="K9" i="10"/>
  <c r="D11" i="10" s="1"/>
  <c r="D12" i="10" s="1"/>
  <c r="K9" i="7"/>
  <c r="B11" i="7" s="1"/>
  <c r="B12" i="7" s="1"/>
  <c r="K9" i="2"/>
  <c r="C11" i="2" s="1"/>
  <c r="C12" i="2" s="1"/>
  <c r="K9" i="14"/>
  <c r="K10" i="43"/>
  <c r="J12" i="32"/>
  <c r="J15" i="32" s="1"/>
  <c r="J18" i="32" s="1"/>
  <c r="J22" i="32" s="1"/>
  <c r="K9" i="12"/>
  <c r="B11" i="12" s="1"/>
  <c r="B12" i="12" s="1"/>
  <c r="J12" i="19"/>
  <c r="J15" i="19" s="1"/>
  <c r="J18" i="19" s="1"/>
  <c r="J22" i="19" s="1"/>
  <c r="K30" i="43"/>
  <c r="E9" i="39"/>
  <c r="J12" i="46"/>
  <c r="J15" i="46" s="1"/>
  <c r="J18" i="46" s="1"/>
  <c r="J22" i="46" s="1"/>
  <c r="K9" i="36"/>
  <c r="G11" i="36" s="1"/>
  <c r="G12" i="36" s="1"/>
  <c r="K9" i="32"/>
  <c r="G11" i="32" s="1"/>
  <c r="G12" i="32" s="1"/>
  <c r="K9" i="17"/>
  <c r="K9" i="9"/>
  <c r="K9" i="4"/>
  <c r="H11" i="4" s="1"/>
  <c r="H12" i="4" s="1"/>
  <c r="K9" i="6"/>
  <c r="K9" i="29"/>
  <c r="D11" i="29" s="1"/>
  <c r="D12" i="29" s="1"/>
  <c r="B27" i="29"/>
  <c r="K9" i="27"/>
  <c r="D11" i="27" s="1"/>
  <c r="D12" i="27" s="1"/>
  <c r="B27" i="27"/>
  <c r="K9" i="25"/>
  <c r="B11" i="25" s="1"/>
  <c r="B12" i="25" s="1"/>
  <c r="B27" i="24"/>
  <c r="K9" i="24"/>
  <c r="B11" i="24" s="1"/>
  <c r="B12" i="24" s="1"/>
  <c r="B27" i="23"/>
  <c r="K9" i="23"/>
  <c r="G11" i="23" s="1"/>
  <c r="G12" i="23" s="1"/>
  <c r="K9" i="20"/>
  <c r="B11" i="20" s="1"/>
  <c r="B12" i="20" s="1"/>
  <c r="K9" i="22"/>
  <c r="B11" i="22" s="1"/>
  <c r="B12" i="22" s="1"/>
  <c r="B27" i="22"/>
  <c r="K9" i="21"/>
  <c r="B11" i="21" s="1"/>
  <c r="B12" i="21" s="1"/>
  <c r="K9" i="19"/>
  <c r="B11" i="19" s="1"/>
  <c r="B12" i="19" s="1"/>
  <c r="B27" i="18"/>
  <c r="K9" i="18"/>
  <c r="K9" i="30"/>
  <c r="C11" i="30" s="1"/>
  <c r="C12" i="30" s="1"/>
  <c r="J11" i="28"/>
  <c r="J12" i="28" s="1"/>
  <c r="J15" i="28" s="1"/>
  <c r="J18" i="28" s="1"/>
  <c r="J22" i="28" s="1"/>
  <c r="K9" i="40"/>
  <c r="J11" i="40"/>
  <c r="J12" i="40" s="1"/>
  <c r="J15" i="40" s="1"/>
  <c r="J18" i="40" s="1"/>
  <c r="J22" i="40" s="1"/>
  <c r="J11" i="14"/>
  <c r="K9" i="41"/>
  <c r="C11" i="41" s="1"/>
  <c r="C12" i="41" s="1"/>
  <c r="B27" i="46"/>
  <c r="K9" i="46"/>
  <c r="J12" i="41"/>
  <c r="J15" i="41" s="1"/>
  <c r="J18" i="41" s="1"/>
  <c r="J22" i="41" s="1"/>
  <c r="K9" i="1"/>
  <c r="B27" i="1"/>
  <c r="K9" i="11"/>
  <c r="K9" i="35"/>
  <c r="J11" i="31"/>
  <c r="J12" i="31" s="1"/>
  <c r="J15" i="31" s="1"/>
  <c r="J18" i="31" s="1"/>
  <c r="J22" i="31" s="1"/>
  <c r="J12" i="1"/>
  <c r="J15" i="1" s="1"/>
  <c r="J18" i="1" s="1"/>
  <c r="J22" i="1" s="1"/>
  <c r="J12" i="36"/>
  <c r="J15" i="36" s="1"/>
  <c r="J18" i="36" s="1"/>
  <c r="J22" i="36" s="1"/>
  <c r="J12" i="35"/>
  <c r="J15" i="35" s="1"/>
  <c r="J18" i="35" s="1"/>
  <c r="J22" i="35" s="1"/>
  <c r="J12" i="34"/>
  <c r="J15" i="34" s="1"/>
  <c r="J18" i="34" s="1"/>
  <c r="J22" i="34" s="1"/>
  <c r="K9" i="31"/>
  <c r="K9" i="15"/>
  <c r="H11" i="15" s="1"/>
  <c r="H12" i="15" s="1"/>
  <c r="K9" i="13"/>
  <c r="K9" i="8"/>
  <c r="K9" i="37"/>
  <c r="D11" i="37" s="1"/>
  <c r="D12" i="37" s="1"/>
  <c r="C15" i="48" l="1"/>
  <c r="I15" i="48"/>
  <c r="I18" i="48" s="1"/>
  <c r="I22" i="48" s="1"/>
  <c r="H14" i="48"/>
  <c r="H15" i="48" s="1"/>
  <c r="H17" i="48" s="1"/>
  <c r="H18" i="48" s="1"/>
  <c r="H22" i="48" s="1"/>
  <c r="D14" i="48"/>
  <c r="D15" i="48" s="1"/>
  <c r="G14" i="48"/>
  <c r="G15" i="48" s="1"/>
  <c r="E14" i="48"/>
  <c r="E15" i="48" s="1"/>
  <c r="B14" i="48"/>
  <c r="B15" i="48" s="1"/>
  <c r="K12" i="48"/>
  <c r="K15" i="49"/>
  <c r="H17" i="49"/>
  <c r="H18" i="49" s="1"/>
  <c r="H22" i="49" s="1"/>
  <c r="E11" i="10"/>
  <c r="E12" i="10" s="1"/>
  <c r="H11" i="7"/>
  <c r="H12" i="7" s="1"/>
  <c r="H11" i="45"/>
  <c r="H12" i="45" s="1"/>
  <c r="H11" i="10"/>
  <c r="H12" i="10" s="1"/>
  <c r="I11" i="5"/>
  <c r="I12" i="5" s="1"/>
  <c r="I14" i="5" s="1"/>
  <c r="C14" i="5" s="1"/>
  <c r="C15" i="5" s="1"/>
  <c r="D11" i="45"/>
  <c r="D12" i="45" s="1"/>
  <c r="G11" i="45"/>
  <c r="G12" i="45" s="1"/>
  <c r="B11" i="45"/>
  <c r="B12" i="45" s="1"/>
  <c r="E11" i="45"/>
  <c r="E12" i="45" s="1"/>
  <c r="G11" i="2"/>
  <c r="G12" i="2" s="1"/>
  <c r="B11" i="2"/>
  <c r="B12" i="2" s="1"/>
  <c r="E11" i="5"/>
  <c r="E12" i="5" s="1"/>
  <c r="B11" i="5"/>
  <c r="B12" i="5" s="1"/>
  <c r="H11" i="5"/>
  <c r="H12" i="5" s="1"/>
  <c r="E11" i="7"/>
  <c r="E12" i="7" s="1"/>
  <c r="D11" i="7"/>
  <c r="D12" i="7" s="1"/>
  <c r="I11" i="7"/>
  <c r="I12" i="7" s="1"/>
  <c r="I14" i="7" s="1"/>
  <c r="C11" i="7"/>
  <c r="C12" i="7" s="1"/>
  <c r="G11" i="7"/>
  <c r="G12" i="7" s="1"/>
  <c r="K9" i="39"/>
  <c r="D11" i="39" s="1"/>
  <c r="D12" i="39" s="1"/>
  <c r="C11" i="34"/>
  <c r="C12" i="34" s="1"/>
  <c r="D11" i="34"/>
  <c r="D12" i="34" s="1"/>
  <c r="E11" i="34"/>
  <c r="E12" i="34" s="1"/>
  <c r="C11" i="45"/>
  <c r="C12" i="45" s="1"/>
  <c r="K9" i="44"/>
  <c r="D11" i="44" s="1"/>
  <c r="D12" i="44" s="1"/>
  <c r="C11" i="12"/>
  <c r="C12" i="12" s="1"/>
  <c r="E11" i="12"/>
  <c r="E12" i="12" s="1"/>
  <c r="G11" i="12"/>
  <c r="G12" i="12" s="1"/>
  <c r="G11" i="5"/>
  <c r="G12" i="5" s="1"/>
  <c r="D11" i="5"/>
  <c r="D12" i="5" s="1"/>
  <c r="G11" i="10"/>
  <c r="G12" i="10" s="1"/>
  <c r="B11" i="10"/>
  <c r="B12" i="10" s="1"/>
  <c r="C11" i="32"/>
  <c r="C12" i="32" s="1"/>
  <c r="B11" i="34"/>
  <c r="B12" i="34" s="1"/>
  <c r="G11" i="34"/>
  <c r="G12" i="34" s="1"/>
  <c r="I11" i="34"/>
  <c r="I12" i="34" s="1"/>
  <c r="I14" i="34" s="1"/>
  <c r="D11" i="12"/>
  <c r="D12" i="12" s="1"/>
  <c r="I11" i="12"/>
  <c r="I12" i="12" s="1"/>
  <c r="I14" i="12" s="1"/>
  <c r="H11" i="25"/>
  <c r="H12" i="25" s="1"/>
  <c r="I11" i="14"/>
  <c r="I12" i="14" s="1"/>
  <c r="I14" i="14" s="1"/>
  <c r="C11" i="10"/>
  <c r="C12" i="10" s="1"/>
  <c r="I11" i="10"/>
  <c r="I12" i="10" s="1"/>
  <c r="I14" i="10" s="1"/>
  <c r="I11" i="2"/>
  <c r="I12" i="2" s="1"/>
  <c r="I14" i="2" s="1"/>
  <c r="B14" i="2" s="1"/>
  <c r="H11" i="2"/>
  <c r="H12" i="2" s="1"/>
  <c r="D11" i="2"/>
  <c r="D12" i="2" s="1"/>
  <c r="E11" i="2"/>
  <c r="E12" i="2" s="1"/>
  <c r="H11" i="22"/>
  <c r="H12" i="22" s="1"/>
  <c r="B11" i="29"/>
  <c r="B12" i="29" s="1"/>
  <c r="H11" i="29"/>
  <c r="H12" i="29" s="1"/>
  <c r="H11" i="12"/>
  <c r="H12" i="12" s="1"/>
  <c r="E11" i="30"/>
  <c r="E12" i="30" s="1"/>
  <c r="D11" i="19"/>
  <c r="D12" i="19" s="1"/>
  <c r="H11" i="20"/>
  <c r="H12" i="20" s="1"/>
  <c r="D11" i="20"/>
  <c r="D12" i="20" s="1"/>
  <c r="D11" i="23"/>
  <c r="D12" i="23" s="1"/>
  <c r="D11" i="24"/>
  <c r="D12" i="24" s="1"/>
  <c r="D11" i="25"/>
  <c r="D12" i="25" s="1"/>
  <c r="E11" i="32"/>
  <c r="E12" i="32" s="1"/>
  <c r="E11" i="36"/>
  <c r="E12" i="36" s="1"/>
  <c r="K9" i="38"/>
  <c r="D11" i="38" s="1"/>
  <c r="D12" i="38" s="1"/>
  <c r="C11" i="36"/>
  <c r="C12" i="36" s="1"/>
  <c r="G11" i="37"/>
  <c r="G12" i="37" s="1"/>
  <c r="C11" i="13"/>
  <c r="C12" i="13" s="1"/>
  <c r="H11" i="13"/>
  <c r="H12" i="13" s="1"/>
  <c r="D11" i="13"/>
  <c r="D12" i="13" s="1"/>
  <c r="E11" i="13"/>
  <c r="E12" i="13" s="1"/>
  <c r="B11" i="13"/>
  <c r="B12" i="13" s="1"/>
  <c r="I11" i="13"/>
  <c r="I12" i="13" s="1"/>
  <c r="E11" i="11"/>
  <c r="E12" i="11" s="1"/>
  <c r="I11" i="11"/>
  <c r="I12" i="11" s="1"/>
  <c r="D11" i="11"/>
  <c r="D12" i="11" s="1"/>
  <c r="H11" i="11"/>
  <c r="H12" i="11" s="1"/>
  <c r="C11" i="11"/>
  <c r="C12" i="11" s="1"/>
  <c r="C11" i="37"/>
  <c r="C12" i="37" s="1"/>
  <c r="E11" i="37"/>
  <c r="E12" i="37" s="1"/>
  <c r="H11" i="37"/>
  <c r="H12" i="37" s="1"/>
  <c r="B11" i="37"/>
  <c r="B12" i="37" s="1"/>
  <c r="I11" i="15"/>
  <c r="I12" i="15" s="1"/>
  <c r="D11" i="15"/>
  <c r="D12" i="15" s="1"/>
  <c r="B11" i="15"/>
  <c r="B12" i="15" s="1"/>
  <c r="E11" i="15"/>
  <c r="E12" i="15" s="1"/>
  <c r="C11" i="15"/>
  <c r="C12" i="15" s="1"/>
  <c r="G11" i="46"/>
  <c r="G12" i="46" s="1"/>
  <c r="H11" i="46"/>
  <c r="H12" i="46" s="1"/>
  <c r="D11" i="46"/>
  <c r="D12" i="46" s="1"/>
  <c r="I11" i="46"/>
  <c r="I12" i="46" s="1"/>
  <c r="E11" i="46"/>
  <c r="E12" i="46" s="1"/>
  <c r="C11" i="46"/>
  <c r="C12" i="46" s="1"/>
  <c r="B11" i="46"/>
  <c r="B12" i="46" s="1"/>
  <c r="B11" i="40"/>
  <c r="B12" i="40" s="1"/>
  <c r="I11" i="40"/>
  <c r="I12" i="40" s="1"/>
  <c r="G11" i="40"/>
  <c r="G12" i="40" s="1"/>
  <c r="D11" i="40"/>
  <c r="D12" i="40" s="1"/>
  <c r="H11" i="40"/>
  <c r="H12" i="40" s="1"/>
  <c r="E11" i="40"/>
  <c r="E12" i="40" s="1"/>
  <c r="C11" i="40"/>
  <c r="C12" i="40" s="1"/>
  <c r="B11" i="28"/>
  <c r="B12" i="28" s="1"/>
  <c r="D11" i="28"/>
  <c r="D12" i="28" s="1"/>
  <c r="I11" i="30"/>
  <c r="I12" i="30" s="1"/>
  <c r="D11" i="30"/>
  <c r="D12" i="30" s="1"/>
  <c r="H11" i="30"/>
  <c r="H12" i="30" s="1"/>
  <c r="B11" i="30"/>
  <c r="B12" i="30" s="1"/>
  <c r="E11" i="18"/>
  <c r="E12" i="18" s="1"/>
  <c r="H11" i="18"/>
  <c r="H12" i="18" s="1"/>
  <c r="B11" i="18"/>
  <c r="B12" i="18" s="1"/>
  <c r="C11" i="18"/>
  <c r="C12" i="18" s="1"/>
  <c r="I11" i="18"/>
  <c r="I12" i="18" s="1"/>
  <c r="D11" i="18"/>
  <c r="D12" i="18" s="1"/>
  <c r="C11" i="21"/>
  <c r="C12" i="21" s="1"/>
  <c r="I11" i="21"/>
  <c r="I12" i="21" s="1"/>
  <c r="E11" i="21"/>
  <c r="E12" i="21" s="1"/>
  <c r="D11" i="21"/>
  <c r="D12" i="21" s="1"/>
  <c r="H11" i="21"/>
  <c r="H12" i="21" s="1"/>
  <c r="I11" i="20"/>
  <c r="I12" i="20" s="1"/>
  <c r="C11" i="20"/>
  <c r="C12" i="20" s="1"/>
  <c r="E11" i="20"/>
  <c r="E12" i="20" s="1"/>
  <c r="E11" i="25"/>
  <c r="E12" i="25" s="1"/>
  <c r="I11" i="25"/>
  <c r="I12" i="25" s="1"/>
  <c r="C11" i="25"/>
  <c r="C12" i="25" s="1"/>
  <c r="C11" i="29"/>
  <c r="C12" i="29" s="1"/>
  <c r="I11" i="29"/>
  <c r="I12" i="29" s="1"/>
  <c r="E11" i="29"/>
  <c r="E12" i="29" s="1"/>
  <c r="B11" i="6"/>
  <c r="B12" i="6" s="1"/>
  <c r="C11" i="6"/>
  <c r="C12" i="6" s="1"/>
  <c r="G11" i="6"/>
  <c r="G12" i="6" s="1"/>
  <c r="I11" i="6"/>
  <c r="I12" i="6" s="1"/>
  <c r="D11" i="6"/>
  <c r="D12" i="6" s="1"/>
  <c r="H11" i="6"/>
  <c r="H12" i="6" s="1"/>
  <c r="E11" i="6"/>
  <c r="E12" i="6" s="1"/>
  <c r="H11" i="17"/>
  <c r="H12" i="17" s="1"/>
  <c r="E11" i="17"/>
  <c r="E12" i="17" s="1"/>
  <c r="C11" i="17"/>
  <c r="C12" i="17" s="1"/>
  <c r="B11" i="17"/>
  <c r="B12" i="17" s="1"/>
  <c r="I11" i="17"/>
  <c r="I12" i="17" s="1"/>
  <c r="D11" i="17"/>
  <c r="D12" i="17" s="1"/>
  <c r="G11" i="17"/>
  <c r="G12" i="17" s="1"/>
  <c r="B11" i="36"/>
  <c r="B12" i="36" s="1"/>
  <c r="I11" i="36"/>
  <c r="I12" i="36" s="1"/>
  <c r="H11" i="36"/>
  <c r="H12" i="36" s="1"/>
  <c r="D11" i="36"/>
  <c r="D12" i="36" s="1"/>
  <c r="I14" i="45"/>
  <c r="I15" i="45" s="1"/>
  <c r="I18" i="45" s="1"/>
  <c r="I22" i="45" s="1"/>
  <c r="C11" i="35"/>
  <c r="C12" i="35" s="1"/>
  <c r="B11" i="11"/>
  <c r="B12" i="11" s="1"/>
  <c r="I11" i="37"/>
  <c r="I12" i="37" s="1"/>
  <c r="E11" i="41"/>
  <c r="E12" i="41" s="1"/>
  <c r="H11" i="23"/>
  <c r="H12" i="23" s="1"/>
  <c r="H11" i="24"/>
  <c r="H12" i="24" s="1"/>
  <c r="J12" i="14"/>
  <c r="J15" i="14" s="1"/>
  <c r="J18" i="14" s="1"/>
  <c r="J22" i="14" s="1"/>
  <c r="E11" i="28"/>
  <c r="E12" i="28" s="1"/>
  <c r="C11" i="28"/>
  <c r="C12" i="28" s="1"/>
  <c r="D11" i="22"/>
  <c r="D12" i="22" s="1"/>
  <c r="B11" i="27"/>
  <c r="B12" i="27" s="1"/>
  <c r="H11" i="28"/>
  <c r="H12" i="28" s="1"/>
  <c r="H11" i="14"/>
  <c r="H12" i="14" s="1"/>
  <c r="G11" i="15"/>
  <c r="G12" i="15" s="1"/>
  <c r="G11" i="11"/>
  <c r="G12" i="11" s="1"/>
  <c r="G11" i="18"/>
  <c r="G12" i="18" s="1"/>
  <c r="G11" i="21"/>
  <c r="G12" i="21" s="1"/>
  <c r="G11" i="25"/>
  <c r="G12" i="25" s="1"/>
  <c r="G11" i="29"/>
  <c r="G12" i="29" s="1"/>
  <c r="E11" i="8"/>
  <c r="E12" i="8" s="1"/>
  <c r="C11" i="8"/>
  <c r="C12" i="8" s="1"/>
  <c r="H11" i="8"/>
  <c r="H12" i="8" s="1"/>
  <c r="D11" i="8"/>
  <c r="D12" i="8" s="1"/>
  <c r="I11" i="8"/>
  <c r="I12" i="8" s="1"/>
  <c r="G11" i="8"/>
  <c r="G12" i="8" s="1"/>
  <c r="B11" i="8"/>
  <c r="B12" i="8" s="1"/>
  <c r="D11" i="31"/>
  <c r="D12" i="31" s="1"/>
  <c r="E11" i="31"/>
  <c r="E12" i="31" s="1"/>
  <c r="C11" i="31"/>
  <c r="C12" i="31" s="1"/>
  <c r="G11" i="31"/>
  <c r="G12" i="31" s="1"/>
  <c r="I11" i="31"/>
  <c r="I12" i="31" s="1"/>
  <c r="B11" i="31"/>
  <c r="B12" i="31" s="1"/>
  <c r="H11" i="31"/>
  <c r="H12" i="31" s="1"/>
  <c r="B11" i="35"/>
  <c r="B12" i="35" s="1"/>
  <c r="D11" i="35"/>
  <c r="D12" i="35" s="1"/>
  <c r="H11" i="35"/>
  <c r="H12" i="35" s="1"/>
  <c r="I11" i="35"/>
  <c r="I12" i="35" s="1"/>
  <c r="E11" i="35"/>
  <c r="E12" i="35" s="1"/>
  <c r="G11" i="1"/>
  <c r="G12" i="1" s="1"/>
  <c r="I11" i="1"/>
  <c r="I12" i="1" s="1"/>
  <c r="C11" i="1"/>
  <c r="C12" i="1" s="1"/>
  <c r="D11" i="1"/>
  <c r="D12" i="1" s="1"/>
  <c r="H11" i="1"/>
  <c r="H12" i="1" s="1"/>
  <c r="B11" i="1"/>
  <c r="B12" i="1" s="1"/>
  <c r="E11" i="1"/>
  <c r="E12" i="1" s="1"/>
  <c r="B11" i="41"/>
  <c r="B12" i="41" s="1"/>
  <c r="H11" i="41"/>
  <c r="H12" i="41" s="1"/>
  <c r="D11" i="41"/>
  <c r="D12" i="41" s="1"/>
  <c r="I11" i="41"/>
  <c r="I12" i="41" s="1"/>
  <c r="G11" i="41"/>
  <c r="G12" i="41" s="1"/>
  <c r="C11" i="14"/>
  <c r="C12" i="14" s="1"/>
  <c r="E11" i="14"/>
  <c r="E12" i="14" s="1"/>
  <c r="I11" i="19"/>
  <c r="I12" i="19" s="1"/>
  <c r="H11" i="19"/>
  <c r="H12" i="19" s="1"/>
  <c r="E11" i="19"/>
  <c r="E12" i="19" s="1"/>
  <c r="C11" i="19"/>
  <c r="C12" i="19" s="1"/>
  <c r="I11" i="22"/>
  <c r="I12" i="22" s="1"/>
  <c r="E11" i="22"/>
  <c r="E12" i="22" s="1"/>
  <c r="C11" i="22"/>
  <c r="C12" i="22" s="1"/>
  <c r="E11" i="23"/>
  <c r="E12" i="23" s="1"/>
  <c r="C11" i="23"/>
  <c r="C12" i="23" s="1"/>
  <c r="B11" i="23"/>
  <c r="B12" i="23" s="1"/>
  <c r="I11" i="23"/>
  <c r="I12" i="23" s="1"/>
  <c r="I11" i="24"/>
  <c r="I12" i="24" s="1"/>
  <c r="E11" i="24"/>
  <c r="E12" i="24" s="1"/>
  <c r="C11" i="24"/>
  <c r="C12" i="24" s="1"/>
  <c r="G11" i="24"/>
  <c r="G12" i="24" s="1"/>
  <c r="I11" i="27"/>
  <c r="I12" i="27" s="1"/>
  <c r="G11" i="27"/>
  <c r="G12" i="27" s="1"/>
  <c r="E11" i="27"/>
  <c r="E12" i="27" s="1"/>
  <c r="H11" i="27"/>
  <c r="H12" i="27" s="1"/>
  <c r="C11" i="27"/>
  <c r="C12" i="27" s="1"/>
  <c r="I11" i="4"/>
  <c r="I12" i="4" s="1"/>
  <c r="C11" i="4"/>
  <c r="C12" i="4" s="1"/>
  <c r="E11" i="4"/>
  <c r="E12" i="4" s="1"/>
  <c r="B11" i="4"/>
  <c r="B12" i="4" s="1"/>
  <c r="G11" i="4"/>
  <c r="G12" i="4" s="1"/>
  <c r="D11" i="4"/>
  <c r="D12" i="4" s="1"/>
  <c r="B11" i="9"/>
  <c r="B12" i="9" s="1"/>
  <c r="E11" i="9"/>
  <c r="E12" i="9" s="1"/>
  <c r="I11" i="9"/>
  <c r="I12" i="9" s="1"/>
  <c r="G11" i="9"/>
  <c r="G12" i="9" s="1"/>
  <c r="D11" i="9"/>
  <c r="D12" i="9" s="1"/>
  <c r="C11" i="9"/>
  <c r="C12" i="9" s="1"/>
  <c r="H11" i="9"/>
  <c r="H12" i="9" s="1"/>
  <c r="D11" i="32"/>
  <c r="D12" i="32" s="1"/>
  <c r="H11" i="32"/>
  <c r="H12" i="32" s="1"/>
  <c r="B11" i="32"/>
  <c r="B12" i="32" s="1"/>
  <c r="I11" i="32"/>
  <c r="I12" i="32" s="1"/>
  <c r="I11" i="28"/>
  <c r="I12" i="28" s="1"/>
  <c r="D11" i="14"/>
  <c r="D12" i="14" s="1"/>
  <c r="B11" i="14"/>
  <c r="B12" i="14" s="1"/>
  <c r="G11" i="13"/>
  <c r="G12" i="13" s="1"/>
  <c r="G11" i="22"/>
  <c r="G12" i="22" s="1"/>
  <c r="G11" i="30"/>
  <c r="G12" i="30" s="1"/>
  <c r="G11" i="19"/>
  <c r="G12" i="19" s="1"/>
  <c r="G11" i="20"/>
  <c r="G12" i="20" s="1"/>
  <c r="G11" i="35"/>
  <c r="G12" i="35" s="1"/>
  <c r="G11" i="14"/>
  <c r="G12" i="14" s="1"/>
  <c r="G11" i="28"/>
  <c r="G12" i="28" s="1"/>
  <c r="K15" i="48" l="1"/>
  <c r="C17" i="49"/>
  <c r="C18" i="49" s="1"/>
  <c r="D17" i="49"/>
  <c r="D18" i="49" s="1"/>
  <c r="G17" i="49"/>
  <c r="G18" i="49" s="1"/>
  <c r="G20" i="49" s="1"/>
  <c r="E17" i="49"/>
  <c r="E18" i="49" s="1"/>
  <c r="B17" i="49"/>
  <c r="B18" i="49" s="1"/>
  <c r="G14" i="5"/>
  <c r="G15" i="5" s="1"/>
  <c r="B15" i="2"/>
  <c r="H14" i="5"/>
  <c r="H15" i="5" s="1"/>
  <c r="H17" i="5" s="1"/>
  <c r="D17" i="5" s="1"/>
  <c r="E14" i="5"/>
  <c r="E15" i="5" s="1"/>
  <c r="I15" i="5"/>
  <c r="I18" i="5" s="1"/>
  <c r="I22" i="5" s="1"/>
  <c r="B14" i="5"/>
  <c r="B15" i="5" s="1"/>
  <c r="K12" i="45"/>
  <c r="G11" i="44"/>
  <c r="G12" i="44" s="1"/>
  <c r="E17" i="48"/>
  <c r="E18" i="48" s="1"/>
  <c r="C17" i="48"/>
  <c r="C18" i="48" s="1"/>
  <c r="B17" i="48"/>
  <c r="B18" i="48" s="1"/>
  <c r="D17" i="48"/>
  <c r="D18" i="48" s="1"/>
  <c r="G17" i="48"/>
  <c r="G18" i="48" s="1"/>
  <c r="G20" i="48" s="1"/>
  <c r="D14" i="5"/>
  <c r="D15" i="5" s="1"/>
  <c r="H14" i="2"/>
  <c r="H15" i="2" s="1"/>
  <c r="H17" i="2" s="1"/>
  <c r="H18" i="2" s="1"/>
  <c r="H22" i="2" s="1"/>
  <c r="G14" i="2"/>
  <c r="G15" i="2" s="1"/>
  <c r="K12" i="5"/>
  <c r="K12" i="7"/>
  <c r="K12" i="10"/>
  <c r="G11" i="39"/>
  <c r="G12" i="39" s="1"/>
  <c r="E11" i="39"/>
  <c r="E12" i="39" s="1"/>
  <c r="C11" i="39"/>
  <c r="C12" i="39" s="1"/>
  <c r="I11" i="39"/>
  <c r="I12" i="39" s="1"/>
  <c r="I14" i="39" s="1"/>
  <c r="I15" i="39" s="1"/>
  <c r="I18" i="39" s="1"/>
  <c r="I22" i="39" s="1"/>
  <c r="B11" i="39"/>
  <c r="B12" i="39" s="1"/>
  <c r="H11" i="39"/>
  <c r="H12" i="39" s="1"/>
  <c r="C11" i="44"/>
  <c r="C12" i="44" s="1"/>
  <c r="H11" i="44"/>
  <c r="H12" i="44" s="1"/>
  <c r="B11" i="44"/>
  <c r="B12" i="44" s="1"/>
  <c r="I11" i="44"/>
  <c r="I12" i="44" s="1"/>
  <c r="I14" i="44" s="1"/>
  <c r="I15" i="44" s="1"/>
  <c r="I18" i="44" s="1"/>
  <c r="I22" i="44" s="1"/>
  <c r="E11" i="44"/>
  <c r="E12" i="44" s="1"/>
  <c r="K12" i="12"/>
  <c r="K12" i="34"/>
  <c r="D14" i="2"/>
  <c r="D15" i="2" s="1"/>
  <c r="I15" i="2"/>
  <c r="I18" i="2" s="1"/>
  <c r="I22" i="2" s="1"/>
  <c r="C14" i="2"/>
  <c r="C15" i="2" s="1"/>
  <c r="E14" i="2"/>
  <c r="E15" i="2" s="1"/>
  <c r="K12" i="2"/>
  <c r="K12" i="24"/>
  <c r="K12" i="19"/>
  <c r="K12" i="20"/>
  <c r="C11" i="38"/>
  <c r="C12" i="38" s="1"/>
  <c r="B11" i="38"/>
  <c r="B12" i="38" s="1"/>
  <c r="G11" i="38"/>
  <c r="G12" i="38" s="1"/>
  <c r="H11" i="38"/>
  <c r="H12" i="38" s="1"/>
  <c r="I11" i="38"/>
  <c r="I12" i="38" s="1"/>
  <c r="I14" i="38" s="1"/>
  <c r="C14" i="38" s="1"/>
  <c r="E11" i="38"/>
  <c r="E12" i="38" s="1"/>
  <c r="B14" i="12"/>
  <c r="B15" i="12" s="1"/>
  <c r="C14" i="12"/>
  <c r="C15" i="12" s="1"/>
  <c r="D14" i="12"/>
  <c r="D15" i="12" s="1"/>
  <c r="E14" i="12"/>
  <c r="E15" i="12" s="1"/>
  <c r="H14" i="12"/>
  <c r="H15" i="12" s="1"/>
  <c r="G14" i="12"/>
  <c r="G15" i="12" s="1"/>
  <c r="I14" i="32"/>
  <c r="I15" i="32" s="1"/>
  <c r="I18" i="32" s="1"/>
  <c r="I22" i="32" s="1"/>
  <c r="K12" i="32"/>
  <c r="K12" i="9"/>
  <c r="I14" i="4"/>
  <c r="I15" i="4" s="1"/>
  <c r="I18" i="4" s="1"/>
  <c r="I22" i="4" s="1"/>
  <c r="G14" i="7"/>
  <c r="G15" i="7" s="1"/>
  <c r="H14" i="7"/>
  <c r="H15" i="7" s="1"/>
  <c r="C14" i="7"/>
  <c r="C15" i="7" s="1"/>
  <c r="D14" i="7"/>
  <c r="D15" i="7" s="1"/>
  <c r="E14" i="7"/>
  <c r="E15" i="7" s="1"/>
  <c r="B14" i="7"/>
  <c r="B15" i="7" s="1"/>
  <c r="I14" i="27"/>
  <c r="I15" i="27" s="1"/>
  <c r="I18" i="27" s="1"/>
  <c r="I22" i="27" s="1"/>
  <c r="K12" i="23"/>
  <c r="I14" i="19"/>
  <c r="I15" i="19" s="1"/>
  <c r="I18" i="19" s="1"/>
  <c r="I22" i="19" s="1"/>
  <c r="K12" i="41"/>
  <c r="I14" i="35"/>
  <c r="I15" i="35" s="1"/>
  <c r="I18" i="35" s="1"/>
  <c r="I22" i="35" s="1"/>
  <c r="K12" i="31"/>
  <c r="K12" i="27"/>
  <c r="I14" i="37"/>
  <c r="I15" i="37" s="1"/>
  <c r="I18" i="37" s="1"/>
  <c r="I22" i="37" s="1"/>
  <c r="D14" i="10"/>
  <c r="D15" i="10" s="1"/>
  <c r="B14" i="10"/>
  <c r="B15" i="10" s="1"/>
  <c r="G14" i="10"/>
  <c r="G15" i="10" s="1"/>
  <c r="H14" i="10"/>
  <c r="H15" i="10" s="1"/>
  <c r="E14" i="10"/>
  <c r="E15" i="10" s="1"/>
  <c r="C14" i="10"/>
  <c r="C15" i="10" s="1"/>
  <c r="K12" i="36"/>
  <c r="I14" i="17"/>
  <c r="I15" i="17" s="1"/>
  <c r="I18" i="17" s="1"/>
  <c r="I22" i="17" s="1"/>
  <c r="K12" i="6"/>
  <c r="I14" i="25"/>
  <c r="I15" i="25" s="1"/>
  <c r="I18" i="25" s="1"/>
  <c r="I22" i="25" s="1"/>
  <c r="I14" i="20"/>
  <c r="I15" i="20" s="1"/>
  <c r="I18" i="20" s="1"/>
  <c r="I22" i="20" s="1"/>
  <c r="I14" i="21"/>
  <c r="I15" i="21" s="1"/>
  <c r="I18" i="21" s="1"/>
  <c r="I22" i="21" s="1"/>
  <c r="I14" i="18"/>
  <c r="I15" i="18" s="1"/>
  <c r="I18" i="18" s="1"/>
  <c r="I22" i="18" s="1"/>
  <c r="K12" i="18"/>
  <c r="K12" i="30"/>
  <c r="I14" i="30"/>
  <c r="I15" i="30" s="1"/>
  <c r="I18" i="30" s="1"/>
  <c r="I22" i="30" s="1"/>
  <c r="K12" i="28"/>
  <c r="K12" i="40"/>
  <c r="K12" i="46"/>
  <c r="K12" i="15"/>
  <c r="I14" i="15"/>
  <c r="I15" i="15" s="1"/>
  <c r="I18" i="15" s="1"/>
  <c r="I22" i="15" s="1"/>
  <c r="K12" i="37"/>
  <c r="I14" i="11"/>
  <c r="I15" i="11" s="1"/>
  <c r="I18" i="11" s="1"/>
  <c r="I22" i="11" s="1"/>
  <c r="K12" i="13"/>
  <c r="D14" i="14"/>
  <c r="D15" i="14" s="1"/>
  <c r="B14" i="14"/>
  <c r="B15" i="14" s="1"/>
  <c r="E14" i="14"/>
  <c r="E15" i="14" s="1"/>
  <c r="G14" i="14"/>
  <c r="G15" i="14" s="1"/>
  <c r="H14" i="14"/>
  <c r="H15" i="14" s="1"/>
  <c r="C14" i="14"/>
  <c r="C15" i="14" s="1"/>
  <c r="K12" i="29"/>
  <c r="G14" i="34"/>
  <c r="G15" i="34" s="1"/>
  <c r="E14" i="34"/>
  <c r="E15" i="34" s="1"/>
  <c r="C14" i="34"/>
  <c r="C15" i="34" s="1"/>
  <c r="H14" i="34"/>
  <c r="H15" i="34" s="1"/>
  <c r="B14" i="34"/>
  <c r="B15" i="34" s="1"/>
  <c r="D14" i="34"/>
  <c r="D15" i="34" s="1"/>
  <c r="I14" i="9"/>
  <c r="I15" i="9" s="1"/>
  <c r="I18" i="9" s="1"/>
  <c r="I22" i="9" s="1"/>
  <c r="K12" i="14"/>
  <c r="I14" i="28"/>
  <c r="I15" i="28" s="1"/>
  <c r="I18" i="28" s="1"/>
  <c r="I22" i="28" s="1"/>
  <c r="K12" i="4"/>
  <c r="I14" i="24"/>
  <c r="I15" i="24" s="1"/>
  <c r="I18" i="24" s="1"/>
  <c r="I22" i="24" s="1"/>
  <c r="I14" i="23"/>
  <c r="I15" i="23" s="1"/>
  <c r="I18" i="23" s="1"/>
  <c r="I22" i="23" s="1"/>
  <c r="I14" i="22"/>
  <c r="I15" i="22" s="1"/>
  <c r="I18" i="22" s="1"/>
  <c r="I22" i="22" s="1"/>
  <c r="I14" i="41"/>
  <c r="I15" i="41" s="1"/>
  <c r="I18" i="41" s="1"/>
  <c r="I22" i="41" s="1"/>
  <c r="K12" i="1"/>
  <c r="I14" i="1"/>
  <c r="I15" i="1" s="1"/>
  <c r="I18" i="1" s="1"/>
  <c r="I22" i="1" s="1"/>
  <c r="K12" i="35"/>
  <c r="I14" i="31"/>
  <c r="I15" i="31" s="1"/>
  <c r="I18" i="31" s="1"/>
  <c r="I22" i="31" s="1"/>
  <c r="K12" i="8"/>
  <c r="I14" i="8"/>
  <c r="I15" i="8" s="1"/>
  <c r="I18" i="8" s="1"/>
  <c r="I22" i="8" s="1"/>
  <c r="K12" i="11"/>
  <c r="D14" i="45"/>
  <c r="D15" i="45" s="1"/>
  <c r="H14" i="45"/>
  <c r="H15" i="45" s="1"/>
  <c r="G14" i="45"/>
  <c r="G15" i="45" s="1"/>
  <c r="B14" i="45"/>
  <c r="B15" i="45" s="1"/>
  <c r="C14" i="45"/>
  <c r="C15" i="45" s="1"/>
  <c r="E14" i="45"/>
  <c r="E15" i="45" s="1"/>
  <c r="I14" i="36"/>
  <c r="I15" i="36" s="1"/>
  <c r="I18" i="36" s="1"/>
  <c r="I22" i="36" s="1"/>
  <c r="K12" i="17"/>
  <c r="I14" i="6"/>
  <c r="I15" i="6" s="1"/>
  <c r="I18" i="6" s="1"/>
  <c r="I22" i="6" s="1"/>
  <c r="I14" i="29"/>
  <c r="I15" i="29" s="1"/>
  <c r="I18" i="29" s="1"/>
  <c r="I22" i="29" s="1"/>
  <c r="I14" i="40"/>
  <c r="I15" i="40" s="1"/>
  <c r="I18" i="40" s="1"/>
  <c r="I22" i="40" s="1"/>
  <c r="I14" i="46"/>
  <c r="I15" i="46" s="1"/>
  <c r="I18" i="46" s="1"/>
  <c r="I22" i="46" s="1"/>
  <c r="I14" i="13"/>
  <c r="I15" i="13" s="1"/>
  <c r="I18" i="13" s="1"/>
  <c r="I22" i="13" s="1"/>
  <c r="I15" i="12"/>
  <c r="I18" i="12" s="1"/>
  <c r="I22" i="12" s="1"/>
  <c r="I15" i="34"/>
  <c r="I18" i="34" s="1"/>
  <c r="I22" i="34" s="1"/>
  <c r="I15" i="7"/>
  <c r="I18" i="7" s="1"/>
  <c r="I22" i="7" s="1"/>
  <c r="I15" i="10"/>
  <c r="I18" i="10" s="1"/>
  <c r="I22" i="10" s="1"/>
  <c r="I15" i="14"/>
  <c r="I18" i="14" s="1"/>
  <c r="I22" i="14" s="1"/>
  <c r="K12" i="25"/>
  <c r="K12" i="22"/>
  <c r="K12" i="21"/>
  <c r="K18" i="49" l="1"/>
  <c r="G22" i="49"/>
  <c r="B20" i="49"/>
  <c r="C20" i="49"/>
  <c r="C22" i="49" s="1"/>
  <c r="D20" i="49"/>
  <c r="D22" i="49" s="1"/>
  <c r="E20" i="49"/>
  <c r="E22" i="49" s="1"/>
  <c r="G22" i="48"/>
  <c r="D20" i="48"/>
  <c r="D22" i="48" s="1"/>
  <c r="B20" i="48"/>
  <c r="C20" i="48"/>
  <c r="C22" i="48" s="1"/>
  <c r="E20" i="48"/>
  <c r="E22" i="48" s="1"/>
  <c r="K18" i="48"/>
  <c r="D18" i="5"/>
  <c r="K12" i="44"/>
  <c r="K15" i="2"/>
  <c r="B17" i="5"/>
  <c r="B18" i="5" s="1"/>
  <c r="H18" i="5"/>
  <c r="H22" i="5" s="1"/>
  <c r="E17" i="5"/>
  <c r="E18" i="5" s="1"/>
  <c r="C17" i="5"/>
  <c r="C18" i="5" s="1"/>
  <c r="G17" i="5"/>
  <c r="G18" i="5" s="1"/>
  <c r="G20" i="5" s="1"/>
  <c r="B20" i="5" s="1"/>
  <c r="K15" i="5"/>
  <c r="K12" i="39"/>
  <c r="B17" i="2"/>
  <c r="B18" i="2" s="1"/>
  <c r="E17" i="2"/>
  <c r="E18" i="2" s="1"/>
  <c r="D17" i="2"/>
  <c r="D18" i="2" s="1"/>
  <c r="C15" i="38"/>
  <c r="C17" i="2"/>
  <c r="C18" i="2" s="1"/>
  <c r="G17" i="2"/>
  <c r="G18" i="2" s="1"/>
  <c r="G20" i="2" s="1"/>
  <c r="D20" i="2" s="1"/>
  <c r="I15" i="38"/>
  <c r="I18" i="38" s="1"/>
  <c r="I22" i="38" s="1"/>
  <c r="D14" i="38"/>
  <c r="D15" i="38" s="1"/>
  <c r="G14" i="38"/>
  <c r="G15" i="38" s="1"/>
  <c r="B14" i="38"/>
  <c r="B15" i="38" s="1"/>
  <c r="K12" i="38"/>
  <c r="E14" i="38"/>
  <c r="E15" i="38" s="1"/>
  <c r="H14" i="38"/>
  <c r="H15" i="38" s="1"/>
  <c r="H17" i="38" s="1"/>
  <c r="H18" i="38" s="1"/>
  <c r="H22" i="38" s="1"/>
  <c r="H17" i="14"/>
  <c r="H18" i="14" s="1"/>
  <c r="H22" i="14" s="1"/>
  <c r="H17" i="45"/>
  <c r="H18" i="45" s="1"/>
  <c r="H22" i="45" s="1"/>
  <c r="E14" i="13"/>
  <c r="E15" i="13" s="1"/>
  <c r="H14" i="13"/>
  <c r="H15" i="13" s="1"/>
  <c r="B14" i="13"/>
  <c r="B15" i="13" s="1"/>
  <c r="C14" i="13"/>
  <c r="C15" i="13" s="1"/>
  <c r="G14" i="13"/>
  <c r="G15" i="13" s="1"/>
  <c r="D14" i="13"/>
  <c r="D15" i="13" s="1"/>
  <c r="D14" i="46"/>
  <c r="D15" i="46" s="1"/>
  <c r="C14" i="46"/>
  <c r="C15" i="46" s="1"/>
  <c r="H14" i="46"/>
  <c r="H15" i="46" s="1"/>
  <c r="B14" i="46"/>
  <c r="B15" i="46" s="1"/>
  <c r="G14" i="46"/>
  <c r="G15" i="46" s="1"/>
  <c r="E14" i="46"/>
  <c r="E15" i="46" s="1"/>
  <c r="B14" i="40"/>
  <c r="B15" i="40" s="1"/>
  <c r="D14" i="40"/>
  <c r="D15" i="40" s="1"/>
  <c r="G14" i="40"/>
  <c r="G15" i="40" s="1"/>
  <c r="C14" i="40"/>
  <c r="C15" i="40" s="1"/>
  <c r="E14" i="40"/>
  <c r="E15" i="40" s="1"/>
  <c r="H14" i="40"/>
  <c r="H15" i="40" s="1"/>
  <c r="B14" i="29"/>
  <c r="B15" i="29" s="1"/>
  <c r="D14" i="29"/>
  <c r="D15" i="29" s="1"/>
  <c r="H14" i="29"/>
  <c r="H15" i="29" s="1"/>
  <c r="C14" i="29"/>
  <c r="C15" i="29" s="1"/>
  <c r="G14" i="29"/>
  <c r="G15" i="29" s="1"/>
  <c r="E14" i="29"/>
  <c r="E15" i="29" s="1"/>
  <c r="D14" i="6"/>
  <c r="D15" i="6" s="1"/>
  <c r="E14" i="6"/>
  <c r="E15" i="6" s="1"/>
  <c r="G14" i="6"/>
  <c r="G15" i="6" s="1"/>
  <c r="B14" i="6"/>
  <c r="B15" i="6" s="1"/>
  <c r="C14" i="6"/>
  <c r="C15" i="6" s="1"/>
  <c r="H14" i="6"/>
  <c r="H15" i="6" s="1"/>
  <c r="H14" i="8"/>
  <c r="H15" i="8" s="1"/>
  <c r="B14" i="8"/>
  <c r="B15" i="8" s="1"/>
  <c r="C14" i="8"/>
  <c r="C15" i="8" s="1"/>
  <c r="D14" i="8"/>
  <c r="D15" i="8" s="1"/>
  <c r="E14" i="8"/>
  <c r="E15" i="8" s="1"/>
  <c r="G14" i="8"/>
  <c r="G15" i="8" s="1"/>
  <c r="G14" i="41"/>
  <c r="G15" i="41" s="1"/>
  <c r="B14" i="41"/>
  <c r="B15" i="41" s="1"/>
  <c r="D14" i="41"/>
  <c r="D15" i="41" s="1"/>
  <c r="H14" i="41"/>
  <c r="H15" i="41" s="1"/>
  <c r="C14" i="41"/>
  <c r="C15" i="41" s="1"/>
  <c r="E14" i="41"/>
  <c r="E15" i="41" s="1"/>
  <c r="B14" i="24"/>
  <c r="B15" i="24" s="1"/>
  <c r="C14" i="24"/>
  <c r="C15" i="24" s="1"/>
  <c r="D14" i="24"/>
  <c r="D15" i="24" s="1"/>
  <c r="E14" i="24"/>
  <c r="E15" i="24" s="1"/>
  <c r="G14" i="24"/>
  <c r="G15" i="24" s="1"/>
  <c r="H14" i="24"/>
  <c r="H15" i="24" s="1"/>
  <c r="H17" i="34"/>
  <c r="H18" i="34" s="1"/>
  <c r="H22" i="34" s="1"/>
  <c r="E14" i="11"/>
  <c r="E15" i="11" s="1"/>
  <c r="H14" i="11"/>
  <c r="H15" i="11" s="1"/>
  <c r="C14" i="11"/>
  <c r="C15" i="11" s="1"/>
  <c r="D14" i="11"/>
  <c r="D15" i="11" s="1"/>
  <c r="B14" i="11"/>
  <c r="B15" i="11" s="1"/>
  <c r="G14" i="11"/>
  <c r="G15" i="11" s="1"/>
  <c r="C14" i="15"/>
  <c r="C15" i="15" s="1"/>
  <c r="E14" i="15"/>
  <c r="E15" i="15" s="1"/>
  <c r="B14" i="15"/>
  <c r="B15" i="15" s="1"/>
  <c r="H14" i="15"/>
  <c r="H15" i="15" s="1"/>
  <c r="D14" i="15"/>
  <c r="D15" i="15" s="1"/>
  <c r="G14" i="15"/>
  <c r="G15" i="15" s="1"/>
  <c r="B14" i="39"/>
  <c r="B15" i="39" s="1"/>
  <c r="D14" i="39"/>
  <c r="D15" i="39" s="1"/>
  <c r="G14" i="39"/>
  <c r="G15" i="39" s="1"/>
  <c r="C14" i="39"/>
  <c r="C15" i="39" s="1"/>
  <c r="E14" i="39"/>
  <c r="E15" i="39" s="1"/>
  <c r="H14" i="39"/>
  <c r="H15" i="39" s="1"/>
  <c r="G14" i="20"/>
  <c r="G15" i="20" s="1"/>
  <c r="D14" i="20"/>
  <c r="D15" i="20" s="1"/>
  <c r="B14" i="20"/>
  <c r="B15" i="20" s="1"/>
  <c r="E14" i="20"/>
  <c r="E15" i="20" s="1"/>
  <c r="C14" i="20"/>
  <c r="C15" i="20" s="1"/>
  <c r="H14" i="20"/>
  <c r="H15" i="20" s="1"/>
  <c r="E14" i="25"/>
  <c r="E15" i="25" s="1"/>
  <c r="C14" i="25"/>
  <c r="C15" i="25" s="1"/>
  <c r="H14" i="25"/>
  <c r="H15" i="25" s="1"/>
  <c r="D14" i="25"/>
  <c r="D15" i="25" s="1"/>
  <c r="B14" i="25"/>
  <c r="B15" i="25" s="1"/>
  <c r="G14" i="25"/>
  <c r="G15" i="25" s="1"/>
  <c r="E14" i="44"/>
  <c r="E15" i="44" s="1"/>
  <c r="C14" i="44"/>
  <c r="C15" i="44" s="1"/>
  <c r="B14" i="44"/>
  <c r="B15" i="44" s="1"/>
  <c r="G14" i="44"/>
  <c r="G15" i="44" s="1"/>
  <c r="D14" i="44"/>
  <c r="D15" i="44" s="1"/>
  <c r="H14" i="44"/>
  <c r="H15" i="44" s="1"/>
  <c r="D14" i="17"/>
  <c r="D15" i="17" s="1"/>
  <c r="B14" i="17"/>
  <c r="B15" i="17" s="1"/>
  <c r="H14" i="17"/>
  <c r="H15" i="17" s="1"/>
  <c r="E14" i="17"/>
  <c r="E15" i="17" s="1"/>
  <c r="G14" i="17"/>
  <c r="G15" i="17" s="1"/>
  <c r="C14" i="17"/>
  <c r="C15" i="17" s="1"/>
  <c r="D14" i="35"/>
  <c r="D15" i="35" s="1"/>
  <c r="E14" i="35"/>
  <c r="E15" i="35" s="1"/>
  <c r="B14" i="35"/>
  <c r="B15" i="35" s="1"/>
  <c r="H14" i="35"/>
  <c r="H15" i="35" s="1"/>
  <c r="C14" i="35"/>
  <c r="C15" i="35" s="1"/>
  <c r="G14" i="35"/>
  <c r="G15" i="35" s="1"/>
  <c r="D14" i="27"/>
  <c r="D15" i="27" s="1"/>
  <c r="H14" i="27"/>
  <c r="H15" i="27" s="1"/>
  <c r="G14" i="27"/>
  <c r="G15" i="27" s="1"/>
  <c r="B14" i="27"/>
  <c r="B15" i="27" s="1"/>
  <c r="C14" i="27"/>
  <c r="C15" i="27" s="1"/>
  <c r="E14" i="27"/>
  <c r="E15" i="27" s="1"/>
  <c r="G14" i="4"/>
  <c r="G15" i="4" s="1"/>
  <c r="D14" i="4"/>
  <c r="D15" i="4" s="1"/>
  <c r="C14" i="4"/>
  <c r="C15" i="4" s="1"/>
  <c r="E14" i="4"/>
  <c r="E15" i="4" s="1"/>
  <c r="B14" i="4"/>
  <c r="B15" i="4" s="1"/>
  <c r="H14" i="4"/>
  <c r="H15" i="4" s="1"/>
  <c r="G14" i="32"/>
  <c r="G15" i="32" s="1"/>
  <c r="E14" i="32"/>
  <c r="E15" i="32" s="1"/>
  <c r="B14" i="32"/>
  <c r="B15" i="32" s="1"/>
  <c r="H14" i="32"/>
  <c r="H15" i="32" s="1"/>
  <c r="D14" i="32"/>
  <c r="D15" i="32" s="1"/>
  <c r="C14" i="32"/>
  <c r="C15" i="32" s="1"/>
  <c r="H17" i="12"/>
  <c r="H18" i="12" s="1"/>
  <c r="H22" i="12" s="1"/>
  <c r="K15" i="12"/>
  <c r="G14" i="36"/>
  <c r="G15" i="36" s="1"/>
  <c r="B14" i="36"/>
  <c r="B15" i="36" s="1"/>
  <c r="C14" i="36"/>
  <c r="C15" i="36" s="1"/>
  <c r="D14" i="36"/>
  <c r="D15" i="36" s="1"/>
  <c r="E14" i="36"/>
  <c r="E15" i="36" s="1"/>
  <c r="H14" i="36"/>
  <c r="H15" i="36" s="1"/>
  <c r="K15" i="45"/>
  <c r="G14" i="31"/>
  <c r="G15" i="31" s="1"/>
  <c r="E14" i="31"/>
  <c r="E15" i="31" s="1"/>
  <c r="B14" i="31"/>
  <c r="B15" i="31" s="1"/>
  <c r="H14" i="31"/>
  <c r="H15" i="31" s="1"/>
  <c r="C14" i="31"/>
  <c r="C15" i="31" s="1"/>
  <c r="D14" i="31"/>
  <c r="D15" i="31" s="1"/>
  <c r="C14" i="1"/>
  <c r="C15" i="1" s="1"/>
  <c r="E14" i="1"/>
  <c r="E15" i="1" s="1"/>
  <c r="H14" i="1"/>
  <c r="H15" i="1" s="1"/>
  <c r="D14" i="1"/>
  <c r="D15" i="1" s="1"/>
  <c r="G14" i="1"/>
  <c r="G15" i="1" s="1"/>
  <c r="B14" i="1"/>
  <c r="B15" i="1" s="1"/>
  <c r="B14" i="22"/>
  <c r="B15" i="22" s="1"/>
  <c r="H14" i="22"/>
  <c r="H15" i="22" s="1"/>
  <c r="D14" i="22"/>
  <c r="D15" i="22" s="1"/>
  <c r="C14" i="22"/>
  <c r="C15" i="22" s="1"/>
  <c r="G14" i="22"/>
  <c r="G15" i="22" s="1"/>
  <c r="E14" i="22"/>
  <c r="E15" i="22" s="1"/>
  <c r="G14" i="23"/>
  <c r="G15" i="23" s="1"/>
  <c r="D14" i="23"/>
  <c r="D15" i="23" s="1"/>
  <c r="H14" i="23"/>
  <c r="H15" i="23" s="1"/>
  <c r="B14" i="23"/>
  <c r="B15" i="23" s="1"/>
  <c r="E14" i="23"/>
  <c r="E15" i="23" s="1"/>
  <c r="C14" i="23"/>
  <c r="C15" i="23" s="1"/>
  <c r="D14" i="28"/>
  <c r="D15" i="28" s="1"/>
  <c r="C14" i="28"/>
  <c r="C15" i="28" s="1"/>
  <c r="E14" i="28"/>
  <c r="E15" i="28" s="1"/>
  <c r="G14" i="28"/>
  <c r="G15" i="28" s="1"/>
  <c r="B14" i="28"/>
  <c r="B15" i="28" s="1"/>
  <c r="H14" i="28"/>
  <c r="H15" i="28" s="1"/>
  <c r="K15" i="14"/>
  <c r="B14" i="9"/>
  <c r="B15" i="9" s="1"/>
  <c r="C14" i="9"/>
  <c r="C15" i="9" s="1"/>
  <c r="H14" i="9"/>
  <c r="H15" i="9" s="1"/>
  <c r="G14" i="9"/>
  <c r="G15" i="9" s="1"/>
  <c r="E14" i="9"/>
  <c r="E15" i="9" s="1"/>
  <c r="D14" i="9"/>
  <c r="D15" i="9" s="1"/>
  <c r="K15" i="34"/>
  <c r="B14" i="30"/>
  <c r="B15" i="30" s="1"/>
  <c r="H14" i="30"/>
  <c r="H15" i="30" s="1"/>
  <c r="D14" i="30"/>
  <c r="D15" i="30" s="1"/>
  <c r="C14" i="30"/>
  <c r="C15" i="30" s="1"/>
  <c r="E14" i="30"/>
  <c r="E15" i="30" s="1"/>
  <c r="G14" i="30"/>
  <c r="G15" i="30" s="1"/>
  <c r="H14" i="18"/>
  <c r="H15" i="18" s="1"/>
  <c r="C14" i="18"/>
  <c r="C15" i="18" s="1"/>
  <c r="E14" i="18"/>
  <c r="E15" i="18" s="1"/>
  <c r="G14" i="18"/>
  <c r="G15" i="18" s="1"/>
  <c r="B14" i="18"/>
  <c r="B15" i="18" s="1"/>
  <c r="D14" i="18"/>
  <c r="D15" i="18" s="1"/>
  <c r="D14" i="21"/>
  <c r="D15" i="21" s="1"/>
  <c r="C14" i="21"/>
  <c r="C15" i="21" s="1"/>
  <c r="H14" i="21"/>
  <c r="H15" i="21" s="1"/>
  <c r="B14" i="21"/>
  <c r="B15" i="21" s="1"/>
  <c r="E14" i="21"/>
  <c r="E15" i="21" s="1"/>
  <c r="G14" i="21"/>
  <c r="G15" i="21" s="1"/>
  <c r="H17" i="10"/>
  <c r="H18" i="10" s="1"/>
  <c r="H22" i="10" s="1"/>
  <c r="K15" i="10"/>
  <c r="E14" i="37"/>
  <c r="E15" i="37" s="1"/>
  <c r="C14" i="37"/>
  <c r="C15" i="37" s="1"/>
  <c r="H14" i="37"/>
  <c r="H15" i="37" s="1"/>
  <c r="D14" i="37"/>
  <c r="D15" i="37" s="1"/>
  <c r="B14" i="37"/>
  <c r="B15" i="37" s="1"/>
  <c r="G14" i="37"/>
  <c r="G15" i="37" s="1"/>
  <c r="B14" i="19"/>
  <c r="B15" i="19" s="1"/>
  <c r="C14" i="19"/>
  <c r="C15" i="19" s="1"/>
  <c r="G14" i="19"/>
  <c r="G15" i="19" s="1"/>
  <c r="D14" i="19"/>
  <c r="D15" i="19" s="1"/>
  <c r="E14" i="19"/>
  <c r="E15" i="19" s="1"/>
  <c r="H14" i="19"/>
  <c r="H15" i="19" s="1"/>
  <c r="K15" i="7"/>
  <c r="H17" i="7"/>
  <c r="H18" i="7" s="1"/>
  <c r="H22" i="7" s="1"/>
  <c r="B22" i="49" l="1"/>
  <c r="B28" i="49" s="1"/>
  <c r="K20" i="49"/>
  <c r="K22" i="49" s="1"/>
  <c r="B22" i="48"/>
  <c r="B28" i="48" s="1"/>
  <c r="K20" i="48"/>
  <c r="K22" i="48" s="1"/>
  <c r="G22" i="5"/>
  <c r="B20" i="2"/>
  <c r="B22" i="2" s="1"/>
  <c r="B28" i="2" s="1"/>
  <c r="D20" i="5"/>
  <c r="D22" i="5" s="1"/>
  <c r="K18" i="5"/>
  <c r="C20" i="5"/>
  <c r="C22" i="5" s="1"/>
  <c r="E20" i="5"/>
  <c r="E22" i="5" s="1"/>
  <c r="D22" i="2"/>
  <c r="K18" i="2"/>
  <c r="G22" i="2"/>
  <c r="C20" i="2"/>
  <c r="C22" i="2" s="1"/>
  <c r="E20" i="2"/>
  <c r="E22" i="2" s="1"/>
  <c r="K15" i="38"/>
  <c r="K15" i="37"/>
  <c r="H17" i="37"/>
  <c r="H18" i="37" s="1"/>
  <c r="H22" i="37" s="1"/>
  <c r="B17" i="7"/>
  <c r="B18" i="7" s="1"/>
  <c r="C17" i="7"/>
  <c r="C18" i="7" s="1"/>
  <c r="D17" i="7"/>
  <c r="D18" i="7" s="1"/>
  <c r="E17" i="7"/>
  <c r="E18" i="7" s="1"/>
  <c r="G17" i="7"/>
  <c r="G18" i="7" s="1"/>
  <c r="G20" i="7" s="1"/>
  <c r="H17" i="19"/>
  <c r="H18" i="19" s="1"/>
  <c r="H22" i="19" s="1"/>
  <c r="K15" i="21"/>
  <c r="H17" i="30"/>
  <c r="H18" i="30" s="1"/>
  <c r="H22" i="30" s="1"/>
  <c r="H17" i="28"/>
  <c r="H18" i="28" s="1"/>
  <c r="H22" i="28" s="1"/>
  <c r="K15" i="23"/>
  <c r="H17" i="22"/>
  <c r="K15" i="1"/>
  <c r="H17" i="31"/>
  <c r="H17" i="36"/>
  <c r="H18" i="36" s="1"/>
  <c r="H22" i="36" s="1"/>
  <c r="K15" i="36"/>
  <c r="B22" i="5"/>
  <c r="B28" i="5" s="1"/>
  <c r="D17" i="12"/>
  <c r="D18" i="12" s="1"/>
  <c r="E17" i="12"/>
  <c r="E18" i="12" s="1"/>
  <c r="B17" i="12"/>
  <c r="B18" i="12" s="1"/>
  <c r="G17" i="12"/>
  <c r="G18" i="12" s="1"/>
  <c r="G20" i="12" s="1"/>
  <c r="C17" i="12"/>
  <c r="C18" i="12" s="1"/>
  <c r="H17" i="32"/>
  <c r="H17" i="4"/>
  <c r="H18" i="4" s="1"/>
  <c r="H22" i="4" s="1"/>
  <c r="K15" i="27"/>
  <c r="H17" i="27"/>
  <c r="H18" i="27" s="1"/>
  <c r="H22" i="27" s="1"/>
  <c r="H17" i="35"/>
  <c r="K15" i="17"/>
  <c r="H17" i="44"/>
  <c r="H17" i="20"/>
  <c r="H17" i="39"/>
  <c r="H17" i="15"/>
  <c r="H18" i="15" s="1"/>
  <c r="H22" i="15" s="1"/>
  <c r="H17" i="11"/>
  <c r="H18" i="11" s="1"/>
  <c r="H22" i="11" s="1"/>
  <c r="K15" i="24"/>
  <c r="H17" i="8"/>
  <c r="H18" i="8" s="1"/>
  <c r="H22" i="8" s="1"/>
  <c r="H17" i="29"/>
  <c r="K15" i="29"/>
  <c r="K15" i="40"/>
  <c r="H17" i="46"/>
  <c r="H18" i="46" s="1"/>
  <c r="H22" i="46" s="1"/>
  <c r="K15" i="13"/>
  <c r="C17" i="14"/>
  <c r="C18" i="14" s="1"/>
  <c r="B17" i="14"/>
  <c r="B18" i="14" s="1"/>
  <c r="G17" i="14"/>
  <c r="G18" i="14" s="1"/>
  <c r="G20" i="14" s="1"/>
  <c r="D17" i="14"/>
  <c r="D18" i="14" s="1"/>
  <c r="E17" i="14"/>
  <c r="E18" i="14" s="1"/>
  <c r="K15" i="19"/>
  <c r="B17" i="10"/>
  <c r="B18" i="10" s="1"/>
  <c r="D17" i="10"/>
  <c r="D18" i="10" s="1"/>
  <c r="C17" i="10"/>
  <c r="C18" i="10" s="1"/>
  <c r="E17" i="10"/>
  <c r="E18" i="10" s="1"/>
  <c r="G17" i="10"/>
  <c r="G18" i="10" s="1"/>
  <c r="G20" i="10" s="1"/>
  <c r="H17" i="21"/>
  <c r="H18" i="21" s="1"/>
  <c r="H22" i="21" s="1"/>
  <c r="K15" i="18"/>
  <c r="H17" i="18"/>
  <c r="K15" i="30"/>
  <c r="H17" i="9"/>
  <c r="K15" i="9"/>
  <c r="K15" i="28"/>
  <c r="H17" i="23"/>
  <c r="H18" i="23" s="1"/>
  <c r="H22" i="23" s="1"/>
  <c r="K15" i="22"/>
  <c r="H17" i="1"/>
  <c r="H18" i="1" s="1"/>
  <c r="H22" i="1" s="1"/>
  <c r="K15" i="31"/>
  <c r="K15" i="32"/>
  <c r="K15" i="4"/>
  <c r="D17" i="38"/>
  <c r="D18" i="38" s="1"/>
  <c r="B17" i="38"/>
  <c r="B18" i="38" s="1"/>
  <c r="C17" i="38"/>
  <c r="C18" i="38" s="1"/>
  <c r="E17" i="38"/>
  <c r="E18" i="38" s="1"/>
  <c r="G17" i="38"/>
  <c r="G18" i="38" s="1"/>
  <c r="G20" i="38" s="1"/>
  <c r="K15" i="35"/>
  <c r="H17" i="17"/>
  <c r="H18" i="17" s="1"/>
  <c r="H22" i="17" s="1"/>
  <c r="K15" i="44"/>
  <c r="K15" i="25"/>
  <c r="H17" i="25"/>
  <c r="H18" i="25" s="1"/>
  <c r="H22" i="25" s="1"/>
  <c r="K15" i="20"/>
  <c r="K15" i="39"/>
  <c r="K15" i="15"/>
  <c r="K15" i="11"/>
  <c r="D17" i="34"/>
  <c r="D18" i="34" s="1"/>
  <c r="E17" i="34"/>
  <c r="E18" i="34" s="1"/>
  <c r="B17" i="34"/>
  <c r="B18" i="34" s="1"/>
  <c r="G17" i="34"/>
  <c r="G18" i="34" s="1"/>
  <c r="G20" i="34" s="1"/>
  <c r="C17" i="34"/>
  <c r="C18" i="34" s="1"/>
  <c r="H17" i="24"/>
  <c r="H18" i="24" s="1"/>
  <c r="H22" i="24" s="1"/>
  <c r="H17" i="41"/>
  <c r="K15" i="41"/>
  <c r="K15" i="8"/>
  <c r="H17" i="6"/>
  <c r="H18" i="6" s="1"/>
  <c r="H22" i="6" s="1"/>
  <c r="K15" i="6"/>
  <c r="H17" i="40"/>
  <c r="H18" i="40" s="1"/>
  <c r="H22" i="40" s="1"/>
  <c r="K15" i="46"/>
  <c r="H17" i="13"/>
  <c r="C17" i="45"/>
  <c r="C18" i="45" s="1"/>
  <c r="G17" i="45"/>
  <c r="G18" i="45" s="1"/>
  <c r="G20" i="45" s="1"/>
  <c r="B17" i="45"/>
  <c r="B18" i="45" s="1"/>
  <c r="E17" i="45"/>
  <c r="E18" i="45" s="1"/>
  <c r="D17" i="45"/>
  <c r="D18" i="45" s="1"/>
  <c r="B30" i="49" l="1"/>
  <c r="B30" i="48"/>
  <c r="K20" i="5"/>
  <c r="K22" i="5" s="1"/>
  <c r="K20" i="2"/>
  <c r="K22" i="2" s="1"/>
  <c r="C20" i="45"/>
  <c r="C22" i="45" s="1"/>
  <c r="D20" i="45"/>
  <c r="D22" i="45" s="1"/>
  <c r="E20" i="45"/>
  <c r="E22" i="45" s="1"/>
  <c r="B20" i="45"/>
  <c r="G22" i="45"/>
  <c r="C17" i="41"/>
  <c r="C18" i="41" s="1"/>
  <c r="D17" i="41"/>
  <c r="D18" i="41" s="1"/>
  <c r="E17" i="41"/>
  <c r="E18" i="41" s="1"/>
  <c r="B17" i="41"/>
  <c r="B18" i="41" s="1"/>
  <c r="G17" i="41"/>
  <c r="G18" i="41" s="1"/>
  <c r="G20" i="41" s="1"/>
  <c r="B17" i="9"/>
  <c r="B18" i="9" s="1"/>
  <c r="C17" i="9"/>
  <c r="C18" i="9" s="1"/>
  <c r="E17" i="9"/>
  <c r="E18" i="9" s="1"/>
  <c r="D17" i="9"/>
  <c r="D18" i="9" s="1"/>
  <c r="G17" i="9"/>
  <c r="G18" i="9" s="1"/>
  <c r="G20" i="9" s="1"/>
  <c r="C17" i="18"/>
  <c r="C18" i="18" s="1"/>
  <c r="E17" i="18"/>
  <c r="E18" i="18" s="1"/>
  <c r="B17" i="18"/>
  <c r="B18" i="18" s="1"/>
  <c r="D17" i="18"/>
  <c r="D18" i="18" s="1"/>
  <c r="G17" i="18"/>
  <c r="G18" i="18" s="1"/>
  <c r="G20" i="18" s="1"/>
  <c r="C20" i="10"/>
  <c r="C22" i="10" s="1"/>
  <c r="E20" i="10"/>
  <c r="E22" i="10" s="1"/>
  <c r="G22" i="10"/>
  <c r="D20" i="10"/>
  <c r="D22" i="10" s="1"/>
  <c r="B20" i="10"/>
  <c r="E20" i="14"/>
  <c r="E22" i="14" s="1"/>
  <c r="G22" i="14"/>
  <c r="C20" i="14"/>
  <c r="C22" i="14" s="1"/>
  <c r="B20" i="14"/>
  <c r="D20" i="14"/>
  <c r="D22" i="14" s="1"/>
  <c r="D17" i="29"/>
  <c r="D18" i="29" s="1"/>
  <c r="C17" i="29"/>
  <c r="C18" i="29" s="1"/>
  <c r="G17" i="29"/>
  <c r="G18" i="29" s="1"/>
  <c r="G20" i="29" s="1"/>
  <c r="E17" i="29"/>
  <c r="E18" i="29" s="1"/>
  <c r="B17" i="29"/>
  <c r="B18" i="29" s="1"/>
  <c r="B30" i="2"/>
  <c r="C17" i="39"/>
  <c r="C18" i="39" s="1"/>
  <c r="E17" i="39"/>
  <c r="E18" i="39" s="1"/>
  <c r="G17" i="39"/>
  <c r="G18" i="39" s="1"/>
  <c r="G20" i="39" s="1"/>
  <c r="D17" i="39"/>
  <c r="D18" i="39" s="1"/>
  <c r="B17" i="39"/>
  <c r="B18" i="39" s="1"/>
  <c r="B17" i="20"/>
  <c r="B18" i="20" s="1"/>
  <c r="D17" i="20"/>
  <c r="D18" i="20" s="1"/>
  <c r="E17" i="20"/>
  <c r="E18" i="20" s="1"/>
  <c r="C17" i="20"/>
  <c r="C18" i="20" s="1"/>
  <c r="G17" i="20"/>
  <c r="G18" i="20" s="1"/>
  <c r="G20" i="20" s="1"/>
  <c r="E17" i="44"/>
  <c r="E18" i="44" s="1"/>
  <c r="C17" i="44"/>
  <c r="C18" i="44" s="1"/>
  <c r="G17" i="44"/>
  <c r="G18" i="44" s="1"/>
  <c r="G20" i="44" s="1"/>
  <c r="B17" i="44"/>
  <c r="B18" i="44" s="1"/>
  <c r="D17" i="44"/>
  <c r="D18" i="44" s="1"/>
  <c r="C17" i="35"/>
  <c r="C18" i="35" s="1"/>
  <c r="D17" i="35"/>
  <c r="D18" i="35" s="1"/>
  <c r="B17" i="35"/>
  <c r="B18" i="35" s="1"/>
  <c r="G17" i="35"/>
  <c r="G18" i="35" s="1"/>
  <c r="G20" i="35" s="1"/>
  <c r="E17" i="35"/>
  <c r="E18" i="35" s="1"/>
  <c r="B17" i="32"/>
  <c r="B18" i="32" s="1"/>
  <c r="E17" i="32"/>
  <c r="E18" i="32" s="1"/>
  <c r="G17" i="32"/>
  <c r="G18" i="32" s="1"/>
  <c r="G20" i="32" s="1"/>
  <c r="D17" i="32"/>
  <c r="D18" i="32" s="1"/>
  <c r="C17" i="32"/>
  <c r="C18" i="32" s="1"/>
  <c r="D20" i="12"/>
  <c r="D22" i="12" s="1"/>
  <c r="B20" i="12"/>
  <c r="C20" i="12"/>
  <c r="C22" i="12" s="1"/>
  <c r="E20" i="12"/>
  <c r="E22" i="12" s="1"/>
  <c r="G22" i="12"/>
  <c r="B30" i="5"/>
  <c r="G17" i="31"/>
  <c r="G18" i="31" s="1"/>
  <c r="G20" i="31" s="1"/>
  <c r="C17" i="31"/>
  <c r="C18" i="31" s="1"/>
  <c r="D17" i="31"/>
  <c r="D18" i="31" s="1"/>
  <c r="E17" i="31"/>
  <c r="E18" i="31" s="1"/>
  <c r="B17" i="31"/>
  <c r="B18" i="31" s="1"/>
  <c r="D17" i="22"/>
  <c r="D18" i="22" s="1"/>
  <c r="C17" i="22"/>
  <c r="C18" i="22" s="1"/>
  <c r="G17" i="22"/>
  <c r="G18" i="22" s="1"/>
  <c r="G20" i="22" s="1"/>
  <c r="B17" i="22"/>
  <c r="B18" i="22" s="1"/>
  <c r="E17" i="22"/>
  <c r="E18" i="22" s="1"/>
  <c r="D20" i="7"/>
  <c r="D22" i="7" s="1"/>
  <c r="C20" i="7"/>
  <c r="C22" i="7" s="1"/>
  <c r="E20" i="7"/>
  <c r="E22" i="7" s="1"/>
  <c r="G22" i="7"/>
  <c r="B20" i="7"/>
  <c r="K18" i="34"/>
  <c r="K18" i="38"/>
  <c r="K18" i="10"/>
  <c r="K18" i="7"/>
  <c r="D17" i="13"/>
  <c r="D18" i="13" s="1"/>
  <c r="G17" i="13"/>
  <c r="G18" i="13" s="1"/>
  <c r="G20" i="13" s="1"/>
  <c r="B17" i="13"/>
  <c r="B18" i="13" s="1"/>
  <c r="C17" i="13"/>
  <c r="C18" i="13" s="1"/>
  <c r="E17" i="13"/>
  <c r="E18" i="13" s="1"/>
  <c r="D17" i="40"/>
  <c r="D18" i="40" s="1"/>
  <c r="B17" i="40"/>
  <c r="B18" i="40" s="1"/>
  <c r="C17" i="40"/>
  <c r="C18" i="40" s="1"/>
  <c r="E17" i="40"/>
  <c r="E18" i="40" s="1"/>
  <c r="G17" i="40"/>
  <c r="G18" i="40" s="1"/>
  <c r="G20" i="40" s="1"/>
  <c r="B17" i="6"/>
  <c r="B18" i="6" s="1"/>
  <c r="E17" i="6"/>
  <c r="E18" i="6" s="1"/>
  <c r="G17" i="6"/>
  <c r="G18" i="6" s="1"/>
  <c r="G20" i="6" s="1"/>
  <c r="D17" i="6"/>
  <c r="D18" i="6" s="1"/>
  <c r="C17" i="6"/>
  <c r="C18" i="6" s="1"/>
  <c r="B17" i="24"/>
  <c r="B18" i="24" s="1"/>
  <c r="E17" i="24"/>
  <c r="E18" i="24" s="1"/>
  <c r="G17" i="24"/>
  <c r="G18" i="24" s="1"/>
  <c r="G20" i="24" s="1"/>
  <c r="C17" i="24"/>
  <c r="C18" i="24" s="1"/>
  <c r="D17" i="24"/>
  <c r="D18" i="24" s="1"/>
  <c r="C20" i="34"/>
  <c r="C22" i="34" s="1"/>
  <c r="D20" i="34"/>
  <c r="D22" i="34" s="1"/>
  <c r="E20" i="34"/>
  <c r="E22" i="34" s="1"/>
  <c r="B20" i="34"/>
  <c r="G22" i="34"/>
  <c r="D17" i="25"/>
  <c r="D18" i="25" s="1"/>
  <c r="B17" i="25"/>
  <c r="B18" i="25" s="1"/>
  <c r="E17" i="25"/>
  <c r="E18" i="25" s="1"/>
  <c r="C17" i="25"/>
  <c r="C18" i="25" s="1"/>
  <c r="G17" i="25"/>
  <c r="G18" i="25" s="1"/>
  <c r="G20" i="25" s="1"/>
  <c r="B17" i="17"/>
  <c r="B18" i="17" s="1"/>
  <c r="D17" i="17"/>
  <c r="D18" i="17" s="1"/>
  <c r="G17" i="17"/>
  <c r="G18" i="17" s="1"/>
  <c r="G20" i="17" s="1"/>
  <c r="C17" i="17"/>
  <c r="C18" i="17" s="1"/>
  <c r="E17" i="17"/>
  <c r="E18" i="17" s="1"/>
  <c r="E20" i="38"/>
  <c r="E22" i="38" s="1"/>
  <c r="C20" i="38"/>
  <c r="C22" i="38" s="1"/>
  <c r="D20" i="38"/>
  <c r="D22" i="38" s="1"/>
  <c r="G22" i="38"/>
  <c r="B20" i="38"/>
  <c r="C17" i="1"/>
  <c r="C18" i="1" s="1"/>
  <c r="E17" i="1"/>
  <c r="E18" i="1" s="1"/>
  <c r="B17" i="1"/>
  <c r="B18" i="1" s="1"/>
  <c r="D17" i="1"/>
  <c r="D18" i="1" s="1"/>
  <c r="G17" i="1"/>
  <c r="G18" i="1" s="1"/>
  <c r="G20" i="1" s="1"/>
  <c r="E17" i="23"/>
  <c r="E18" i="23" s="1"/>
  <c r="D17" i="23"/>
  <c r="D18" i="23" s="1"/>
  <c r="B17" i="23"/>
  <c r="B18" i="23" s="1"/>
  <c r="C17" i="23"/>
  <c r="C18" i="23" s="1"/>
  <c r="G17" i="23"/>
  <c r="G18" i="23" s="1"/>
  <c r="G20" i="23" s="1"/>
  <c r="G17" i="21"/>
  <c r="G18" i="21" s="1"/>
  <c r="G20" i="21" s="1"/>
  <c r="C17" i="21"/>
  <c r="C18" i="21" s="1"/>
  <c r="E17" i="21"/>
  <c r="E18" i="21" s="1"/>
  <c r="D17" i="21"/>
  <c r="D18" i="21" s="1"/>
  <c r="B17" i="21"/>
  <c r="B18" i="21" s="1"/>
  <c r="C17" i="46"/>
  <c r="C18" i="46" s="1"/>
  <c r="B17" i="46"/>
  <c r="B18" i="46" s="1"/>
  <c r="G17" i="46"/>
  <c r="G18" i="46" s="1"/>
  <c r="G20" i="46" s="1"/>
  <c r="E17" i="46"/>
  <c r="E18" i="46" s="1"/>
  <c r="D17" i="46"/>
  <c r="D18" i="46" s="1"/>
  <c r="D17" i="8"/>
  <c r="D18" i="8" s="1"/>
  <c r="C17" i="8"/>
  <c r="C18" i="8" s="1"/>
  <c r="B17" i="8"/>
  <c r="B18" i="8" s="1"/>
  <c r="E17" i="8"/>
  <c r="E18" i="8" s="1"/>
  <c r="G17" i="8"/>
  <c r="G18" i="8" s="1"/>
  <c r="G20" i="8" s="1"/>
  <c r="D17" i="11"/>
  <c r="D18" i="11" s="1"/>
  <c r="E17" i="11"/>
  <c r="E18" i="11" s="1"/>
  <c r="B17" i="11"/>
  <c r="B18" i="11" s="1"/>
  <c r="C17" i="11"/>
  <c r="C18" i="11" s="1"/>
  <c r="G17" i="11"/>
  <c r="G18" i="11" s="1"/>
  <c r="G20" i="11" s="1"/>
  <c r="C17" i="15"/>
  <c r="C18" i="15" s="1"/>
  <c r="B17" i="15"/>
  <c r="B18" i="15" s="1"/>
  <c r="D17" i="15"/>
  <c r="D18" i="15" s="1"/>
  <c r="G17" i="15"/>
  <c r="G18" i="15" s="1"/>
  <c r="G20" i="15" s="1"/>
  <c r="E17" i="15"/>
  <c r="E18" i="15" s="1"/>
  <c r="D17" i="27"/>
  <c r="D18" i="27" s="1"/>
  <c r="C17" i="27"/>
  <c r="C18" i="27" s="1"/>
  <c r="G17" i="27"/>
  <c r="G18" i="27" s="1"/>
  <c r="G20" i="27" s="1"/>
  <c r="E17" i="27"/>
  <c r="E18" i="27" s="1"/>
  <c r="B17" i="27"/>
  <c r="B18" i="27" s="1"/>
  <c r="G17" i="4"/>
  <c r="G18" i="4" s="1"/>
  <c r="G20" i="4" s="1"/>
  <c r="C17" i="4"/>
  <c r="C18" i="4" s="1"/>
  <c r="E17" i="4"/>
  <c r="E18" i="4" s="1"/>
  <c r="B17" i="4"/>
  <c r="B18" i="4" s="1"/>
  <c r="D17" i="4"/>
  <c r="D18" i="4" s="1"/>
  <c r="C17" i="36"/>
  <c r="C18" i="36" s="1"/>
  <c r="E17" i="36"/>
  <c r="E18" i="36" s="1"/>
  <c r="D17" i="36"/>
  <c r="D18" i="36" s="1"/>
  <c r="B17" i="36"/>
  <c r="B18" i="36" s="1"/>
  <c r="G17" i="36"/>
  <c r="G18" i="36" s="1"/>
  <c r="G20" i="36" s="1"/>
  <c r="E17" i="28"/>
  <c r="E18" i="28" s="1"/>
  <c r="G17" i="28"/>
  <c r="G18" i="28" s="1"/>
  <c r="G20" i="28" s="1"/>
  <c r="C17" i="28"/>
  <c r="C18" i="28" s="1"/>
  <c r="B17" i="28"/>
  <c r="B18" i="28" s="1"/>
  <c r="D17" i="28"/>
  <c r="D18" i="28" s="1"/>
  <c r="G17" i="30"/>
  <c r="G18" i="30" s="1"/>
  <c r="G20" i="30" s="1"/>
  <c r="C17" i="30"/>
  <c r="C18" i="30" s="1"/>
  <c r="B17" i="30"/>
  <c r="B18" i="30" s="1"/>
  <c r="D17" i="30"/>
  <c r="D18" i="30" s="1"/>
  <c r="E17" i="30"/>
  <c r="E18" i="30" s="1"/>
  <c r="C17" i="19"/>
  <c r="C18" i="19" s="1"/>
  <c r="E17" i="19"/>
  <c r="E18" i="19" s="1"/>
  <c r="B17" i="19"/>
  <c r="B18" i="19" s="1"/>
  <c r="D17" i="19"/>
  <c r="D18" i="19" s="1"/>
  <c r="G17" i="19"/>
  <c r="G18" i="19" s="1"/>
  <c r="G20" i="19" s="1"/>
  <c r="G17" i="37"/>
  <c r="G18" i="37" s="1"/>
  <c r="G20" i="37" s="1"/>
  <c r="E17" i="37"/>
  <c r="E18" i="37" s="1"/>
  <c r="B17" i="37"/>
  <c r="B18" i="37" s="1"/>
  <c r="D17" i="37"/>
  <c r="D18" i="37" s="1"/>
  <c r="C17" i="37"/>
  <c r="C18" i="37" s="1"/>
  <c r="K18" i="45"/>
  <c r="H18" i="13"/>
  <c r="H22" i="13" s="1"/>
  <c r="H18" i="41"/>
  <c r="H22" i="41" s="1"/>
  <c r="H18" i="9"/>
  <c r="H22" i="9" s="1"/>
  <c r="H18" i="18"/>
  <c r="H22" i="18" s="1"/>
  <c r="K18" i="14"/>
  <c r="H18" i="29"/>
  <c r="H22" i="29" s="1"/>
  <c r="H18" i="39"/>
  <c r="H22" i="39" s="1"/>
  <c r="H18" i="20"/>
  <c r="H22" i="20" s="1"/>
  <c r="H18" i="44"/>
  <c r="H22" i="44" s="1"/>
  <c r="H18" i="35"/>
  <c r="H22" i="35" s="1"/>
  <c r="H18" i="32"/>
  <c r="H22" i="32" s="1"/>
  <c r="K18" i="12"/>
  <c r="H18" i="31"/>
  <c r="H22" i="31" s="1"/>
  <c r="H18" i="22"/>
  <c r="H22" i="22" s="1"/>
  <c r="K18" i="27" l="1"/>
  <c r="K18" i="28"/>
  <c r="K18" i="4"/>
  <c r="G22" i="37"/>
  <c r="D20" i="37"/>
  <c r="D22" i="37" s="1"/>
  <c r="B20" i="37"/>
  <c r="C20" i="37"/>
  <c r="C22" i="37" s="1"/>
  <c r="E20" i="37"/>
  <c r="E22" i="37" s="1"/>
  <c r="G22" i="36"/>
  <c r="C20" i="36"/>
  <c r="C22" i="36" s="1"/>
  <c r="E20" i="36"/>
  <c r="E22" i="36" s="1"/>
  <c r="B20" i="36"/>
  <c r="D20" i="36"/>
  <c r="D22" i="36" s="1"/>
  <c r="G22" i="19"/>
  <c r="B20" i="19"/>
  <c r="C20" i="19"/>
  <c r="C22" i="19" s="1"/>
  <c r="D20" i="19"/>
  <c r="D22" i="19" s="1"/>
  <c r="E20" i="19"/>
  <c r="E22" i="19" s="1"/>
  <c r="G22" i="4"/>
  <c r="E20" i="4"/>
  <c r="E22" i="4" s="1"/>
  <c r="B20" i="4"/>
  <c r="C20" i="4"/>
  <c r="C22" i="4" s="1"/>
  <c r="D20" i="4"/>
  <c r="D22" i="4" s="1"/>
  <c r="G22" i="8"/>
  <c r="D20" i="8"/>
  <c r="D22" i="8" s="1"/>
  <c r="C20" i="8"/>
  <c r="C22" i="8" s="1"/>
  <c r="B20" i="8"/>
  <c r="E20" i="8"/>
  <c r="E22" i="8" s="1"/>
  <c r="G22" i="21"/>
  <c r="E20" i="21"/>
  <c r="E22" i="21" s="1"/>
  <c r="D20" i="21"/>
  <c r="D22" i="21" s="1"/>
  <c r="C20" i="21"/>
  <c r="C22" i="21" s="1"/>
  <c r="B20" i="21"/>
  <c r="G22" i="1"/>
  <c r="C20" i="1"/>
  <c r="C22" i="1" s="1"/>
  <c r="D20" i="1"/>
  <c r="D22" i="1" s="1"/>
  <c r="B20" i="1"/>
  <c r="E20" i="1"/>
  <c r="E22" i="1" s="1"/>
  <c r="G22" i="17"/>
  <c r="C20" i="17"/>
  <c r="C22" i="17" s="1"/>
  <c r="B20" i="17"/>
  <c r="D20" i="17"/>
  <c r="D22" i="17" s="1"/>
  <c r="E20" i="17"/>
  <c r="E22" i="17" s="1"/>
  <c r="G22" i="6"/>
  <c r="B20" i="6"/>
  <c r="E20" i="6"/>
  <c r="E22" i="6" s="1"/>
  <c r="D20" i="6"/>
  <c r="D22" i="6" s="1"/>
  <c r="C20" i="6"/>
  <c r="C22" i="6" s="1"/>
  <c r="G22" i="22"/>
  <c r="B20" i="22"/>
  <c r="C20" i="22"/>
  <c r="C22" i="22" s="1"/>
  <c r="E20" i="22"/>
  <c r="E22" i="22" s="1"/>
  <c r="D20" i="22"/>
  <c r="D22" i="22" s="1"/>
  <c r="G22" i="20"/>
  <c r="D20" i="20"/>
  <c r="D22" i="20" s="1"/>
  <c r="E20" i="20"/>
  <c r="E22" i="20" s="1"/>
  <c r="B20" i="20"/>
  <c r="C20" i="20"/>
  <c r="C22" i="20" s="1"/>
  <c r="G22" i="29"/>
  <c r="E20" i="29"/>
  <c r="E22" i="29" s="1"/>
  <c r="C20" i="29"/>
  <c r="C22" i="29" s="1"/>
  <c r="B20" i="29"/>
  <c r="D20" i="29"/>
  <c r="D22" i="29" s="1"/>
  <c r="K20" i="14"/>
  <c r="K22" i="14" s="1"/>
  <c r="B22" i="14"/>
  <c r="B28" i="14" s="1"/>
  <c r="B22" i="10"/>
  <c r="B28" i="10" s="1"/>
  <c r="K20" i="10"/>
  <c r="K22" i="10" s="1"/>
  <c r="G22" i="9"/>
  <c r="C20" i="9"/>
  <c r="C22" i="9" s="1"/>
  <c r="B20" i="9"/>
  <c r="E20" i="9"/>
  <c r="E22" i="9" s="1"/>
  <c r="D20" i="9"/>
  <c r="D22" i="9" s="1"/>
  <c r="K18" i="30"/>
  <c r="K18" i="19"/>
  <c r="K18" i="36"/>
  <c r="K18" i="8"/>
  <c r="K18" i="46"/>
  <c r="K18" i="21"/>
  <c r="K18" i="1"/>
  <c r="K18" i="17"/>
  <c r="K18" i="25"/>
  <c r="K18" i="6"/>
  <c r="K18" i="40"/>
  <c r="K18" i="13"/>
  <c r="K18" i="35"/>
  <c r="K18" i="44"/>
  <c r="K18" i="20"/>
  <c r="K18" i="29"/>
  <c r="K18" i="9"/>
  <c r="K18" i="41"/>
  <c r="G22" i="30"/>
  <c r="D20" i="30"/>
  <c r="D22" i="30" s="1"/>
  <c r="E20" i="30"/>
  <c r="E22" i="30" s="1"/>
  <c r="C20" i="30"/>
  <c r="C22" i="30" s="1"/>
  <c r="B20" i="30"/>
  <c r="G22" i="28"/>
  <c r="D20" i="28"/>
  <c r="D22" i="28" s="1"/>
  <c r="E20" i="28"/>
  <c r="E22" i="28" s="1"/>
  <c r="B20" i="28"/>
  <c r="C20" i="28"/>
  <c r="C22" i="28" s="1"/>
  <c r="G22" i="27"/>
  <c r="C20" i="27"/>
  <c r="C22" i="27" s="1"/>
  <c r="B20" i="27"/>
  <c r="D20" i="27"/>
  <c r="D22" i="27" s="1"/>
  <c r="E20" i="27"/>
  <c r="E22" i="27" s="1"/>
  <c r="G22" i="15"/>
  <c r="C20" i="15"/>
  <c r="C22" i="15" s="1"/>
  <c r="D20" i="15"/>
  <c r="D22" i="15" s="1"/>
  <c r="E20" i="15"/>
  <c r="E22" i="15" s="1"/>
  <c r="B20" i="15"/>
  <c r="G22" i="11"/>
  <c r="D20" i="11"/>
  <c r="D22" i="11" s="1"/>
  <c r="E20" i="11"/>
  <c r="E22" i="11" s="1"/>
  <c r="C20" i="11"/>
  <c r="C22" i="11" s="1"/>
  <c r="B20" i="11"/>
  <c r="G22" i="46"/>
  <c r="E20" i="46"/>
  <c r="E22" i="46" s="1"/>
  <c r="B20" i="46"/>
  <c r="D20" i="46"/>
  <c r="D22" i="46" s="1"/>
  <c r="C20" i="46"/>
  <c r="C22" i="46" s="1"/>
  <c r="G22" i="23"/>
  <c r="B20" i="23"/>
  <c r="C20" i="23"/>
  <c r="C22" i="23" s="1"/>
  <c r="D20" i="23"/>
  <c r="D22" i="23" s="1"/>
  <c r="E20" i="23"/>
  <c r="E22" i="23" s="1"/>
  <c r="K20" i="38"/>
  <c r="K22" i="38" s="1"/>
  <c r="B22" i="38"/>
  <c r="B28" i="38" s="1"/>
  <c r="B30" i="38" s="1"/>
  <c r="G22" i="25"/>
  <c r="D20" i="25"/>
  <c r="D22" i="25" s="1"/>
  <c r="B20" i="25"/>
  <c r="C20" i="25"/>
  <c r="C22" i="25" s="1"/>
  <c r="E20" i="25"/>
  <c r="E22" i="25" s="1"/>
  <c r="K20" i="34"/>
  <c r="K22" i="34" s="1"/>
  <c r="B22" i="34"/>
  <c r="B28" i="34" s="1"/>
  <c r="G22" i="24"/>
  <c r="B20" i="24"/>
  <c r="E20" i="24"/>
  <c r="E22" i="24" s="1"/>
  <c r="D20" i="24"/>
  <c r="D22" i="24" s="1"/>
  <c r="C20" i="24"/>
  <c r="C22" i="24" s="1"/>
  <c r="G22" i="40"/>
  <c r="C20" i="40"/>
  <c r="C22" i="40" s="1"/>
  <c r="E20" i="40"/>
  <c r="E22" i="40" s="1"/>
  <c r="B20" i="40"/>
  <c r="D20" i="40"/>
  <c r="D22" i="40" s="1"/>
  <c r="G22" i="13"/>
  <c r="D20" i="13"/>
  <c r="D22" i="13" s="1"/>
  <c r="C20" i="13"/>
  <c r="C22" i="13" s="1"/>
  <c r="E20" i="13"/>
  <c r="E22" i="13" s="1"/>
  <c r="B20" i="13"/>
  <c r="K20" i="7"/>
  <c r="K22" i="7" s="1"/>
  <c r="B22" i="7"/>
  <c r="B28" i="7" s="1"/>
  <c r="G22" i="31"/>
  <c r="D20" i="31"/>
  <c r="D22" i="31" s="1"/>
  <c r="E20" i="31"/>
  <c r="E22" i="31" s="1"/>
  <c r="C20" i="31"/>
  <c r="C22" i="31" s="1"/>
  <c r="B20" i="31"/>
  <c r="K20" i="12"/>
  <c r="K22" i="12" s="1"/>
  <c r="B22" i="12"/>
  <c r="B28" i="12" s="1"/>
  <c r="G22" i="32"/>
  <c r="B20" i="32"/>
  <c r="E20" i="32"/>
  <c r="E22" i="32" s="1"/>
  <c r="D20" i="32"/>
  <c r="D22" i="32" s="1"/>
  <c r="C20" i="32"/>
  <c r="C22" i="32" s="1"/>
  <c r="G22" i="35"/>
  <c r="B20" i="35"/>
  <c r="E20" i="35"/>
  <c r="E22" i="35" s="1"/>
  <c r="C20" i="35"/>
  <c r="C22" i="35" s="1"/>
  <c r="D20" i="35"/>
  <c r="D22" i="35" s="1"/>
  <c r="G22" i="44"/>
  <c r="E20" i="44"/>
  <c r="E22" i="44" s="1"/>
  <c r="B20" i="44"/>
  <c r="D20" i="44"/>
  <c r="D22" i="44" s="1"/>
  <c r="C20" i="44"/>
  <c r="C22" i="44" s="1"/>
  <c r="G22" i="39"/>
  <c r="C20" i="39"/>
  <c r="C22" i="39" s="1"/>
  <c r="E20" i="39"/>
  <c r="E22" i="39" s="1"/>
  <c r="B20" i="39"/>
  <c r="D20" i="39"/>
  <c r="D22" i="39" s="1"/>
  <c r="G22" i="18"/>
  <c r="C20" i="18"/>
  <c r="C22" i="18" s="1"/>
  <c r="D20" i="18"/>
  <c r="D22" i="18" s="1"/>
  <c r="E20" i="18"/>
  <c r="E22" i="18" s="1"/>
  <c r="B20" i="18"/>
  <c r="G22" i="41"/>
  <c r="D20" i="41"/>
  <c r="D22" i="41" s="1"/>
  <c r="B20" i="41"/>
  <c r="E20" i="41"/>
  <c r="E22" i="41" s="1"/>
  <c r="C20" i="41"/>
  <c r="C22" i="41" s="1"/>
  <c r="K20" i="45"/>
  <c r="K22" i="45" s="1"/>
  <c r="B22" i="45"/>
  <c r="B28" i="45" s="1"/>
  <c r="K18" i="37"/>
  <c r="K18" i="15"/>
  <c r="K18" i="11"/>
  <c r="K18" i="23"/>
  <c r="K18" i="24"/>
  <c r="K18" i="22"/>
  <c r="K18" i="31"/>
  <c r="K18" i="32"/>
  <c r="K18" i="39"/>
  <c r="K18" i="18"/>
  <c r="K20" i="18" l="1"/>
  <c r="K22" i="18" s="1"/>
  <c r="B22" i="18"/>
  <c r="B28" i="18" s="1"/>
  <c r="K20" i="39"/>
  <c r="K22" i="39" s="1"/>
  <c r="B22" i="39"/>
  <c r="B28" i="39" s="1"/>
  <c r="B30" i="39" s="1"/>
  <c r="K20" i="35"/>
  <c r="K22" i="35" s="1"/>
  <c r="B22" i="35"/>
  <c r="B28" i="35" s="1"/>
  <c r="B30" i="7"/>
  <c r="B30" i="45"/>
  <c r="K20" i="41"/>
  <c r="K22" i="41" s="1"/>
  <c r="B22" i="41"/>
  <c r="B28" i="41" s="1"/>
  <c r="K20" i="32"/>
  <c r="K22" i="32" s="1"/>
  <c r="B22" i="32"/>
  <c r="B28" i="32" s="1"/>
  <c r="B30" i="12"/>
  <c r="B22" i="31"/>
  <c r="B28" i="31" s="1"/>
  <c r="K20" i="31"/>
  <c r="K22" i="31" s="1"/>
  <c r="K20" i="24"/>
  <c r="K22" i="24" s="1"/>
  <c r="B22" i="24"/>
  <c r="B28" i="24" s="1"/>
  <c r="B30" i="34"/>
  <c r="K20" i="25"/>
  <c r="K22" i="25" s="1"/>
  <c r="B22" i="25"/>
  <c r="B28" i="25" s="1"/>
  <c r="K20" i="23"/>
  <c r="K22" i="23" s="1"/>
  <c r="B22" i="23"/>
  <c r="B28" i="23" s="1"/>
  <c r="K20" i="46"/>
  <c r="K22" i="46" s="1"/>
  <c r="B22" i="46"/>
  <c r="B28" i="46" s="1"/>
  <c r="B22" i="15"/>
  <c r="B28" i="15" s="1"/>
  <c r="B30" i="15" s="1"/>
  <c r="K20" i="15"/>
  <c r="K22" i="15" s="1"/>
  <c r="K20" i="9"/>
  <c r="K22" i="9" s="1"/>
  <c r="B22" i="9"/>
  <c r="B28" i="9" s="1"/>
  <c r="B30" i="10"/>
  <c r="B22" i="29"/>
  <c r="B28" i="29" s="1"/>
  <c r="B30" i="29" s="1"/>
  <c r="K20" i="29"/>
  <c r="K22" i="29" s="1"/>
  <c r="K20" i="22"/>
  <c r="K22" i="22" s="1"/>
  <c r="B22" i="22"/>
  <c r="B28" i="22" s="1"/>
  <c r="K20" i="36"/>
  <c r="K22" i="36" s="1"/>
  <c r="B22" i="36"/>
  <c r="B28" i="36" s="1"/>
  <c r="K20" i="37"/>
  <c r="K22" i="37" s="1"/>
  <c r="B22" i="37"/>
  <c r="B28" i="37" s="1"/>
  <c r="B22" i="44"/>
  <c r="B28" i="44" s="1"/>
  <c r="B30" i="44" s="1"/>
  <c r="K20" i="44"/>
  <c r="K22" i="44" s="1"/>
  <c r="B22" i="13"/>
  <c r="B28" i="13" s="1"/>
  <c r="K20" i="13"/>
  <c r="K22" i="13" s="1"/>
  <c r="K20" i="40"/>
  <c r="K22" i="40" s="1"/>
  <c r="B22" i="40"/>
  <c r="B28" i="40" s="1"/>
  <c r="B22" i="11"/>
  <c r="B28" i="11" s="1"/>
  <c r="K20" i="11"/>
  <c r="K22" i="11" s="1"/>
  <c r="K20" i="27"/>
  <c r="K22" i="27" s="1"/>
  <c r="B22" i="27"/>
  <c r="B28" i="27" s="1"/>
  <c r="K20" i="28"/>
  <c r="K22" i="28" s="1"/>
  <c r="B22" i="28"/>
  <c r="B28" i="28" s="1"/>
  <c r="K20" i="30"/>
  <c r="K22" i="30" s="1"/>
  <c r="B22" i="30"/>
  <c r="B28" i="30" s="1"/>
  <c r="B30" i="14"/>
  <c r="K20" i="20"/>
  <c r="K22" i="20" s="1"/>
  <c r="B22" i="20"/>
  <c r="B28" i="20" s="1"/>
  <c r="K20" i="6"/>
  <c r="K22" i="6" s="1"/>
  <c r="B22" i="6"/>
  <c r="B28" i="6" s="1"/>
  <c r="K20" i="17"/>
  <c r="K22" i="17" s="1"/>
  <c r="B22" i="17"/>
  <c r="B28" i="17" s="1"/>
  <c r="K20" i="1"/>
  <c r="K22" i="1" s="1"/>
  <c r="B22" i="1"/>
  <c r="B28" i="1" s="1"/>
  <c r="K20" i="21"/>
  <c r="K22" i="21" s="1"/>
  <c r="B22" i="21"/>
  <c r="B28" i="21" s="1"/>
  <c r="K20" i="8"/>
  <c r="K22" i="8" s="1"/>
  <c r="B22" i="8"/>
  <c r="B28" i="8" s="1"/>
  <c r="K20" i="4"/>
  <c r="K22" i="4" s="1"/>
  <c r="B22" i="4"/>
  <c r="B28" i="4" s="1"/>
  <c r="K20" i="19"/>
  <c r="K22" i="19" s="1"/>
  <c r="B22" i="19"/>
  <c r="B28" i="19" s="1"/>
  <c r="B30" i="4" l="1"/>
  <c r="B30" i="8"/>
  <c r="B30" i="1"/>
  <c r="B30" i="6"/>
  <c r="B30" i="30"/>
  <c r="B30" i="27"/>
  <c r="B30" i="40"/>
  <c r="B30" i="37"/>
  <c r="B30" i="22"/>
  <c r="B30" i="9"/>
  <c r="B30" i="11"/>
  <c r="B30" i="13"/>
  <c r="B30" i="31"/>
  <c r="B30" i="19"/>
  <c r="B30" i="21"/>
  <c r="B30" i="17"/>
  <c r="B30" i="20"/>
  <c r="B30" i="28"/>
  <c r="B30" i="36"/>
  <c r="B30" i="46"/>
  <c r="B30" i="23"/>
  <c r="B30" i="25"/>
  <c r="B30" i="24"/>
  <c r="B30" i="32"/>
  <c r="B30" i="41"/>
  <c r="B30" i="35"/>
  <c r="B30" i="18"/>
</calcChain>
</file>

<file path=xl/sharedStrings.xml><?xml version="1.0" encoding="utf-8"?>
<sst xmlns="http://schemas.openxmlformats.org/spreadsheetml/2006/main" count="1102" uniqueCount="108">
  <si>
    <t>Other</t>
  </si>
  <si>
    <t>Total</t>
  </si>
  <si>
    <t>TOTAL  -  Direct Costs</t>
  </si>
  <si>
    <t>Physical Plant</t>
  </si>
  <si>
    <t xml:space="preserve">    Sub-total</t>
  </si>
  <si>
    <t>Institutional Support</t>
  </si>
  <si>
    <t>Student Support</t>
  </si>
  <si>
    <t>Academic Support</t>
  </si>
  <si>
    <t>FULLY ALLOCATED COSTS</t>
  </si>
  <si>
    <t>Direct Instruction</t>
  </si>
  <si>
    <t>Indirect</t>
  </si>
  <si>
    <t>Indirect per FYE</t>
  </si>
  <si>
    <t>Instruction &amp; Dept Research</t>
  </si>
  <si>
    <t>Separately Budgeted Research</t>
  </si>
  <si>
    <t>Public Service</t>
  </si>
  <si>
    <t>Institution Support</t>
  </si>
  <si>
    <t>PRIMARY PROGRAMS</t>
  </si>
  <si>
    <t>SUPPORT PROGRAMS</t>
  </si>
  <si>
    <t>ANOKA RAMSEY CC</t>
  </si>
  <si>
    <t>BEMIDJI SU</t>
  </si>
  <si>
    <t>CENTRAL LAKES COLLEGE</t>
  </si>
  <si>
    <t>CENTURY COLLEGE</t>
  </si>
  <si>
    <t>DAKOTA COUNTY TC</t>
  </si>
  <si>
    <t>FOND DU LAC TRIBAL &amp; CC</t>
  </si>
  <si>
    <t>HENNEPIN TC</t>
  </si>
  <si>
    <t>INVER HILLS CC</t>
  </si>
  <si>
    <t>LAKE SUPERIOR COLLEGE</t>
  </si>
  <si>
    <t>MINNESOTA WEST COLLEGE</t>
  </si>
  <si>
    <t>NORMANDALE CC</t>
  </si>
  <si>
    <t>NORTH HENNEPIN CC</t>
  </si>
  <si>
    <t>RAINY RIVER CC</t>
  </si>
  <si>
    <t>RIDGEWATER COLLEGE</t>
  </si>
  <si>
    <t>ST CLOUD SU</t>
  </si>
  <si>
    <t>WINONA SU</t>
  </si>
  <si>
    <t>NORTHEAST HIGHER EDUCATION DISTRICT</t>
  </si>
  <si>
    <t>Institution Name</t>
  </si>
  <si>
    <t>Instruction</t>
  </si>
  <si>
    <t>Research</t>
  </si>
  <si>
    <t>Student Services</t>
  </si>
  <si>
    <t>Central Lakes College</t>
  </si>
  <si>
    <t>Century College</t>
  </si>
  <si>
    <t>Lake Superior College</t>
  </si>
  <si>
    <t>Minnesota SU Moorhead</t>
  </si>
  <si>
    <t>Minnesota SU, Mankato</t>
  </si>
  <si>
    <t>Minnesota West College</t>
  </si>
  <si>
    <t>Ridgewater College</t>
  </si>
  <si>
    <t>TOTAL</t>
  </si>
  <si>
    <t>Saint Paul College</t>
  </si>
  <si>
    <t>ANOKA TC</t>
  </si>
  <si>
    <t>METROPOLITAN SU</t>
  </si>
  <si>
    <t>SOUTHWEST MINNESOTA SU</t>
  </si>
  <si>
    <t>SAINT PAUL COLLEGE</t>
  </si>
  <si>
    <t>GFS 105 - excludes transfers, prior year salary, cost subsidies &amp; fiscal/auxiliary activities; instruction includes credit based; public service includes non credit and customized training/continuing education instruction; Other includes SGR appro and intercollegiate athletics</t>
  </si>
  <si>
    <t>NORTHWEST TC-BEMIDJI</t>
  </si>
  <si>
    <t>BEMIDJI SU &amp; NORTHWEST TC-BEMIDJI</t>
  </si>
  <si>
    <t>MINNESOTA SU MOORHEAD</t>
  </si>
  <si>
    <t>MINNESOTA SU, MANKATO</t>
  </si>
  <si>
    <t>MESABI RANGE COLLEGE</t>
  </si>
  <si>
    <t>VERMILION CC</t>
  </si>
  <si>
    <t>SOUTH CENTRAL COLLEGE</t>
  </si>
  <si>
    <t>MNSCU SYSTEM -- INCLUDES COST OF MnSCU SYSTEMWIDE/OFFICE OF THE CHANCELLOR &amp; NORTHEAST SERVICE UNIT</t>
  </si>
  <si>
    <t>South Central College</t>
  </si>
  <si>
    <t>ST CLOUD TCC</t>
  </si>
  <si>
    <t>Anoka Ramsey CC - Anoka TC</t>
  </si>
  <si>
    <t>ANOKA RAMSEY CC - ANOKA TC</t>
  </si>
  <si>
    <t>Alexandria Technical &amp; Community College</t>
  </si>
  <si>
    <t xml:space="preserve">    Anoka-Ramsey Community College</t>
  </si>
  <si>
    <t xml:space="preserve">    Anoka Technical College</t>
  </si>
  <si>
    <t xml:space="preserve">   Bemidji State University</t>
  </si>
  <si>
    <t xml:space="preserve">   Northwest Technical College-Bemidji</t>
  </si>
  <si>
    <t>Bemidji State University &amp; Northwest Technical College-Bemidji</t>
  </si>
  <si>
    <t>Fond du Lac Tribal &amp; Community College</t>
  </si>
  <si>
    <t>Hennepin Technical College</t>
  </si>
  <si>
    <t>Metropolitan State University</t>
  </si>
  <si>
    <t>Minneapolis Community &amp; Technical College</t>
  </si>
  <si>
    <t>Minnesota State College-Southeast Technical</t>
  </si>
  <si>
    <t>Minnesota State Community &amp; Technical College</t>
  </si>
  <si>
    <t>Normandale Community College</t>
  </si>
  <si>
    <t>North Hennepin Community College</t>
  </si>
  <si>
    <t>Northland Community &amp; Technical College</t>
  </si>
  <si>
    <t>Pine Technical &amp; Community College</t>
  </si>
  <si>
    <t>Riverland Community College</t>
  </si>
  <si>
    <t>Rochester Community &amp; Technical College</t>
  </si>
  <si>
    <t>Southwest Minnesota State University</t>
  </si>
  <si>
    <t>St. Cloud State University</t>
  </si>
  <si>
    <t>St. Cloud Technical &amp; Community College</t>
  </si>
  <si>
    <t>Winona State University</t>
  </si>
  <si>
    <t>ALEXANDRIA TCC</t>
  </si>
  <si>
    <t>MINNEAPOLIS CTC</t>
  </si>
  <si>
    <t>MINNESOTA SC-SOUTHEAST TECHNICAL</t>
  </si>
  <si>
    <t>MINNESOTA STATE CTC</t>
  </si>
  <si>
    <t>HIBBING COMMUNITY COLLEGE</t>
  </si>
  <si>
    <t>ITASCA COMMUNITY COLLEGE</t>
  </si>
  <si>
    <t>NORTHLAND CTC</t>
  </si>
  <si>
    <t>PINE TCC</t>
  </si>
  <si>
    <t>RIVERLAND CC</t>
  </si>
  <si>
    <t>ROCHESTER CTC</t>
  </si>
  <si>
    <t xml:space="preserve">Minnesota State </t>
  </si>
  <si>
    <t xml:space="preserve">   Dakota County Technical College</t>
  </si>
  <si>
    <t xml:space="preserve">   Inver Hills Community College</t>
  </si>
  <si>
    <t>Inver Hills CC - Dakota County TC</t>
  </si>
  <si>
    <t>INVER HILLS CC - DAKOTA COUNTY TC</t>
  </si>
  <si>
    <t>Minnesota North</t>
  </si>
  <si>
    <t>FY2022 FYE</t>
  </si>
  <si>
    <t>FY2023 Expenditures by IPEDS Category -- Used in Step Down</t>
  </si>
  <si>
    <t>FY2023 FYE</t>
  </si>
  <si>
    <t>MINNESOTA STATE - F.Y. 2023</t>
  </si>
  <si>
    <t>FP&amp;A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</si>
</sst>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_);[Red]\(#,##0.000\)"/>
  </numFmts>
  <fonts count="13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color indexed="8"/>
      <name val="MS Sans Serif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6" fillId="0" borderId="0"/>
  </cellStyleXfs>
  <cellXfs count="34">
    <xf numFmtId="0" fontId="0" fillId="0" borderId="0" xfId="0"/>
    <xf numFmtId="38" fontId="0" fillId="0" borderId="0" xfId="0" applyNumberFormat="1"/>
    <xf numFmtId="38" fontId="0" fillId="0" borderId="0" xfId="0" applyNumberFormat="1" applyAlignment="1">
      <alignment horizontal="center"/>
    </xf>
    <xf numFmtId="38" fontId="1" fillId="0" borderId="0" xfId="0" applyNumberFormat="1" applyFont="1"/>
    <xf numFmtId="38" fontId="2" fillId="0" borderId="0" xfId="0" applyNumberFormat="1" applyFont="1" applyAlignment="1">
      <alignment horizontal="centerContinuous"/>
    </xf>
    <xf numFmtId="0" fontId="3" fillId="0" borderId="0" xfId="0" applyFont="1"/>
    <xf numFmtId="38" fontId="0" fillId="0" borderId="0" xfId="0" applyNumberFormat="1" applyAlignment="1">
      <alignment horizontal="center" wrapText="1"/>
    </xf>
    <xf numFmtId="38" fontId="0" fillId="0" borderId="0" xfId="0" applyNumberFormat="1" applyAlignment="1">
      <alignment wrapText="1"/>
    </xf>
    <xf numFmtId="38" fontId="1" fillId="0" borderId="1" xfId="0" applyNumberFormat="1" applyFont="1" applyBorder="1" applyAlignment="1">
      <alignment horizontal="centerContinuous"/>
    </xf>
    <xf numFmtId="38" fontId="0" fillId="0" borderId="1" xfId="0" applyNumberFormat="1" applyBorder="1" applyAlignment="1">
      <alignment horizontal="centerContinuous"/>
    </xf>
    <xf numFmtId="0" fontId="4" fillId="0" borderId="0" xfId="0" applyFont="1"/>
    <xf numFmtId="0" fontId="7" fillId="0" borderId="0" xfId="0" applyFont="1"/>
    <xf numFmtId="0" fontId="5" fillId="0" borderId="3" xfId="2" applyFont="1" applyBorder="1" applyAlignment="1">
      <alignment horizontal="left" wrapText="1"/>
    </xf>
    <xf numFmtId="38" fontId="5" fillId="0" borderId="2" xfId="1" applyNumberFormat="1" applyFont="1" applyBorder="1" applyAlignment="1">
      <alignment horizontal="right" wrapText="1"/>
    </xf>
    <xf numFmtId="38" fontId="4" fillId="0" borderId="0" xfId="0" applyNumberFormat="1" applyFont="1"/>
    <xf numFmtId="38" fontId="9" fillId="0" borderId="0" xfId="0" applyNumberFormat="1" applyFont="1"/>
    <xf numFmtId="38" fontId="5" fillId="0" borderId="2" xfId="2" applyNumberFormat="1" applyFont="1" applyBorder="1" applyAlignment="1">
      <alignment horizontal="center" wrapText="1"/>
    </xf>
    <xf numFmtId="38" fontId="5" fillId="0" borderId="5" xfId="2" applyNumberFormat="1" applyFont="1" applyBorder="1" applyAlignment="1">
      <alignment horizontal="center" wrapText="1"/>
    </xf>
    <xf numFmtId="38" fontId="5" fillId="0" borderId="6" xfId="1" applyNumberFormat="1" applyFont="1" applyBorder="1" applyAlignment="1">
      <alignment horizontal="right" wrapText="1"/>
    </xf>
    <xf numFmtId="38" fontId="5" fillId="0" borderId="0" xfId="1" applyNumberFormat="1" applyFont="1" applyAlignment="1">
      <alignment horizontal="right" wrapText="1"/>
    </xf>
    <xf numFmtId="38" fontId="5" fillId="0" borderId="6" xfId="1" applyNumberFormat="1" applyFont="1" applyBorder="1"/>
    <xf numFmtId="38" fontId="5" fillId="0" borderId="2" xfId="2" applyNumberFormat="1" applyFont="1" applyBorder="1" applyAlignment="1">
      <alignment horizontal="right" wrapText="1"/>
    </xf>
    <xf numFmtId="0" fontId="12" fillId="0" borderId="0" xfId="0" applyFont="1"/>
    <xf numFmtId="38" fontId="4" fillId="0" borderId="4" xfId="0" applyNumberFormat="1" applyFont="1" applyBorder="1" applyAlignment="1">
      <alignment horizontal="right" wrapText="1"/>
    </xf>
    <xf numFmtId="0" fontId="5" fillId="0" borderId="2" xfId="2" applyFont="1" applyBorder="1" applyAlignment="1">
      <alignment horizontal="left" wrapText="1"/>
    </xf>
    <xf numFmtId="0" fontId="5" fillId="0" borderId="2" xfId="2" applyFont="1" applyBorder="1" applyAlignment="1">
      <alignment horizontal="center" wrapText="1"/>
    </xf>
    <xf numFmtId="38" fontId="4" fillId="0" borderId="2" xfId="0" applyNumberFormat="1" applyFont="1" applyBorder="1" applyAlignment="1">
      <alignment horizontal="center" wrapText="1"/>
    </xf>
    <xf numFmtId="49" fontId="10" fillId="0" borderId="0" xfId="0" applyNumberFormat="1" applyFont="1"/>
    <xf numFmtId="164" fontId="4" fillId="0" borderId="0" xfId="0" applyNumberFormat="1" applyFont="1"/>
    <xf numFmtId="0" fontId="4" fillId="0" borderId="0" xfId="0" applyFont="1" applyAlignment="1">
      <alignment wrapText="1"/>
    </xf>
    <xf numFmtId="38" fontId="5" fillId="0" borderId="6" xfId="1" applyNumberFormat="1" applyFont="1" applyFill="1" applyBorder="1" applyAlignment="1">
      <alignment horizontal="right" wrapText="1"/>
    </xf>
    <xf numFmtId="38" fontId="4" fillId="0" borderId="4" xfId="0" applyNumberFormat="1" applyFont="1" applyFill="1" applyBorder="1" applyAlignment="1">
      <alignment horizontal="right" wrapText="1"/>
    </xf>
    <xf numFmtId="0" fontId="4" fillId="0" borderId="0" xfId="0" applyFont="1" applyFill="1"/>
    <xf numFmtId="38" fontId="5" fillId="0" borderId="2" xfId="2" applyNumberFormat="1" applyFont="1" applyFill="1" applyBorder="1" applyAlignment="1">
      <alignment horizontal="right" wrapText="1"/>
    </xf>
  </cellXfs>
  <cellStyles count="3">
    <cellStyle name="Normal" xfId="0" builtinId="0"/>
    <cellStyle name="Normal_Master Expend Table" xfId="1" xr:uid="{00000000-0005-0000-0000-000002000000}"/>
    <cellStyle name="Normal_Sheet1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46"/>
  <sheetViews>
    <sheetView tabSelected="1" zoomScale="110" zoomScaleNormal="110" workbookViewId="0">
      <pane xSplit="1" ySplit="5" topLeftCell="B11" activePane="bottomRight" state="frozen"/>
      <selection pane="topRight" activeCell="B1" sqref="B1"/>
      <selection pane="bottomLeft" activeCell="A6" sqref="A6"/>
      <selection pane="bottomRight" activeCell="A43" sqref="A43:XFD43"/>
    </sheetView>
  </sheetViews>
  <sheetFormatPr defaultColWidth="9.140625" defaultRowHeight="12" x14ac:dyDescent="0.2"/>
  <cols>
    <col min="1" max="1" width="35.7109375" style="10" customWidth="1"/>
    <col min="2" max="2" width="11.42578125" style="14" customWidth="1"/>
    <col min="3" max="3" width="10.140625" style="14" customWidth="1"/>
    <col min="4" max="4" width="11.28515625" style="14" customWidth="1"/>
    <col min="5" max="5" width="10.140625" style="14" customWidth="1"/>
    <col min="6" max="6" width="2.7109375" style="14" customWidth="1"/>
    <col min="7" max="7" width="14.85546875" style="14" customWidth="1"/>
    <col min="8" max="8" width="13.7109375" style="14" customWidth="1"/>
    <col min="9" max="9" width="14.5703125" style="14" customWidth="1"/>
    <col min="10" max="10" width="11.7109375" style="14" customWidth="1"/>
    <col min="11" max="11" width="12.7109375" style="14" customWidth="1"/>
    <col min="12" max="12" width="2.28515625" style="10" customWidth="1"/>
    <col min="13" max="13" width="14" style="10" bestFit="1" customWidth="1"/>
    <col min="14" max="14" width="9.42578125" style="10" bestFit="1" customWidth="1"/>
    <col min="15" max="16384" width="9.140625" style="10"/>
  </cols>
  <sheetData>
    <row r="1" spans="1:14" ht="20.25" x14ac:dyDescent="0.3">
      <c r="A1" s="11" t="s">
        <v>97</v>
      </c>
      <c r="H1" s="15"/>
    </row>
    <row r="2" spans="1:14" x14ac:dyDescent="0.2">
      <c r="A2" s="11" t="s">
        <v>104</v>
      </c>
    </row>
    <row r="3" spans="1:14" ht="24" customHeight="1" x14ac:dyDescent="0.2">
      <c r="A3" s="29" t="s">
        <v>52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5" spans="1:14" ht="31.5" customHeight="1" x14ac:dyDescent="0.2">
      <c r="A5" s="25" t="s">
        <v>35</v>
      </c>
      <c r="B5" s="16" t="s">
        <v>36</v>
      </c>
      <c r="C5" s="16" t="s">
        <v>37</v>
      </c>
      <c r="D5" s="16" t="s">
        <v>14</v>
      </c>
      <c r="E5" s="16" t="s">
        <v>0</v>
      </c>
      <c r="F5" s="17"/>
      <c r="G5" s="16" t="s">
        <v>7</v>
      </c>
      <c r="H5" s="16" t="s">
        <v>38</v>
      </c>
      <c r="I5" s="16" t="s">
        <v>15</v>
      </c>
      <c r="J5" s="16" t="s">
        <v>3</v>
      </c>
      <c r="K5" s="26" t="s">
        <v>1</v>
      </c>
    </row>
    <row r="6" spans="1:14" ht="12" customHeight="1" x14ac:dyDescent="0.2">
      <c r="A6" s="12" t="s">
        <v>65</v>
      </c>
      <c r="B6" s="18">
        <v>12225516.640000001</v>
      </c>
      <c r="C6" s="18"/>
      <c r="D6" s="18">
        <v>772690.06</v>
      </c>
      <c r="E6" s="18">
        <f>477480.19+1259739.34</f>
        <v>1737219.53</v>
      </c>
      <c r="F6" s="19"/>
      <c r="G6" s="18">
        <v>2522355.9500000002</v>
      </c>
      <c r="H6" s="18">
        <v>3133967.68</v>
      </c>
      <c r="I6" s="18">
        <v>3635793.7</v>
      </c>
      <c r="J6" s="18">
        <v>2649713.65</v>
      </c>
      <c r="K6" s="23">
        <f t="shared" ref="K6:K41" si="0">SUM(B6:J6)</f>
        <v>26677257.209999997</v>
      </c>
    </row>
    <row r="7" spans="1:14" ht="12" customHeight="1" x14ac:dyDescent="0.2">
      <c r="A7" s="12" t="s">
        <v>63</v>
      </c>
      <c r="B7" s="18">
        <f>B8+B9</f>
        <v>33179996.299999997</v>
      </c>
      <c r="C7" s="18">
        <f>C8+C9</f>
        <v>44672.58</v>
      </c>
      <c r="D7" s="18">
        <f>D8+D9</f>
        <v>1072729.44</v>
      </c>
      <c r="E7" s="18">
        <f>E8+E9</f>
        <v>123751.43</v>
      </c>
      <c r="F7" s="19"/>
      <c r="G7" s="18">
        <f>G8+G9</f>
        <v>8739596.2200000007</v>
      </c>
      <c r="H7" s="18">
        <f>H8+H9</f>
        <v>7411975.3200000003</v>
      </c>
      <c r="I7" s="18">
        <f>I8+I9</f>
        <v>9617852.0500000007</v>
      </c>
      <c r="J7" s="18">
        <f>J8+J9</f>
        <v>7455657.5700000003</v>
      </c>
      <c r="K7" s="23">
        <f t="shared" si="0"/>
        <v>67646230.909999996</v>
      </c>
    </row>
    <row r="8" spans="1:14" ht="12" customHeight="1" x14ac:dyDescent="0.2">
      <c r="A8" s="24" t="s">
        <v>66</v>
      </c>
      <c r="B8" s="18">
        <v>24098613.149999999</v>
      </c>
      <c r="C8" s="18">
        <v>44672.58</v>
      </c>
      <c r="D8" s="18">
        <v>1072729.44</v>
      </c>
      <c r="E8" s="18">
        <f>127553.14-3801.71</f>
        <v>123751.43</v>
      </c>
      <c r="F8" s="19"/>
      <c r="G8" s="18">
        <v>7077816.4400000004</v>
      </c>
      <c r="H8" s="18">
        <v>5725848.71</v>
      </c>
      <c r="I8" s="18">
        <v>6786753.21</v>
      </c>
      <c r="J8" s="18">
        <v>5905661.3600000003</v>
      </c>
      <c r="K8" s="23">
        <f t="shared" si="0"/>
        <v>50835846.32</v>
      </c>
      <c r="M8" s="14"/>
    </row>
    <row r="9" spans="1:14" ht="12" customHeight="1" x14ac:dyDescent="0.2">
      <c r="A9" s="24" t="s">
        <v>67</v>
      </c>
      <c r="B9" s="18">
        <v>9081383.1500000004</v>
      </c>
      <c r="C9" s="20"/>
      <c r="D9" s="18"/>
      <c r="E9" s="18"/>
      <c r="F9" s="19"/>
      <c r="G9" s="18">
        <v>1661779.78</v>
      </c>
      <c r="H9" s="18">
        <v>1686126.61</v>
      </c>
      <c r="I9" s="18">
        <v>2831098.84</v>
      </c>
      <c r="J9" s="18">
        <v>1549996.21</v>
      </c>
      <c r="K9" s="23">
        <f t="shared" si="0"/>
        <v>16810384.59</v>
      </c>
      <c r="M9" s="28"/>
    </row>
    <row r="10" spans="1:14" ht="12" customHeight="1" x14ac:dyDescent="0.2">
      <c r="A10" s="24" t="s">
        <v>70</v>
      </c>
      <c r="B10" s="13">
        <f>SUM(B11:B12)</f>
        <v>29706818.199999999</v>
      </c>
      <c r="C10" s="13">
        <f>SUM(C11:C12)</f>
        <v>0</v>
      </c>
      <c r="D10" s="13">
        <f>SUM(D11:D12)</f>
        <v>141138.96</v>
      </c>
      <c r="E10" s="13">
        <f>SUM(E11:E12)</f>
        <v>5740682.7000000002</v>
      </c>
      <c r="F10" s="19"/>
      <c r="G10" s="13">
        <f>SUM(G11:G12)</f>
        <v>9883233.2100000009</v>
      </c>
      <c r="H10" s="13">
        <f>SUM(H11:H12)</f>
        <v>6346549.5599999996</v>
      </c>
      <c r="I10" s="13">
        <f>SUM(I11:I12)</f>
        <v>12862530.969999999</v>
      </c>
      <c r="J10" s="13">
        <f>SUM(J11:J12)</f>
        <v>8489804.4100000001</v>
      </c>
      <c r="K10" s="13">
        <f>SUM(K11:K12)</f>
        <v>73170758.010000005</v>
      </c>
    </row>
    <row r="11" spans="1:14" ht="12" customHeight="1" x14ac:dyDescent="0.2">
      <c r="A11" s="24" t="s">
        <v>68</v>
      </c>
      <c r="B11" s="18">
        <v>25674625.489999998</v>
      </c>
      <c r="C11" s="18"/>
      <c r="D11" s="18">
        <v>88782.94</v>
      </c>
      <c r="E11" s="18">
        <v>5740682.7000000002</v>
      </c>
      <c r="F11" s="19"/>
      <c r="G11" s="18">
        <v>8975763.9000000004</v>
      </c>
      <c r="H11" s="18">
        <v>5699605.4699999997</v>
      </c>
      <c r="I11" s="18">
        <v>10414220.1</v>
      </c>
      <c r="J11" s="18">
        <v>7842502.1100000003</v>
      </c>
      <c r="K11" s="23">
        <f>SUM(B11:J11)</f>
        <v>64436182.710000001</v>
      </c>
    </row>
    <row r="12" spans="1:14" ht="12" customHeight="1" x14ac:dyDescent="0.2">
      <c r="A12" s="24" t="s">
        <v>69</v>
      </c>
      <c r="B12" s="18">
        <v>4032192.71</v>
      </c>
      <c r="C12" s="20"/>
      <c r="D12" s="18">
        <v>52356.02</v>
      </c>
      <c r="E12" s="18"/>
      <c r="F12" s="19"/>
      <c r="G12" s="18">
        <v>907469.31</v>
      </c>
      <c r="H12" s="18">
        <v>646944.09</v>
      </c>
      <c r="I12" s="18">
        <v>2448310.87</v>
      </c>
      <c r="J12" s="18">
        <v>647302.30000000005</v>
      </c>
      <c r="K12" s="23">
        <f>SUM(B12:J12)</f>
        <v>8734575.3000000007</v>
      </c>
      <c r="N12" s="14"/>
    </row>
    <row r="13" spans="1:14" ht="12" customHeight="1" x14ac:dyDescent="0.2">
      <c r="A13" s="12" t="s">
        <v>39</v>
      </c>
      <c r="B13" s="18">
        <v>14567775.75</v>
      </c>
      <c r="C13" s="20"/>
      <c r="D13" s="18">
        <v>193635.91</v>
      </c>
      <c r="E13" s="18">
        <f>263082.38+1721.24</f>
        <v>264803.62</v>
      </c>
      <c r="F13" s="19"/>
      <c r="G13" s="18">
        <v>4235965.1500000004</v>
      </c>
      <c r="H13" s="18">
        <v>3745112.11</v>
      </c>
      <c r="I13" s="18">
        <v>3693265.88</v>
      </c>
      <c r="J13" s="18">
        <v>3107825.4</v>
      </c>
      <c r="K13" s="23">
        <f t="shared" si="0"/>
        <v>29808383.819999997</v>
      </c>
    </row>
    <row r="14" spans="1:14" ht="12" customHeight="1" x14ac:dyDescent="0.2">
      <c r="A14" s="12" t="s">
        <v>40</v>
      </c>
      <c r="B14" s="18">
        <v>29015154.530000001</v>
      </c>
      <c r="C14" s="20"/>
      <c r="D14" s="18">
        <v>1539110.17</v>
      </c>
      <c r="E14" s="18"/>
      <c r="F14" s="19"/>
      <c r="G14" s="18">
        <v>7983589.5599999996</v>
      </c>
      <c r="H14" s="18">
        <v>7512955.9699999997</v>
      </c>
      <c r="I14" s="18">
        <v>9827666.5399999991</v>
      </c>
      <c r="J14" s="18">
        <v>6886331.0999999996</v>
      </c>
      <c r="K14" s="23">
        <f t="shared" si="0"/>
        <v>62764807.870000005</v>
      </c>
    </row>
    <row r="15" spans="1:14" ht="12" customHeight="1" x14ac:dyDescent="0.2">
      <c r="A15" s="12" t="s">
        <v>100</v>
      </c>
      <c r="B15" s="18">
        <f>B16+B17</f>
        <v>24088104.350000001</v>
      </c>
      <c r="C15" s="18">
        <f t="shared" ref="C15:E15" si="1">C16+C17</f>
        <v>341.61</v>
      </c>
      <c r="D15" s="18">
        <f t="shared" si="1"/>
        <v>2935027.44</v>
      </c>
      <c r="E15" s="18">
        <f t="shared" si="1"/>
        <v>307143.51</v>
      </c>
      <c r="F15" s="19"/>
      <c r="G15" s="18">
        <f>G16+G17</f>
        <v>8871503.7699999996</v>
      </c>
      <c r="H15" s="18">
        <f t="shared" ref="H15:J15" si="2">H16+H17</f>
        <v>7576094.2300000004</v>
      </c>
      <c r="I15" s="18">
        <f t="shared" si="2"/>
        <v>9269023.1799999997</v>
      </c>
      <c r="J15" s="18">
        <f t="shared" si="2"/>
        <v>6893735.8300000001</v>
      </c>
      <c r="K15" s="18">
        <f>K16+K17</f>
        <v>59940973.920000002</v>
      </c>
    </row>
    <row r="16" spans="1:14" ht="12" customHeight="1" x14ac:dyDescent="0.2">
      <c r="A16" s="24" t="s">
        <v>98</v>
      </c>
      <c r="B16" s="18">
        <v>12119454.18</v>
      </c>
      <c r="C16" s="20">
        <v>341.61</v>
      </c>
      <c r="D16" s="18">
        <v>2738450.25</v>
      </c>
      <c r="E16" s="18">
        <v>306983.69</v>
      </c>
      <c r="F16" s="19"/>
      <c r="G16" s="18">
        <v>3470994.31</v>
      </c>
      <c r="H16" s="18">
        <v>3444970.74</v>
      </c>
      <c r="I16" s="18">
        <v>4699028.4800000004</v>
      </c>
      <c r="J16" s="18">
        <v>3910883.4</v>
      </c>
      <c r="K16" s="23">
        <f t="shared" si="0"/>
        <v>30691106.66</v>
      </c>
    </row>
    <row r="17" spans="1:12" ht="12" customHeight="1" x14ac:dyDescent="0.2">
      <c r="A17" s="24" t="s">
        <v>99</v>
      </c>
      <c r="B17" s="18">
        <v>11968650.17</v>
      </c>
      <c r="C17" s="20"/>
      <c r="D17" s="18">
        <v>196577.19</v>
      </c>
      <c r="E17" s="18">
        <v>159.82</v>
      </c>
      <c r="F17" s="19"/>
      <c r="G17" s="18">
        <v>5400509.46</v>
      </c>
      <c r="H17" s="18">
        <v>4131123.49</v>
      </c>
      <c r="I17" s="18">
        <v>4569994.7</v>
      </c>
      <c r="J17" s="18">
        <v>2982852.43</v>
      </c>
      <c r="K17" s="23">
        <f>SUM(B17:J17)</f>
        <v>29249867.260000002</v>
      </c>
    </row>
    <row r="18" spans="1:12" ht="12" customHeight="1" x14ac:dyDescent="0.2">
      <c r="A18" s="24" t="s">
        <v>71</v>
      </c>
      <c r="B18" s="18">
        <v>5461064.3200000003</v>
      </c>
      <c r="C18" s="18"/>
      <c r="D18" s="18"/>
      <c r="E18" s="20"/>
      <c r="F18" s="19"/>
      <c r="G18" s="18">
        <v>1499945.01</v>
      </c>
      <c r="H18" s="18">
        <v>1006598.66</v>
      </c>
      <c r="I18" s="18">
        <v>1698726.81</v>
      </c>
      <c r="J18" s="18">
        <v>1047557.27</v>
      </c>
      <c r="K18" s="23">
        <f t="shared" si="0"/>
        <v>10713892.07</v>
      </c>
    </row>
    <row r="19" spans="1:12" ht="12" customHeight="1" x14ac:dyDescent="0.2">
      <c r="A19" s="24" t="s">
        <v>72</v>
      </c>
      <c r="B19" s="18">
        <v>19780182.969999999</v>
      </c>
      <c r="C19" s="18"/>
      <c r="D19" s="18">
        <v>1531887.59</v>
      </c>
      <c r="E19" s="18"/>
      <c r="F19" s="19"/>
      <c r="G19" s="18">
        <v>5525599.3700000001</v>
      </c>
      <c r="H19" s="18">
        <v>5883432.3899999997</v>
      </c>
      <c r="I19" s="18">
        <v>6635293.2199999997</v>
      </c>
      <c r="J19" s="18">
        <v>5026309.72</v>
      </c>
      <c r="K19" s="23">
        <f t="shared" si="0"/>
        <v>44382705.259999998</v>
      </c>
    </row>
    <row r="20" spans="1:12" ht="12" customHeight="1" x14ac:dyDescent="0.2">
      <c r="A20" s="12" t="s">
        <v>41</v>
      </c>
      <c r="B20" s="18">
        <v>16466154.57</v>
      </c>
      <c r="C20" s="18"/>
      <c r="D20" s="18">
        <v>2934563.11</v>
      </c>
      <c r="E20" s="18"/>
      <c r="F20" s="19"/>
      <c r="G20" s="18">
        <v>3162318.33</v>
      </c>
      <c r="H20" s="18">
        <v>3064930.36</v>
      </c>
      <c r="I20" s="18">
        <v>4876742.74</v>
      </c>
      <c r="J20" s="18">
        <v>4269051.0999999996</v>
      </c>
      <c r="K20" s="23">
        <f t="shared" si="0"/>
        <v>34773760.210000001</v>
      </c>
    </row>
    <row r="21" spans="1:12" ht="12" customHeight="1" x14ac:dyDescent="0.2">
      <c r="A21" s="24" t="s">
        <v>73</v>
      </c>
      <c r="B21" s="18">
        <v>31591907.719999999</v>
      </c>
      <c r="C21" s="18">
        <v>599502.82999999996</v>
      </c>
      <c r="D21" s="18">
        <v>97816.25</v>
      </c>
      <c r="E21" s="18"/>
      <c r="F21" s="19"/>
      <c r="G21" s="18">
        <v>24724962.359999999</v>
      </c>
      <c r="H21" s="18">
        <v>5477432.2000000002</v>
      </c>
      <c r="I21" s="18">
        <v>19697790.309999999</v>
      </c>
      <c r="J21" s="18">
        <v>7145033.1699999999</v>
      </c>
      <c r="K21" s="23">
        <f t="shared" si="0"/>
        <v>89334444.840000004</v>
      </c>
    </row>
    <row r="22" spans="1:12" ht="12" customHeight="1" x14ac:dyDescent="0.2">
      <c r="A22" s="24" t="s">
        <v>74</v>
      </c>
      <c r="B22" s="18">
        <v>20964539.98</v>
      </c>
      <c r="C22" s="20"/>
      <c r="D22" s="18">
        <v>943662.01</v>
      </c>
      <c r="E22" s="18"/>
      <c r="F22" s="19"/>
      <c r="G22" s="18">
        <v>7905553.5300000003</v>
      </c>
      <c r="H22" s="18">
        <v>6908480.6200000001</v>
      </c>
      <c r="I22" s="18">
        <v>7292070.6900000004</v>
      </c>
      <c r="J22" s="18">
        <v>6761872.5800000001</v>
      </c>
      <c r="K22" s="23">
        <f t="shared" si="0"/>
        <v>50776179.409999996</v>
      </c>
    </row>
    <row r="23" spans="1:12" ht="12" customHeight="1" x14ac:dyDescent="0.2">
      <c r="A23" s="24" t="s">
        <v>75</v>
      </c>
      <c r="B23" s="18">
        <v>7854065.4299999997</v>
      </c>
      <c r="C23" s="18"/>
      <c r="D23" s="18">
        <v>448444.76</v>
      </c>
      <c r="E23" s="18">
        <v>42038.77</v>
      </c>
      <c r="F23" s="19"/>
      <c r="G23" s="18">
        <v>2381452.7799999998</v>
      </c>
      <c r="H23" s="18">
        <v>1742450.32</v>
      </c>
      <c r="I23" s="30">
        <v>3253984.79</v>
      </c>
      <c r="J23" s="30">
        <v>1688235.36</v>
      </c>
      <c r="K23" s="31">
        <f t="shared" si="0"/>
        <v>17410672.209999997</v>
      </c>
      <c r="L23" s="32"/>
    </row>
    <row r="24" spans="1:12" ht="12" customHeight="1" x14ac:dyDescent="0.2">
      <c r="A24" s="24" t="s">
        <v>76</v>
      </c>
      <c r="B24" s="18">
        <v>19339767.690000001</v>
      </c>
      <c r="C24" s="20">
        <v>354975.1</v>
      </c>
      <c r="D24" s="18">
        <v>2051322.36</v>
      </c>
      <c r="E24" s="18">
        <v>39472.26</v>
      </c>
      <c r="F24" s="19"/>
      <c r="G24" s="18">
        <v>4728063.46</v>
      </c>
      <c r="H24" s="18">
        <v>6710709.7400000002</v>
      </c>
      <c r="I24" s="30">
        <v>7119891.0300000003</v>
      </c>
      <c r="J24" s="30">
        <v>4264236.4800000004</v>
      </c>
      <c r="K24" s="31">
        <f t="shared" si="0"/>
        <v>44608438.120000005</v>
      </c>
      <c r="L24" s="32"/>
    </row>
    <row r="25" spans="1:12" ht="12" customHeight="1" x14ac:dyDescent="0.2">
      <c r="A25" s="12" t="s">
        <v>42</v>
      </c>
      <c r="B25" s="18">
        <v>30836501.879999999</v>
      </c>
      <c r="C25" s="18"/>
      <c r="D25" s="18">
        <v>707693.88</v>
      </c>
      <c r="E25" s="18">
        <v>3349781.57</v>
      </c>
      <c r="F25" s="19"/>
      <c r="G25" s="18">
        <v>12862147.59</v>
      </c>
      <c r="H25" s="18">
        <v>9440647.0999999996</v>
      </c>
      <c r="I25" s="30">
        <v>8404200.3800000008</v>
      </c>
      <c r="J25" s="30">
        <v>8204495.1900000004</v>
      </c>
      <c r="K25" s="31">
        <f>SUM(B25:J25)</f>
        <v>73805467.590000004</v>
      </c>
      <c r="L25" s="32"/>
    </row>
    <row r="26" spans="1:12" ht="12" customHeight="1" x14ac:dyDescent="0.2">
      <c r="A26" s="12" t="s">
        <v>43</v>
      </c>
      <c r="B26" s="18">
        <v>99563665.780000001</v>
      </c>
      <c r="C26" s="18">
        <v>1493000.43</v>
      </c>
      <c r="D26" s="18">
        <v>2052394.07</v>
      </c>
      <c r="E26" s="18">
        <f>7939430.07+1322152.83</f>
        <v>9261582.9000000004</v>
      </c>
      <c r="F26" s="19"/>
      <c r="G26" s="18">
        <v>34008321.210000001</v>
      </c>
      <c r="H26" s="18">
        <v>23487717.609999999</v>
      </c>
      <c r="I26" s="30">
        <v>24983647.48</v>
      </c>
      <c r="J26" s="30">
        <v>18483401.32</v>
      </c>
      <c r="K26" s="31">
        <f t="shared" si="0"/>
        <v>213333730.79999998</v>
      </c>
      <c r="L26" s="32"/>
    </row>
    <row r="27" spans="1:12" ht="12" customHeight="1" x14ac:dyDescent="0.2">
      <c r="A27" s="12" t="s">
        <v>44</v>
      </c>
      <c r="B27" s="18">
        <v>12861501.380000001</v>
      </c>
      <c r="C27" s="18">
        <v>71945.62</v>
      </c>
      <c r="D27" s="18">
        <v>1345328.29</v>
      </c>
      <c r="E27" s="18">
        <v>346905.21</v>
      </c>
      <c r="F27" s="19"/>
      <c r="G27" s="18">
        <v>2892233.28</v>
      </c>
      <c r="H27" s="18">
        <v>4186153.14</v>
      </c>
      <c r="I27" s="30">
        <v>3479985.33</v>
      </c>
      <c r="J27" s="30">
        <v>3027586.51</v>
      </c>
      <c r="K27" s="31">
        <f t="shared" si="0"/>
        <v>28211638.759999998</v>
      </c>
      <c r="L27" s="32"/>
    </row>
    <row r="28" spans="1:12" x14ac:dyDescent="0.2">
      <c r="A28" s="24" t="s">
        <v>77</v>
      </c>
      <c r="B28" s="18">
        <v>28099536</v>
      </c>
      <c r="C28" s="20">
        <v>134358.57</v>
      </c>
      <c r="D28" s="18">
        <v>707535.37</v>
      </c>
      <c r="E28" s="18"/>
      <c r="F28" s="19"/>
      <c r="G28" s="18">
        <v>13711982.220000001</v>
      </c>
      <c r="H28" s="18">
        <v>7265824.2999999998</v>
      </c>
      <c r="I28" s="30">
        <v>9599864.4000000004</v>
      </c>
      <c r="J28" s="30">
        <v>6280635.8399999999</v>
      </c>
      <c r="K28" s="31">
        <f t="shared" si="0"/>
        <v>65799736.700000003</v>
      </c>
      <c r="L28" s="32"/>
    </row>
    <row r="29" spans="1:12" ht="12" customHeight="1" x14ac:dyDescent="0.2">
      <c r="A29" s="24" t="s">
        <v>78</v>
      </c>
      <c r="B29" s="18">
        <v>16968224.359999999</v>
      </c>
      <c r="C29" s="18"/>
      <c r="D29" s="18"/>
      <c r="E29" s="20"/>
      <c r="F29" s="19"/>
      <c r="G29" s="18">
        <v>7559248.8200000003</v>
      </c>
      <c r="H29" s="18">
        <v>5070357.66</v>
      </c>
      <c r="I29" s="30">
        <v>5379678</v>
      </c>
      <c r="J29" s="30">
        <v>4273272.51</v>
      </c>
      <c r="K29" s="31">
        <f t="shared" si="0"/>
        <v>39250781.350000001</v>
      </c>
      <c r="L29" s="32"/>
    </row>
    <row r="30" spans="1:12" ht="12" customHeight="1" x14ac:dyDescent="0.2">
      <c r="A30" s="12" t="s">
        <v>102</v>
      </c>
      <c r="B30" s="21">
        <v>16595100.33</v>
      </c>
      <c r="C30" s="21">
        <v>25024.98</v>
      </c>
      <c r="D30" s="21">
        <v>1317679.77</v>
      </c>
      <c r="E30" s="21">
        <f>1748404.77+843475.24</f>
        <v>2591880.0099999998</v>
      </c>
      <c r="G30" s="21">
        <v>2270623.52</v>
      </c>
      <c r="H30" s="21">
        <v>4746208.91</v>
      </c>
      <c r="I30" s="33">
        <v>6831676.4900000002</v>
      </c>
      <c r="J30" s="33">
        <v>5557629.96</v>
      </c>
      <c r="K30" s="31">
        <f t="shared" si="0"/>
        <v>39935823.970000006</v>
      </c>
      <c r="L30" s="32"/>
    </row>
    <row r="31" spans="1:12" ht="12" customHeight="1" x14ac:dyDescent="0.2">
      <c r="A31" s="24" t="s">
        <v>79</v>
      </c>
      <c r="B31" s="18">
        <v>12187670.970000001</v>
      </c>
      <c r="C31" s="18">
        <v>8657.59</v>
      </c>
      <c r="D31" s="18">
        <v>215415.11</v>
      </c>
      <c r="E31" s="18">
        <v>208888.56</v>
      </c>
      <c r="F31" s="19"/>
      <c r="G31" s="18">
        <v>3761022.92</v>
      </c>
      <c r="H31" s="18">
        <v>3085942.26</v>
      </c>
      <c r="I31" s="30">
        <v>3300996</v>
      </c>
      <c r="J31" s="30">
        <v>2694136.25</v>
      </c>
      <c r="K31" s="31">
        <f t="shared" si="0"/>
        <v>25462729.66</v>
      </c>
      <c r="L31" s="32"/>
    </row>
    <row r="32" spans="1:12" ht="12" customHeight="1" x14ac:dyDescent="0.2">
      <c r="A32" s="24" t="s">
        <v>80</v>
      </c>
      <c r="B32" s="18">
        <v>4347397.1100000003</v>
      </c>
      <c r="C32" s="20"/>
      <c r="D32" s="18">
        <v>535849.25</v>
      </c>
      <c r="E32" s="18"/>
      <c r="F32" s="19"/>
      <c r="G32" s="18">
        <v>1140216.03</v>
      </c>
      <c r="H32" s="18">
        <v>1568683.44</v>
      </c>
      <c r="I32" s="30">
        <v>1964091.04</v>
      </c>
      <c r="J32" s="30">
        <v>1150414.8700000001</v>
      </c>
      <c r="K32" s="31">
        <f t="shared" si="0"/>
        <v>10706651.740000002</v>
      </c>
      <c r="L32" s="32"/>
    </row>
    <row r="33" spans="1:12" ht="12" customHeight="1" x14ac:dyDescent="0.2">
      <c r="A33" s="24" t="s">
        <v>45</v>
      </c>
      <c r="B33" s="18">
        <v>16321159.029999999</v>
      </c>
      <c r="C33" s="20"/>
      <c r="D33" s="18">
        <v>2251657.66</v>
      </c>
      <c r="E33" s="18">
        <v>725.22</v>
      </c>
      <c r="F33" s="19"/>
      <c r="G33" s="18">
        <v>2761743.88</v>
      </c>
      <c r="H33" s="18">
        <v>4379157.45</v>
      </c>
      <c r="I33" s="30">
        <v>4355290.67</v>
      </c>
      <c r="J33" s="30">
        <v>4097137.84</v>
      </c>
      <c r="K33" s="31">
        <f t="shared" si="0"/>
        <v>34166871.75</v>
      </c>
      <c r="L33" s="32"/>
    </row>
    <row r="34" spans="1:12" ht="12" customHeight="1" x14ac:dyDescent="0.2">
      <c r="A34" s="24" t="s">
        <v>81</v>
      </c>
      <c r="B34" s="18">
        <v>11322385.689999999</v>
      </c>
      <c r="C34" s="20"/>
      <c r="D34" s="18">
        <v>620921.77</v>
      </c>
      <c r="E34" s="18">
        <v>93068.18</v>
      </c>
      <c r="F34" s="19"/>
      <c r="G34" s="18">
        <v>3221500.66</v>
      </c>
      <c r="H34" s="18">
        <v>3881164.44</v>
      </c>
      <c r="I34" s="30">
        <v>5047998.47</v>
      </c>
      <c r="J34" s="30">
        <v>2925331.77</v>
      </c>
      <c r="K34" s="31">
        <f t="shared" si="0"/>
        <v>27112370.979999997</v>
      </c>
      <c r="L34" s="32"/>
    </row>
    <row r="35" spans="1:12" ht="12" customHeight="1" x14ac:dyDescent="0.2">
      <c r="A35" s="24" t="s">
        <v>82</v>
      </c>
      <c r="B35" s="18">
        <v>18226753.390000001</v>
      </c>
      <c r="C35" s="20"/>
      <c r="D35" s="18">
        <v>285150.03999999998</v>
      </c>
      <c r="E35" s="18">
        <v>211012.35</v>
      </c>
      <c r="F35" s="19"/>
      <c r="G35" s="18">
        <v>6366257.6100000003</v>
      </c>
      <c r="H35" s="18">
        <v>3368641.4</v>
      </c>
      <c r="I35" s="30">
        <v>5812111.46</v>
      </c>
      <c r="J35" s="30">
        <v>6392196.8499999996</v>
      </c>
      <c r="K35" s="31">
        <f t="shared" si="0"/>
        <v>40662123.100000001</v>
      </c>
      <c r="L35" s="32"/>
    </row>
    <row r="36" spans="1:12" ht="12" customHeight="1" x14ac:dyDescent="0.2">
      <c r="A36" s="24" t="s">
        <v>47</v>
      </c>
      <c r="B36" s="18">
        <v>21226502.449999999</v>
      </c>
      <c r="C36" s="18"/>
      <c r="D36" s="18">
        <v>1340287.21</v>
      </c>
      <c r="E36" s="18"/>
      <c r="F36" s="19"/>
      <c r="G36" s="18">
        <v>4913297.3499999996</v>
      </c>
      <c r="H36" s="18">
        <v>7200503.46</v>
      </c>
      <c r="I36" s="30">
        <v>9103344.4600000009</v>
      </c>
      <c r="J36" s="30">
        <v>4960151.49</v>
      </c>
      <c r="K36" s="31">
        <f t="shared" si="0"/>
        <v>48744086.420000002</v>
      </c>
      <c r="L36" s="32"/>
    </row>
    <row r="37" spans="1:12" ht="12" customHeight="1" x14ac:dyDescent="0.2">
      <c r="A37" s="24" t="s">
        <v>61</v>
      </c>
      <c r="B37" s="18">
        <v>12934007.23</v>
      </c>
      <c r="C37" s="20"/>
      <c r="D37" s="18">
        <v>1670053.82</v>
      </c>
      <c r="E37" s="18">
        <v>174453.62</v>
      </c>
      <c r="F37" s="19"/>
      <c r="G37" s="18">
        <v>4581439.03</v>
      </c>
      <c r="H37" s="18">
        <v>4498699.05</v>
      </c>
      <c r="I37" s="30">
        <v>4321909.62</v>
      </c>
      <c r="J37" s="30">
        <v>2738089.59</v>
      </c>
      <c r="K37" s="31">
        <f t="shared" si="0"/>
        <v>30918651.960000001</v>
      </c>
      <c r="L37" s="32"/>
    </row>
    <row r="38" spans="1:12" ht="12" customHeight="1" x14ac:dyDescent="0.2">
      <c r="A38" s="24" t="s">
        <v>83</v>
      </c>
      <c r="B38" s="18">
        <v>17695777.59</v>
      </c>
      <c r="C38" s="18">
        <v>86835.75</v>
      </c>
      <c r="D38" s="18">
        <v>106620.13</v>
      </c>
      <c r="E38" s="18">
        <v>3695824.72</v>
      </c>
      <c r="F38" s="19"/>
      <c r="G38" s="18">
        <v>6266166.8600000003</v>
      </c>
      <c r="H38" s="18">
        <v>6842827.8399999999</v>
      </c>
      <c r="I38" s="30">
        <v>6594888.4800000004</v>
      </c>
      <c r="J38" s="30">
        <v>4458052.88</v>
      </c>
      <c r="K38" s="31">
        <f t="shared" si="0"/>
        <v>45746994.250000007</v>
      </c>
      <c r="L38" s="32"/>
    </row>
    <row r="39" spans="1:12" ht="12" customHeight="1" x14ac:dyDescent="0.2">
      <c r="A39" s="24" t="s">
        <v>84</v>
      </c>
      <c r="B39" s="18">
        <v>65213100.039999999</v>
      </c>
      <c r="C39" s="18">
        <v>698071.9</v>
      </c>
      <c r="D39" s="18">
        <f>2034594.14</f>
        <v>2034594.14</v>
      </c>
      <c r="E39" s="18">
        <f>5607523.63+72372.2</f>
        <v>5679895.8300000001</v>
      </c>
      <c r="F39" s="19"/>
      <c r="G39" s="18">
        <v>22423199.079999998</v>
      </c>
      <c r="H39" s="18">
        <v>10785445.470000001</v>
      </c>
      <c r="I39" s="30">
        <v>24226593.75</v>
      </c>
      <c r="J39" s="30">
        <v>14638363.560000001</v>
      </c>
      <c r="K39" s="31">
        <f t="shared" si="0"/>
        <v>145699263.76999998</v>
      </c>
      <c r="L39" s="32"/>
    </row>
    <row r="40" spans="1:12" ht="12" customHeight="1" x14ac:dyDescent="0.2">
      <c r="A40" s="24" t="s">
        <v>85</v>
      </c>
      <c r="B40" s="18">
        <v>16562619.65</v>
      </c>
      <c r="C40" s="20"/>
      <c r="D40" s="18">
        <v>908836.37</v>
      </c>
      <c r="E40" s="18">
        <v>994540.46</v>
      </c>
      <c r="F40" s="19"/>
      <c r="G40" s="18">
        <v>3860615.89</v>
      </c>
      <c r="H40" s="18">
        <v>3910079.28</v>
      </c>
      <c r="I40" s="30">
        <v>5146494.1500000004</v>
      </c>
      <c r="J40" s="30">
        <v>5190677.01</v>
      </c>
      <c r="K40" s="31">
        <f t="shared" si="0"/>
        <v>36573862.810000002</v>
      </c>
      <c r="L40" s="32"/>
    </row>
    <row r="41" spans="1:12" ht="12" customHeight="1" x14ac:dyDescent="0.2">
      <c r="A41" s="24" t="s">
        <v>86</v>
      </c>
      <c r="B41" s="18">
        <v>47988296.560000002</v>
      </c>
      <c r="C41" s="18">
        <v>62204.81</v>
      </c>
      <c r="D41" s="18">
        <v>220801.6</v>
      </c>
      <c r="E41" s="18">
        <v>3434327.85</v>
      </c>
      <c r="F41" s="19"/>
      <c r="G41" s="18">
        <v>13607265.77</v>
      </c>
      <c r="H41" s="18">
        <v>6912434.3700000001</v>
      </c>
      <c r="I41" s="18">
        <v>16635820.43</v>
      </c>
      <c r="J41" s="18">
        <v>9933798.4900000002</v>
      </c>
      <c r="K41" s="23">
        <f t="shared" si="0"/>
        <v>98794949.88000001</v>
      </c>
    </row>
    <row r="43" spans="1:12" hidden="1" x14ac:dyDescent="0.2">
      <c r="A43" s="10" t="s">
        <v>46</v>
      </c>
      <c r="B43" s="14">
        <f>SUM(B6:B42)-B7-B10-B15</f>
        <v>713191247.89000022</v>
      </c>
      <c r="C43" s="14">
        <f>SUM(C6:C42)-C7-C10-C15</f>
        <v>3579591.7699999996</v>
      </c>
      <c r="D43" s="14">
        <f>SUM(D6:D42)-D7-D10-D15</f>
        <v>30982846.539999995</v>
      </c>
      <c r="E43" s="14">
        <f>SUM(E6:E42)-E7-E10-E15</f>
        <v>38297998.299999997</v>
      </c>
      <c r="G43" s="14">
        <f>SUM(G6:G42)-G7-G10-G15</f>
        <v>238371420.42000002</v>
      </c>
      <c r="H43" s="14">
        <f>SUM(H6:H42)-H7-H10-H15</f>
        <v>177151176.34</v>
      </c>
      <c r="I43" s="14">
        <f>SUM(I6:I42)-I7-I10-I15</f>
        <v>244669222.52000001</v>
      </c>
      <c r="J43" s="14">
        <f>SUM(J6:J42)-J7-J10-J15</f>
        <v>170690735.57000005</v>
      </c>
      <c r="K43" s="14">
        <f>SUM(K6:K42)-K7-K10-K15</f>
        <v>1616934239.3500001</v>
      </c>
    </row>
    <row r="45" spans="1:12" x14ac:dyDescent="0.2">
      <c r="A45" s="27" t="s">
        <v>107</v>
      </c>
    </row>
    <row r="46" spans="1:12" x14ac:dyDescent="0.2">
      <c r="A46" s="27"/>
    </row>
  </sheetData>
  <mergeCells count="1">
    <mergeCell ref="A3:K3"/>
  </mergeCells>
  <phoneticPr fontId="0" type="noConversion"/>
  <pageMargins left="0.36" right="0.11" top="0.45" bottom="0.17" header="0.19" footer="0.17"/>
  <pageSetup scale="8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10" width="10.28515625" style="1" customWidth="1"/>
    <col min="11" max="11" width="10.7109375" style="1" customWidth="1"/>
  </cols>
  <sheetData>
    <row r="1" spans="1:11" ht="15.75" x14ac:dyDescent="0.25">
      <c r="A1" s="4" t="str">
        <f>+System!$A$1</f>
        <v>MINNESOTA STATE - F.Y. 2023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20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Table'!B13</f>
        <v>14567775.75</v>
      </c>
      <c r="C9" s="1">
        <f>'Master Expend Table'!C13</f>
        <v>0</v>
      </c>
      <c r="D9" s="1">
        <f>'Master Expend Table'!D13</f>
        <v>193635.91</v>
      </c>
      <c r="E9" s="1">
        <f>'Master Expend Table'!E13</f>
        <v>264803.62</v>
      </c>
      <c r="G9" s="1">
        <f>'Master Expend Table'!G13</f>
        <v>4235965.1500000004</v>
      </c>
      <c r="H9" s="1">
        <f>'Master Expend Table'!H13</f>
        <v>3745112.11</v>
      </c>
      <c r="I9" s="1">
        <f>'Master Expend Table'!I13</f>
        <v>3693265.88</v>
      </c>
      <c r="J9" s="1">
        <f>'Master Expend Table'!J13</f>
        <v>3107825.4</v>
      </c>
      <c r="K9" s="1">
        <f>SUM(B9:J9)</f>
        <v>29808383.819999997</v>
      </c>
    </row>
    <row r="11" spans="1:11" x14ac:dyDescent="0.2">
      <c r="A11" t="s">
        <v>3</v>
      </c>
      <c r="B11" s="1">
        <f>(B9/($K9-$J9))*-$J$11</f>
        <v>1695623.8437111329</v>
      </c>
      <c r="C11" s="1">
        <f t="shared" ref="C11:I11" si="0">(C9/($K9-$J9))*-$J$11</f>
        <v>0</v>
      </c>
      <c r="D11" s="1">
        <f t="shared" si="0"/>
        <v>22538.3525686619</v>
      </c>
      <c r="E11" s="1">
        <f t="shared" si="0"/>
        <v>30821.955230401058</v>
      </c>
      <c r="G11" s="1">
        <f t="shared" si="0"/>
        <v>493047.36925741087</v>
      </c>
      <c r="H11" s="1">
        <f t="shared" si="0"/>
        <v>435914.27408451913</v>
      </c>
      <c r="I11" s="1">
        <f t="shared" si="0"/>
        <v>429879.60514787433</v>
      </c>
      <c r="J11" s="1">
        <f>-J9</f>
        <v>-3107825.4</v>
      </c>
      <c r="K11" s="1">
        <v>0</v>
      </c>
    </row>
    <row r="12" spans="1:11" x14ac:dyDescent="0.2">
      <c r="A12" t="s">
        <v>4</v>
      </c>
      <c r="B12" s="1">
        <f>+B9+B11</f>
        <v>16263399.593711132</v>
      </c>
      <c r="C12" s="1">
        <f t="shared" ref="C12:J12" si="1">+C9+C11</f>
        <v>0</v>
      </c>
      <c r="D12" s="1">
        <f t="shared" si="1"/>
        <v>216174.26256866191</v>
      </c>
      <c r="E12" s="1">
        <f t="shared" si="1"/>
        <v>295625.57523040107</v>
      </c>
      <c r="G12" s="1">
        <f t="shared" si="1"/>
        <v>4729012.5192574114</v>
      </c>
      <c r="H12" s="1">
        <f t="shared" si="1"/>
        <v>4181026.384084519</v>
      </c>
      <c r="I12" s="1">
        <f t="shared" si="1"/>
        <v>4123145.4851478743</v>
      </c>
      <c r="J12" s="1">
        <f t="shared" si="1"/>
        <v>0</v>
      </c>
      <c r="K12" s="1">
        <f>SUM(B12:J12)</f>
        <v>29808383.82</v>
      </c>
    </row>
    <row r="14" spans="1:11" x14ac:dyDescent="0.2">
      <c r="A14" t="s">
        <v>5</v>
      </c>
      <c r="B14" s="1">
        <f>B$9/($K$9-$J$9-$I$9)*-I14</f>
        <v>2610696.5305818291</v>
      </c>
      <c r="C14" s="1">
        <f t="shared" ref="C14:H14" si="2">C$9/($K$9-$J$9-$I$9)*-$I$14</f>
        <v>0</v>
      </c>
      <c r="D14" s="1">
        <f t="shared" si="2"/>
        <v>34701.563719022459</v>
      </c>
      <c r="E14" s="1">
        <f t="shared" si="2"/>
        <v>47455.555596365426</v>
      </c>
      <c r="G14" s="1">
        <f t="shared" si="2"/>
        <v>759128.89589685888</v>
      </c>
      <c r="H14" s="1">
        <f t="shared" si="2"/>
        <v>671162.93935379887</v>
      </c>
      <c r="I14" s="1">
        <f>-I12</f>
        <v>-4123145.4851478743</v>
      </c>
      <c r="K14" s="1">
        <v>0</v>
      </c>
    </row>
    <row r="15" spans="1:11" x14ac:dyDescent="0.2">
      <c r="A15" t="s">
        <v>4</v>
      </c>
      <c r="B15" s="1">
        <f>+B12+B14</f>
        <v>18874096.124292962</v>
      </c>
      <c r="C15" s="1">
        <f>+C12+C14</f>
        <v>0</v>
      </c>
      <c r="D15" s="1">
        <f>+D12+D14</f>
        <v>250875.82628768438</v>
      </c>
      <c r="E15" s="1">
        <f>+E12+E14</f>
        <v>343081.13082676649</v>
      </c>
      <c r="G15" s="1">
        <f>+G12+G14</f>
        <v>5488141.4151542699</v>
      </c>
      <c r="H15" s="1">
        <f>+H12+H14</f>
        <v>4852189.3234383175</v>
      </c>
      <c r="I15" s="1">
        <f>+I12+I14</f>
        <v>0</v>
      </c>
      <c r="J15" s="1">
        <f>+J12+J14</f>
        <v>0</v>
      </c>
      <c r="K15" s="1">
        <f>SUM(B15:J15)</f>
        <v>29808383.82</v>
      </c>
    </row>
    <row r="17" spans="1:11" x14ac:dyDescent="0.2">
      <c r="A17" t="s">
        <v>6</v>
      </c>
      <c r="B17" s="1">
        <f>B$9/($K$9-$J$9-$I$9-$H$9)*-$H$17</f>
        <v>3669657.5560212228</v>
      </c>
      <c r="C17" s="1">
        <f>C$9/($K$9-$J$9-$I$9-$H$9)*-$H$17</f>
        <v>0</v>
      </c>
      <c r="D17" s="1">
        <f>D$9/($K$9-$J$9-$I$9-$H$9)*-$H$17</f>
        <v>48777.348885847969</v>
      </c>
      <c r="E17" s="1">
        <f>E$9/($K$9-$J$9-$I$9-$H$9)*-$H$17</f>
        <v>66704.665260568188</v>
      </c>
      <c r="G17" s="1">
        <f>G$9/($K$9-$J$9-$I$9-$H$9)*-$H$17</f>
        <v>1067049.7532706787</v>
      </c>
      <c r="H17" s="1">
        <f>-H15</f>
        <v>-4852189.3234383175</v>
      </c>
      <c r="K17" s="1">
        <v>0</v>
      </c>
    </row>
    <row r="18" spans="1:11" x14ac:dyDescent="0.2">
      <c r="A18" t="s">
        <v>4</v>
      </c>
      <c r="B18" s="1">
        <f>+B15+B17</f>
        <v>22543753.680314183</v>
      </c>
      <c r="C18" s="1">
        <f>+C15+C17</f>
        <v>0</v>
      </c>
      <c r="D18" s="1">
        <f>+D15+D17</f>
        <v>299653.17517353233</v>
      </c>
      <c r="E18" s="1">
        <f>+E15+E17</f>
        <v>409785.79608733469</v>
      </c>
      <c r="G18" s="1">
        <f>+G15+G17</f>
        <v>6555191.168424949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29808383.82</v>
      </c>
    </row>
    <row r="20" spans="1:11" x14ac:dyDescent="0.2">
      <c r="A20" t="s">
        <v>7</v>
      </c>
      <c r="B20" s="1">
        <f>B$9/($K$9-$J$9-$I$9-$H$9-$G$9)*-$G$20</f>
        <v>6355196.7784661697</v>
      </c>
      <c r="C20" s="1">
        <f>C$9/($K$9-$J$9-$I$9-$H$9-$G$9)*-$G$20</f>
        <v>0</v>
      </c>
      <c r="D20" s="1">
        <f>D$9/($K$9-$J$9-$I$9-$H$9-$G$9)*-$G$20</f>
        <v>84473.726981098356</v>
      </c>
      <c r="E20" s="1">
        <f>E$9/($K$9-$J$9-$I$9-$H$9-$G$9)*-$G$20</f>
        <v>115520.66297768071</v>
      </c>
      <c r="G20" s="1">
        <f>-G18</f>
        <v>-6555191.168424949</v>
      </c>
      <c r="K20" s="1">
        <f>SUM(B20:J20)</f>
        <v>0</v>
      </c>
    </row>
    <row r="22" spans="1:11" x14ac:dyDescent="0.2">
      <c r="A22" t="s">
        <v>8</v>
      </c>
      <c r="B22" s="1">
        <f>+B20+B18</f>
        <v>28898950.458780352</v>
      </c>
      <c r="C22" s="1">
        <f t="shared" ref="C22:K22" si="3">+C20+C18</f>
        <v>0</v>
      </c>
      <c r="D22" s="1">
        <f t="shared" si="3"/>
        <v>384126.90215463069</v>
      </c>
      <c r="E22" s="1">
        <f t="shared" si="3"/>
        <v>525306.45906501543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29808383.82</v>
      </c>
    </row>
    <row r="27" spans="1:11" x14ac:dyDescent="0.2">
      <c r="A27" t="s">
        <v>9</v>
      </c>
      <c r="B27" s="1">
        <f>+B9</f>
        <v>14567775.75</v>
      </c>
    </row>
    <row r="28" spans="1:11" x14ac:dyDescent="0.2">
      <c r="A28" t="s">
        <v>10</v>
      </c>
      <c r="B28" s="1">
        <f>+B22-B27</f>
        <v>14331174.708780352</v>
      </c>
    </row>
    <row r="29" spans="1:11" x14ac:dyDescent="0.2">
      <c r="A29" s="22" t="s">
        <v>105</v>
      </c>
      <c r="B29" s="1">
        <v>2511</v>
      </c>
    </row>
    <row r="30" spans="1:11" x14ac:dyDescent="0.2">
      <c r="A30" t="s">
        <v>11</v>
      </c>
      <c r="B30" s="1">
        <f>+B28/B29</f>
        <v>5707.3575104660904</v>
      </c>
    </row>
  </sheetData>
  <phoneticPr fontId="0" type="noConversion"/>
  <pageMargins left="0.46" right="0.55000000000000004" top="1" bottom="0.48" header="0.5" footer="0.5"/>
  <pageSetup orientation="landscape" horizontalDpi="4294967294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pageSetUpPr fitToPage="1"/>
  </sheetPr>
  <dimension ref="A1:K30"/>
  <sheetViews>
    <sheetView zoomScale="80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7" width="12.140625" style="1" customWidth="1"/>
    <col min="8" max="10" width="10.28515625" style="1" customWidth="1"/>
    <col min="11" max="11" width="10.7109375" style="1" customWidth="1"/>
  </cols>
  <sheetData>
    <row r="1" spans="1:11" ht="15.75" x14ac:dyDescent="0.25">
      <c r="A1" s="4" t="str">
        <f>+System!$A$1</f>
        <v>MINNESOTA STATE - F.Y. 2023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21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Table'!B14</f>
        <v>29015154.530000001</v>
      </c>
      <c r="C9" s="1">
        <f>'Master Expend Table'!C14</f>
        <v>0</v>
      </c>
      <c r="D9" s="1">
        <f>'Master Expend Table'!D14</f>
        <v>1539110.17</v>
      </c>
      <c r="E9" s="1">
        <f>'Master Expend Table'!E14</f>
        <v>0</v>
      </c>
      <c r="G9" s="1">
        <f>'Master Expend Table'!G14</f>
        <v>7983589.5599999996</v>
      </c>
      <c r="H9" s="1">
        <f>'Master Expend Table'!H14</f>
        <v>7512955.9699999997</v>
      </c>
      <c r="I9" s="1">
        <f>'Master Expend Table'!I14</f>
        <v>9827666.5399999991</v>
      </c>
      <c r="J9" s="1">
        <f>'Master Expend Table'!J14</f>
        <v>6886331.0999999996</v>
      </c>
      <c r="K9" s="1">
        <f>SUM(B9:J9)</f>
        <v>62764807.870000005</v>
      </c>
    </row>
    <row r="11" spans="1:11" x14ac:dyDescent="0.2">
      <c r="A11" t="s">
        <v>3</v>
      </c>
      <c r="B11" s="1">
        <f>(B9/($K9-$J9))*-$J$11</f>
        <v>3575758.9068447486</v>
      </c>
      <c r="C11" s="1">
        <f t="shared" ref="C11:I11" si="0">(C9/($K9-$J9))*-$J$11</f>
        <v>0</v>
      </c>
      <c r="D11" s="1">
        <f t="shared" si="0"/>
        <v>189676.29117062071</v>
      </c>
      <c r="E11" s="1">
        <f t="shared" si="0"/>
        <v>0</v>
      </c>
      <c r="G11" s="1">
        <f t="shared" si="0"/>
        <v>983878.66410452465</v>
      </c>
      <c r="H11" s="1">
        <f t="shared" si="0"/>
        <v>925878.89541251829</v>
      </c>
      <c r="I11" s="1">
        <f t="shared" si="0"/>
        <v>1211138.3424675872</v>
      </c>
      <c r="J11" s="1">
        <f>-J9</f>
        <v>-6886331.0999999996</v>
      </c>
      <c r="K11" s="1">
        <v>0</v>
      </c>
    </row>
    <row r="12" spans="1:11" x14ac:dyDescent="0.2">
      <c r="A12" t="s">
        <v>4</v>
      </c>
      <c r="B12" s="1">
        <f>+B9+B11</f>
        <v>32590913.436844751</v>
      </c>
      <c r="C12" s="1">
        <f t="shared" ref="C12:J12" si="1">+C9+C11</f>
        <v>0</v>
      </c>
      <c r="D12" s="1">
        <f t="shared" si="1"/>
        <v>1728786.4611706208</v>
      </c>
      <c r="E12" s="1">
        <f t="shared" si="1"/>
        <v>0</v>
      </c>
      <c r="G12" s="1">
        <f t="shared" si="1"/>
        <v>8967468.2241045237</v>
      </c>
      <c r="H12" s="1">
        <f t="shared" si="1"/>
        <v>8438834.8654125184</v>
      </c>
      <c r="I12" s="1">
        <f t="shared" si="1"/>
        <v>11038804.882467587</v>
      </c>
      <c r="J12" s="1">
        <f t="shared" si="1"/>
        <v>0</v>
      </c>
      <c r="K12" s="1">
        <f>SUM(B12:J12)</f>
        <v>62764807.870000005</v>
      </c>
    </row>
    <row r="14" spans="1:11" x14ac:dyDescent="0.2">
      <c r="A14" t="s">
        <v>5</v>
      </c>
      <c r="B14" s="1">
        <f>B$9/($K$9-$J$9-$I$9)*-I14</f>
        <v>6955200.7422153773</v>
      </c>
      <c r="C14" s="1">
        <f t="shared" ref="C14:H14" si="2">C$9/($K$9-$J$9-$I$9)*-$I$14</f>
        <v>0</v>
      </c>
      <c r="D14" s="1">
        <f t="shared" si="2"/>
        <v>368938.93450290145</v>
      </c>
      <c r="E14" s="1">
        <f t="shared" si="2"/>
        <v>0</v>
      </c>
      <c r="G14" s="1">
        <f t="shared" si="2"/>
        <v>1913740.213785273</v>
      </c>
      <c r="H14" s="1">
        <f t="shared" si="2"/>
        <v>1800924.9919640338</v>
      </c>
      <c r="I14" s="1">
        <f>-I12</f>
        <v>-11038804.882467587</v>
      </c>
      <c r="K14" s="1">
        <v>0</v>
      </c>
    </row>
    <row r="15" spans="1:11" x14ac:dyDescent="0.2">
      <c r="A15" t="s">
        <v>4</v>
      </c>
      <c r="B15" s="1">
        <f>+B12+B14</f>
        <v>39546114.179060131</v>
      </c>
      <c r="C15" s="1">
        <f>+C12+C14</f>
        <v>0</v>
      </c>
      <c r="D15" s="1">
        <f>+D12+D14</f>
        <v>2097725.3956735223</v>
      </c>
      <c r="E15" s="1">
        <f>+E12+E14</f>
        <v>0</v>
      </c>
      <c r="G15" s="1">
        <f>+G12+G14</f>
        <v>10881208.437889796</v>
      </c>
      <c r="H15" s="1">
        <f>+H12+H14</f>
        <v>10239759.857376553</v>
      </c>
      <c r="I15" s="1">
        <f>+I12+I14</f>
        <v>0</v>
      </c>
      <c r="J15" s="1">
        <f>+J12+J14</f>
        <v>0</v>
      </c>
      <c r="K15" s="1">
        <f>SUM(B15:J15)</f>
        <v>62764807.869999997</v>
      </c>
    </row>
    <row r="17" spans="1:11" x14ac:dyDescent="0.2">
      <c r="A17" t="s">
        <v>6</v>
      </c>
      <c r="B17" s="1">
        <f>B$9/($K$9-$J$9-$I$9-$H$9)*-$H$17</f>
        <v>7709516.2747618789</v>
      </c>
      <c r="C17" s="1">
        <f>C$9/($K$9-$J$9-$I$9-$H$9)*-$H$17</f>
        <v>0</v>
      </c>
      <c r="D17" s="1">
        <f>D$9/($K$9-$J$9-$I$9-$H$9)*-$H$17</f>
        <v>408951.63567017962</v>
      </c>
      <c r="E17" s="1">
        <f>E$9/($K$9-$J$9-$I$9-$H$9)*-$H$17</f>
        <v>0</v>
      </c>
      <c r="G17" s="1">
        <f>G$9/($K$9-$J$9-$I$9-$H$9)*-$H$17</f>
        <v>2121291.9469444929</v>
      </c>
      <c r="H17" s="1">
        <f>-H15</f>
        <v>-10239759.857376553</v>
      </c>
      <c r="K17" s="1">
        <v>0</v>
      </c>
    </row>
    <row r="18" spans="1:11" x14ac:dyDescent="0.2">
      <c r="A18" t="s">
        <v>4</v>
      </c>
      <c r="B18" s="1">
        <f>+B15+B17</f>
        <v>47255630.453822009</v>
      </c>
      <c r="C18" s="1">
        <f>+C15+C17</f>
        <v>0</v>
      </c>
      <c r="D18" s="1">
        <f>+D15+D17</f>
        <v>2506677.0313437018</v>
      </c>
      <c r="E18" s="1">
        <f>+E15+E17</f>
        <v>0</v>
      </c>
      <c r="G18" s="1">
        <f>+G15+G17</f>
        <v>13002500.38483429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62764807.869999997</v>
      </c>
    </row>
    <row r="20" spans="1:11" x14ac:dyDescent="0.2">
      <c r="A20" t="s">
        <v>7</v>
      </c>
      <c r="B20" s="1">
        <f>B$9/($K$9-$J$9-$I$9-$H$9-$G$9)*-$G$20</f>
        <v>12347525.350277904</v>
      </c>
      <c r="C20" s="1">
        <f>C$9/($K$9-$J$9-$I$9-$H$9-$G$9)*-$G$20</f>
        <v>0</v>
      </c>
      <c r="D20" s="1">
        <f>D$9/($K$9-$J$9-$I$9-$H$9-$G$9)*-$G$20</f>
        <v>654975.03455638268</v>
      </c>
      <c r="E20" s="1">
        <f>E$9/($K$9-$J$9-$I$9-$H$9-$G$9)*-$G$20</f>
        <v>0</v>
      </c>
      <c r="G20" s="1">
        <f>-G18</f>
        <v>-13002500.38483429</v>
      </c>
      <c r="K20" s="1">
        <f>SUM(B20:J20)</f>
        <v>0</v>
      </c>
    </row>
    <row r="22" spans="1:11" x14ac:dyDescent="0.2">
      <c r="A22" t="s">
        <v>8</v>
      </c>
      <c r="B22" s="1">
        <f>+B20+B18</f>
        <v>59603155.804099917</v>
      </c>
      <c r="C22" s="1">
        <f t="shared" ref="C22:K22" si="3">+C20+C18</f>
        <v>0</v>
      </c>
      <c r="D22" s="1">
        <f t="shared" si="3"/>
        <v>3161652.0659000846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62764807.869999997</v>
      </c>
    </row>
    <row r="27" spans="1:11" x14ac:dyDescent="0.2">
      <c r="A27" t="s">
        <v>9</v>
      </c>
      <c r="B27" s="1">
        <f>+B9</f>
        <v>29015154.530000001</v>
      </c>
    </row>
    <row r="28" spans="1:11" x14ac:dyDescent="0.2">
      <c r="A28" t="s">
        <v>10</v>
      </c>
      <c r="B28" s="1">
        <f>+B22-B27</f>
        <v>30588001.274099916</v>
      </c>
    </row>
    <row r="29" spans="1:11" x14ac:dyDescent="0.2">
      <c r="A29" s="22" t="s">
        <v>105</v>
      </c>
      <c r="B29" s="1">
        <v>5114</v>
      </c>
    </row>
    <row r="30" spans="1:11" x14ac:dyDescent="0.2">
      <c r="A30" t="s">
        <v>11</v>
      </c>
      <c r="B30" s="1">
        <f>+B28/B29</f>
        <v>5981.2282507039336</v>
      </c>
    </row>
  </sheetData>
  <phoneticPr fontId="0" type="noConversion"/>
  <pageMargins left="0.46" right="0.55000000000000004" top="1" bottom="0.63" header="0.5" footer="0.5"/>
  <pageSetup orientation="landscape" horizontalDpi="4294967294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0"/>
  <sheetViews>
    <sheetView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10" width="10.28515625" style="1" customWidth="1"/>
    <col min="11" max="11" width="10.7109375" style="1" customWidth="1"/>
  </cols>
  <sheetData>
    <row r="1" spans="1:11" ht="15.75" x14ac:dyDescent="0.25">
      <c r="A1" s="4" t="str">
        <f>+System!$A$1</f>
        <v>MINNESOTA STATE - F.Y. 2023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101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Table'!B15</f>
        <v>24088104.350000001</v>
      </c>
      <c r="C9" s="1">
        <f>'Master Expend Table'!C15</f>
        <v>341.61</v>
      </c>
      <c r="D9" s="1">
        <f>'Master Expend Table'!D15</f>
        <v>2935027.44</v>
      </c>
      <c r="E9" s="1">
        <f>'Master Expend Table'!E15</f>
        <v>307143.51</v>
      </c>
      <c r="G9" s="1">
        <f>'Master Expend Table'!G15</f>
        <v>8871503.7699999996</v>
      </c>
      <c r="H9" s="1">
        <f>'Master Expend Table'!H15</f>
        <v>7576094.2300000004</v>
      </c>
      <c r="I9" s="1">
        <f>'Master Expend Table'!I15</f>
        <v>9269023.1799999997</v>
      </c>
      <c r="J9" s="1">
        <f>'Master Expend Table'!J15</f>
        <v>6893735.8300000001</v>
      </c>
      <c r="K9" s="1">
        <f>SUM(B9:J9)</f>
        <v>59940973.920000009</v>
      </c>
    </row>
    <row r="11" spans="1:11" x14ac:dyDescent="0.2">
      <c r="A11" t="s">
        <v>3</v>
      </c>
      <c r="B11" s="1">
        <f>(B9/($K9-$J9))*-$J$11</f>
        <v>3130361.4290463403</v>
      </c>
      <c r="C11" s="1">
        <f t="shared" ref="C11:I11" si="0">(C9/($K9-$J9))*-$J$11</f>
        <v>44.393811660672263</v>
      </c>
      <c r="D11" s="1">
        <f t="shared" si="0"/>
        <v>381420.49527316249</v>
      </c>
      <c r="E11" s="1">
        <f t="shared" si="0"/>
        <v>39914.730645290845</v>
      </c>
      <c r="G11" s="1">
        <f t="shared" si="0"/>
        <v>1152893.2628211232</v>
      </c>
      <c r="H11" s="1">
        <f t="shared" si="0"/>
        <v>984548.75551103835</v>
      </c>
      <c r="I11" s="1">
        <f t="shared" si="0"/>
        <v>1204552.7628913831</v>
      </c>
      <c r="J11" s="1">
        <f>-J9</f>
        <v>-6893735.8300000001</v>
      </c>
      <c r="K11" s="1">
        <v>0</v>
      </c>
    </row>
    <row r="12" spans="1:11" x14ac:dyDescent="0.2">
      <c r="A12" t="s">
        <v>4</v>
      </c>
      <c r="B12" s="1">
        <f>+B9+B11</f>
        <v>27218465.779046342</v>
      </c>
      <c r="C12" s="1">
        <f>+C9+C11</f>
        <v>386.00381166067228</v>
      </c>
      <c r="D12" s="1">
        <f>+D9+D11</f>
        <v>3316447.9352731626</v>
      </c>
      <c r="E12" s="1">
        <f>+E9+E11</f>
        <v>347058.24064529088</v>
      </c>
      <c r="G12" s="1">
        <f>+G9+G11</f>
        <v>10024397.032821123</v>
      </c>
      <c r="H12" s="1">
        <f>+H9+H11</f>
        <v>8560642.9855110385</v>
      </c>
      <c r="I12" s="1">
        <f>+I9+I11</f>
        <v>10473575.942891384</v>
      </c>
      <c r="J12" s="1">
        <f>+J9+J11</f>
        <v>0</v>
      </c>
      <c r="K12" s="1">
        <f>SUM(B12:J12)</f>
        <v>59940973.919999994</v>
      </c>
    </row>
    <row r="14" spans="1:11" x14ac:dyDescent="0.2">
      <c r="A14" t="s">
        <v>5</v>
      </c>
      <c r="B14" s="1">
        <f>B$9/($K$9-$J$9-$I$9)*-I14</f>
        <v>5762879.796462154</v>
      </c>
      <c r="C14" s="1">
        <f t="shared" ref="C14:H14" si="1">C$9/($K$9-$J$9-$I$9)*-$I$14</f>
        <v>81.727367943315826</v>
      </c>
      <c r="D14" s="1">
        <f t="shared" si="1"/>
        <v>702181.04713740316</v>
      </c>
      <c r="E14" s="1">
        <f t="shared" si="1"/>
        <v>73481.545192387523</v>
      </c>
      <c r="G14" s="1">
        <f t="shared" si="1"/>
        <v>2122433.9241278167</v>
      </c>
      <c r="H14" s="1">
        <f t="shared" si="1"/>
        <v>1812517.9026036765</v>
      </c>
      <c r="I14" s="1">
        <f>-I12</f>
        <v>-10473575.942891384</v>
      </c>
      <c r="K14" s="1">
        <v>0</v>
      </c>
    </row>
    <row r="15" spans="1:11" x14ac:dyDescent="0.2">
      <c r="A15" t="s">
        <v>4</v>
      </c>
      <c r="B15" s="1">
        <f>+B12+B14</f>
        <v>32981345.575508498</v>
      </c>
      <c r="C15" s="1">
        <f>+C12+C14</f>
        <v>467.7311796039881</v>
      </c>
      <c r="D15" s="1">
        <f>+D12+D14</f>
        <v>4018628.9824105659</v>
      </c>
      <c r="E15" s="1">
        <f>+E12+E14</f>
        <v>420539.78583767841</v>
      </c>
      <c r="G15" s="1">
        <f>+G12+G14</f>
        <v>12146830.95694894</v>
      </c>
      <c r="H15" s="1">
        <f>+H12+H14</f>
        <v>10373160.888114715</v>
      </c>
      <c r="I15" s="1">
        <f>+I12+I14</f>
        <v>0</v>
      </c>
      <c r="J15" s="1">
        <f>+J12+J14</f>
        <v>0</v>
      </c>
      <c r="K15" s="1">
        <f>SUM(B15:J15)</f>
        <v>59940973.919999994</v>
      </c>
    </row>
    <row r="17" spans="1:11" x14ac:dyDescent="0.2">
      <c r="A17" t="s">
        <v>6</v>
      </c>
      <c r="B17" s="1">
        <f>B$9/($K$9-$J$9-$I$9-$H$9)*-$H$17</f>
        <v>6902075.8237040909</v>
      </c>
      <c r="C17" s="1">
        <f>C$9/($K$9-$J$9-$I$9-$H$9)*-$H$17</f>
        <v>97.883091499292433</v>
      </c>
      <c r="D17" s="1">
        <f>D$9/($K$9-$J$9-$I$9-$H$9)*-$H$17</f>
        <v>840986.97187568876</v>
      </c>
      <c r="E17" s="1">
        <f>E$9/($K$9-$J$9-$I$9-$H$9)*-$H$17</f>
        <v>88007.248888334201</v>
      </c>
      <c r="G17" s="1">
        <f>G$9/($K$9-$J$9-$I$9-$H$9)*-$H$17</f>
        <v>2541992.9605551003</v>
      </c>
      <c r="H17" s="1">
        <f>-H15</f>
        <v>-10373160.888114715</v>
      </c>
      <c r="K17" s="1">
        <v>0</v>
      </c>
    </row>
    <row r="18" spans="1:11" x14ac:dyDescent="0.2">
      <c r="A18" t="s">
        <v>4</v>
      </c>
      <c r="B18" s="1">
        <f>+B15+B17</f>
        <v>39883421.399212591</v>
      </c>
      <c r="C18" s="1">
        <f>+C15+C17</f>
        <v>565.61427110328054</v>
      </c>
      <c r="D18" s="1">
        <f>+D15+D17</f>
        <v>4859615.9542862549</v>
      </c>
      <c r="E18" s="1">
        <f>+E15+E17</f>
        <v>508547.03472601261</v>
      </c>
      <c r="G18" s="1">
        <f>+G15+G17</f>
        <v>14688823.917504041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59940973.920000009</v>
      </c>
    </row>
    <row r="20" spans="1:11" x14ac:dyDescent="0.2">
      <c r="A20" t="s">
        <v>7</v>
      </c>
      <c r="B20" s="1">
        <f>B$9/($K$9-$J$9-$I$9-$H$9-$G$9)*-$G$20</f>
        <v>12946137.457078462</v>
      </c>
      <c r="C20" s="1">
        <f>C$9/($K$9-$J$9-$I$9-$H$9-$G$9)*-$G$20</f>
        <v>183.59809275371947</v>
      </c>
      <c r="D20" s="1">
        <f>D$9/($K$9-$J$9-$I$9-$H$9-$G$9)*-$G$20</f>
        <v>1577428.7642745581</v>
      </c>
      <c r="E20" s="1">
        <f>E$9/($K$9-$J$9-$I$9-$H$9-$G$9)*-$G$20</f>
        <v>165074.09805826226</v>
      </c>
      <c r="G20" s="1">
        <f>-G18</f>
        <v>-14688823.917504041</v>
      </c>
      <c r="K20" s="1">
        <f>SUM(B20:J20)</f>
        <v>0</v>
      </c>
    </row>
    <row r="22" spans="1:11" x14ac:dyDescent="0.2">
      <c r="A22" t="s">
        <v>8</v>
      </c>
      <c r="B22" s="1">
        <f>+B20+B18</f>
        <v>52829558.856291056</v>
      </c>
      <c r="C22" s="1">
        <f t="shared" ref="C22:K22" si="2">+C20+C18</f>
        <v>749.21236385700001</v>
      </c>
      <c r="D22" s="1">
        <f t="shared" si="2"/>
        <v>6437044.718560813</v>
      </c>
      <c r="E22" s="1">
        <f t="shared" si="2"/>
        <v>673621.13278427487</v>
      </c>
      <c r="G22" s="1">
        <f t="shared" si="2"/>
        <v>0</v>
      </c>
      <c r="H22" s="1">
        <f t="shared" si="2"/>
        <v>0</v>
      </c>
      <c r="I22" s="1">
        <f t="shared" si="2"/>
        <v>0</v>
      </c>
      <c r="J22" s="1">
        <f t="shared" si="2"/>
        <v>0</v>
      </c>
      <c r="K22" s="1">
        <f t="shared" si="2"/>
        <v>59940973.920000009</v>
      </c>
    </row>
    <row r="27" spans="1:11" x14ac:dyDescent="0.2">
      <c r="A27" t="s">
        <v>9</v>
      </c>
      <c r="B27" s="1">
        <f>+B9</f>
        <v>24088104.350000001</v>
      </c>
    </row>
    <row r="28" spans="1:11" x14ac:dyDescent="0.2">
      <c r="A28" t="s">
        <v>10</v>
      </c>
      <c r="B28" s="1">
        <f>+B22-B27</f>
        <v>28741454.506291054</v>
      </c>
    </row>
    <row r="29" spans="1:11" x14ac:dyDescent="0.2">
      <c r="A29" s="22" t="s">
        <v>105</v>
      </c>
      <c r="B29" s="1">
        <f>'DAKCTY TC'!B29+'INVER HILLS'!B29</f>
        <v>4051</v>
      </c>
    </row>
    <row r="30" spans="1:11" x14ac:dyDescent="0.2">
      <c r="A30" t="s">
        <v>11</v>
      </c>
      <c r="B30" s="1">
        <f>+B28/B29</f>
        <v>7094.9036056013465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10" width="10.28515625" style="1" customWidth="1"/>
    <col min="11" max="11" width="10.7109375" style="1" customWidth="1"/>
  </cols>
  <sheetData>
    <row r="1" spans="1:11" ht="15.75" x14ac:dyDescent="0.25">
      <c r="A1" s="4" t="str">
        <f>+System!$A$1</f>
        <v>MINNESOTA STATE - F.Y. 2023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22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Table'!B16</f>
        <v>12119454.18</v>
      </c>
      <c r="C9" s="1">
        <f>'Master Expend Table'!C16</f>
        <v>341.61</v>
      </c>
      <c r="D9" s="1">
        <f>'Master Expend Table'!D16</f>
        <v>2738450.25</v>
      </c>
      <c r="E9" s="1">
        <f>'Master Expend Table'!E16</f>
        <v>306983.69</v>
      </c>
      <c r="G9" s="1">
        <f>'Master Expend Table'!G16</f>
        <v>3470994.31</v>
      </c>
      <c r="H9" s="1">
        <f>'Master Expend Table'!H16</f>
        <v>3444970.74</v>
      </c>
      <c r="I9" s="1">
        <f>'Master Expend Table'!I16</f>
        <v>4699028.4800000004</v>
      </c>
      <c r="J9" s="1">
        <f>'Master Expend Table'!J16</f>
        <v>3910883.4</v>
      </c>
      <c r="K9" s="1">
        <f>SUM(B9:J9)</f>
        <v>30691106.66</v>
      </c>
    </row>
    <row r="11" spans="1:11" x14ac:dyDescent="0.2">
      <c r="A11" t="s">
        <v>3</v>
      </c>
      <c r="B11" s="1">
        <f>(B9/($K9-$J9))*-$J$11</f>
        <v>1769879.6499735606</v>
      </c>
      <c r="C11" s="1">
        <f t="shared" ref="C11:I11" si="0">(C9/($K9-$J9))*-$J$11</f>
        <v>49.887443629698851</v>
      </c>
      <c r="D11" s="1">
        <f t="shared" si="0"/>
        <v>399913.00746351015</v>
      </c>
      <c r="E11" s="1">
        <f t="shared" si="0"/>
        <v>44830.747138877508</v>
      </c>
      <c r="G11" s="1">
        <f t="shared" si="0"/>
        <v>506890.99551866291</v>
      </c>
      <c r="H11" s="1">
        <f t="shared" si="0"/>
        <v>503090.6109238955</v>
      </c>
      <c r="I11" s="1">
        <f t="shared" si="0"/>
        <v>686228.50153786328</v>
      </c>
      <c r="J11" s="1">
        <f>-J9</f>
        <v>-3910883.4</v>
      </c>
      <c r="K11" s="1">
        <v>0</v>
      </c>
    </row>
    <row r="12" spans="1:11" x14ac:dyDescent="0.2">
      <c r="A12" t="s">
        <v>4</v>
      </c>
      <c r="B12" s="1">
        <f>+B9+B11</f>
        <v>13889333.82997356</v>
      </c>
      <c r="C12" s="1">
        <f>+C9+C11</f>
        <v>391.49744362969886</v>
      </c>
      <c r="D12" s="1">
        <f>+D9+D11</f>
        <v>3138363.2574635101</v>
      </c>
      <c r="E12" s="1">
        <f>+E9+E11</f>
        <v>351814.43713887752</v>
      </c>
      <c r="G12" s="1">
        <f>+G9+G11</f>
        <v>3977885.305518663</v>
      </c>
      <c r="H12" s="1">
        <f>+H9+H11</f>
        <v>3948061.3509238958</v>
      </c>
      <c r="I12" s="1">
        <f>+I9+I11</f>
        <v>5385256.9815378636</v>
      </c>
      <c r="J12" s="1">
        <f>+J9+J11</f>
        <v>0</v>
      </c>
      <c r="K12" s="1">
        <f>SUM(B12:J12)</f>
        <v>30691106.66</v>
      </c>
    </row>
    <row r="14" spans="1:11" x14ac:dyDescent="0.2">
      <c r="A14" t="s">
        <v>5</v>
      </c>
      <c r="B14" s="1">
        <f>B$9/($K$9-$J$9-$I$9)*-I14</f>
        <v>2955744.7359863031</v>
      </c>
      <c r="C14" s="1">
        <f t="shared" ref="C14:H14" si="1">C$9/($K$9-$J$9-$I$9)*-$I$14</f>
        <v>83.313319582209203</v>
      </c>
      <c r="D14" s="1">
        <f t="shared" si="1"/>
        <v>667865.05324267643</v>
      </c>
      <c r="E14" s="1">
        <f t="shared" si="1"/>
        <v>74868.505815098615</v>
      </c>
      <c r="G14" s="1">
        <f t="shared" si="1"/>
        <v>846521.05681057263</v>
      </c>
      <c r="H14" s="1">
        <f t="shared" si="1"/>
        <v>840174.31636363023</v>
      </c>
      <c r="I14" s="1">
        <f>-I12</f>
        <v>-5385256.9815378636</v>
      </c>
      <c r="K14" s="1">
        <v>0</v>
      </c>
    </row>
    <row r="15" spans="1:11" x14ac:dyDescent="0.2">
      <c r="A15" t="s">
        <v>4</v>
      </c>
      <c r="B15" s="1">
        <f>+B12+B14</f>
        <v>16845078.565959863</v>
      </c>
      <c r="C15" s="1">
        <f>+C12+C14</f>
        <v>474.81076321190807</v>
      </c>
      <c r="D15" s="1">
        <f>+D12+D14</f>
        <v>3806228.3107061866</v>
      </c>
      <c r="E15" s="1">
        <f>+E12+E14</f>
        <v>426682.9429539761</v>
      </c>
      <c r="G15" s="1">
        <f>+G12+G14</f>
        <v>4824406.3623292353</v>
      </c>
      <c r="H15" s="1">
        <f>+H12+H14</f>
        <v>4788235.6672875257</v>
      </c>
      <c r="I15" s="1">
        <f>+I12+I14</f>
        <v>0</v>
      </c>
      <c r="J15" s="1">
        <f>+J12+J14</f>
        <v>0</v>
      </c>
      <c r="K15" s="1">
        <f>SUM(B15:J15)</f>
        <v>30691106.66</v>
      </c>
    </row>
    <row r="17" spans="1:11" x14ac:dyDescent="0.2">
      <c r="A17" t="s">
        <v>6</v>
      </c>
      <c r="B17" s="1">
        <f>B$9/($K$9-$J$9-$I$9-$H$9)*-$H$17</f>
        <v>3113871.27822557</v>
      </c>
      <c r="C17" s="1">
        <f>C$9/($K$9-$J$9-$I$9-$H$9)*-$H$17</f>
        <v>87.770418663741921</v>
      </c>
      <c r="D17" s="1">
        <f>D$9/($K$9-$J$9-$I$9-$H$9)*-$H$17</f>
        <v>703594.5227959624</v>
      </c>
      <c r="E17" s="1">
        <f>E$9/($K$9-$J$9-$I$9-$H$9)*-$H$17</f>
        <v>78873.823934429209</v>
      </c>
      <c r="G17" s="1">
        <f>G$9/($K$9-$J$9-$I$9-$H$9)*-$H$17</f>
        <v>891808.27191290061</v>
      </c>
      <c r="H17" s="1">
        <f>-H15</f>
        <v>-4788235.6672875257</v>
      </c>
      <c r="K17" s="1">
        <v>0</v>
      </c>
    </row>
    <row r="18" spans="1:11" x14ac:dyDescent="0.2">
      <c r="A18" t="s">
        <v>4</v>
      </c>
      <c r="B18" s="1">
        <f>+B15+B17</f>
        <v>19958949.844185434</v>
      </c>
      <c r="C18" s="1">
        <f>+C15+C17</f>
        <v>562.58118187565003</v>
      </c>
      <c r="D18" s="1">
        <f>+D15+D17</f>
        <v>4509822.8335021492</v>
      </c>
      <c r="E18" s="1">
        <f>+E15+E17</f>
        <v>505556.76688840531</v>
      </c>
      <c r="G18" s="1">
        <f>+G15+G17</f>
        <v>5716214.634242136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30691106.660000004</v>
      </c>
    </row>
    <row r="20" spans="1:11" x14ac:dyDescent="0.2">
      <c r="A20" t="s">
        <v>7</v>
      </c>
      <c r="B20" s="1">
        <f>B$9/($K$9-$J$9-$I$9-$H$9-$G$9)*-$G$20</f>
        <v>4568173.5506912787</v>
      </c>
      <c r="C20" s="1">
        <f>C$9/($K$9-$J$9-$I$9-$H$9-$G$9)*-$G$20</f>
        <v>128.76271022393911</v>
      </c>
      <c r="D20" s="1">
        <f>D$9/($K$9-$J$9-$I$9-$H$9-$G$9)*-$G$20</f>
        <v>1032201.2704646338</v>
      </c>
      <c r="E20" s="1">
        <f>E$9/($K$9-$J$9-$I$9-$H$9-$G$9)*-$G$20</f>
        <v>115711.05037600057</v>
      </c>
      <c r="G20" s="1">
        <f>-G18</f>
        <v>-5716214.634242136</v>
      </c>
      <c r="K20" s="1">
        <f>SUM(B20:J20)</f>
        <v>0</v>
      </c>
    </row>
    <row r="22" spans="1:11" x14ac:dyDescent="0.2">
      <c r="A22" t="s">
        <v>8</v>
      </c>
      <c r="B22" s="1">
        <f>+B20+B18</f>
        <v>24527123.394876711</v>
      </c>
      <c r="C22" s="1">
        <f t="shared" ref="C22:K22" si="2">+C20+C18</f>
        <v>691.34389209958908</v>
      </c>
      <c r="D22" s="1">
        <f t="shared" si="2"/>
        <v>5542024.1039667828</v>
      </c>
      <c r="E22" s="1">
        <f t="shared" si="2"/>
        <v>621267.81726440589</v>
      </c>
      <c r="G22" s="1">
        <f t="shared" si="2"/>
        <v>0</v>
      </c>
      <c r="H22" s="1">
        <f t="shared" si="2"/>
        <v>0</v>
      </c>
      <c r="I22" s="1">
        <f t="shared" si="2"/>
        <v>0</v>
      </c>
      <c r="J22" s="1">
        <f t="shared" si="2"/>
        <v>0</v>
      </c>
      <c r="K22" s="1">
        <f t="shared" si="2"/>
        <v>30691106.660000004</v>
      </c>
    </row>
    <row r="27" spans="1:11" x14ac:dyDescent="0.2">
      <c r="A27" t="s">
        <v>9</v>
      </c>
      <c r="B27" s="1">
        <f>+B9</f>
        <v>12119454.18</v>
      </c>
    </row>
    <row r="28" spans="1:11" x14ac:dyDescent="0.2">
      <c r="A28" t="s">
        <v>10</v>
      </c>
      <c r="B28" s="1">
        <f>+B22-B27</f>
        <v>12407669.214876711</v>
      </c>
    </row>
    <row r="29" spans="1:11" x14ac:dyDescent="0.2">
      <c r="A29" s="22" t="s">
        <v>105</v>
      </c>
      <c r="B29" s="1">
        <v>1909</v>
      </c>
    </row>
    <row r="30" spans="1:11" x14ac:dyDescent="0.2">
      <c r="A30" t="s">
        <v>11</v>
      </c>
      <c r="B30" s="1">
        <f>+B28/B29</f>
        <v>6499.5648061166639</v>
      </c>
    </row>
  </sheetData>
  <phoneticPr fontId="0" type="noConversion"/>
  <pageMargins left="0.52" right="0.55000000000000004" top="0.83" bottom="0.56000000000000005" header="0.5" footer="0.5"/>
  <pageSetup orientation="landscape" horizontalDpi="4294967294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10" width="10.28515625" style="1" customWidth="1"/>
    <col min="11" max="11" width="11.42578125" style="1" customWidth="1"/>
  </cols>
  <sheetData>
    <row r="1" spans="1:11" ht="15.75" x14ac:dyDescent="0.25">
      <c r="A1" s="4" t="str">
        <f>+System!$A$1</f>
        <v>MINNESOTA STATE - F.Y. 2023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25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Table'!B17</f>
        <v>11968650.17</v>
      </c>
      <c r="C9" s="1">
        <f>'Master Expend Table'!C17</f>
        <v>0</v>
      </c>
      <c r="D9" s="1">
        <f>'Master Expend Table'!D17</f>
        <v>196577.19</v>
      </c>
      <c r="E9" s="1">
        <f>'Master Expend Table'!E17</f>
        <v>159.82</v>
      </c>
      <c r="G9" s="1">
        <f>'Master Expend Table'!G17</f>
        <v>5400509.46</v>
      </c>
      <c r="H9" s="1">
        <f>'Master Expend Table'!H17</f>
        <v>4131123.49</v>
      </c>
      <c r="I9" s="1">
        <f>'Master Expend Table'!I17</f>
        <v>4569994.7</v>
      </c>
      <c r="J9" s="1">
        <f>'Master Expend Table'!J17</f>
        <v>2982852.43</v>
      </c>
      <c r="K9" s="1">
        <f>SUM(B9:J9)</f>
        <v>29249867.260000002</v>
      </c>
    </row>
    <row r="11" spans="1:11" x14ac:dyDescent="0.2">
      <c r="A11" t="s">
        <v>3</v>
      </c>
      <c r="B11" s="1">
        <f>(B9/($K9-$J9))*-$J$11</f>
        <v>1359146.346642711</v>
      </c>
      <c r="C11" s="1">
        <f t="shared" ref="C11:I11" si="0">(C9/($K9-$J9))*-$J$11</f>
        <v>0</v>
      </c>
      <c r="D11" s="1">
        <f t="shared" si="0"/>
        <v>22323.082872910978</v>
      </c>
      <c r="E11" s="1">
        <f t="shared" si="0"/>
        <v>18.148978041392454</v>
      </c>
      <c r="G11" s="1">
        <f t="shared" si="0"/>
        <v>613275.7327110013</v>
      </c>
      <c r="H11" s="1">
        <f t="shared" si="0"/>
        <v>469125.70082774729</v>
      </c>
      <c r="I11" s="1">
        <f t="shared" si="0"/>
        <v>518963.41796758794</v>
      </c>
      <c r="J11" s="1">
        <f>-J9</f>
        <v>-2982852.43</v>
      </c>
      <c r="K11" s="1">
        <v>0</v>
      </c>
    </row>
    <row r="12" spans="1:11" x14ac:dyDescent="0.2">
      <c r="A12" t="s">
        <v>4</v>
      </c>
      <c r="B12" s="1">
        <f>+B9+B11</f>
        <v>13327796.51664271</v>
      </c>
      <c r="C12" s="1">
        <f t="shared" ref="C12:J12" si="1">+C9+C11</f>
        <v>0</v>
      </c>
      <c r="D12" s="1">
        <f t="shared" si="1"/>
        <v>218900.27287291098</v>
      </c>
      <c r="E12" s="1">
        <f t="shared" si="1"/>
        <v>177.96897804139246</v>
      </c>
      <c r="G12" s="1">
        <f t="shared" si="1"/>
        <v>6013785.1927110013</v>
      </c>
      <c r="H12" s="1">
        <f t="shared" si="1"/>
        <v>4600249.1908277478</v>
      </c>
      <c r="I12" s="1">
        <f t="shared" si="1"/>
        <v>5088958.1179675879</v>
      </c>
      <c r="J12" s="1">
        <f t="shared" si="1"/>
        <v>0</v>
      </c>
      <c r="K12" s="1">
        <f>SUM(B12:J12)</f>
        <v>29249867.260000002</v>
      </c>
    </row>
    <row r="14" spans="1:11" x14ac:dyDescent="0.2">
      <c r="A14" t="s">
        <v>5</v>
      </c>
      <c r="B14" s="1">
        <f>B$9/($K$9-$J$9-$I$9)*-I14</f>
        <v>2807203.8961479105</v>
      </c>
      <c r="C14" s="1">
        <f t="shared" ref="C14:H14" si="2">C$9/($K$9-$J$9-$I$9)*-$I$14</f>
        <v>0</v>
      </c>
      <c r="D14" s="1">
        <f t="shared" si="2"/>
        <v>46106.47364771361</v>
      </c>
      <c r="E14" s="1">
        <f t="shared" si="2"/>
        <v>37.485206795242057</v>
      </c>
      <c r="G14" s="1">
        <f t="shared" si="2"/>
        <v>1266670.090775629</v>
      </c>
      <c r="H14" s="1">
        <f t="shared" si="2"/>
        <v>968940.17218953895</v>
      </c>
      <c r="I14" s="1">
        <f>-I12</f>
        <v>-5088958.1179675879</v>
      </c>
      <c r="K14" s="1">
        <v>0</v>
      </c>
    </row>
    <row r="15" spans="1:11" x14ac:dyDescent="0.2">
      <c r="A15" t="s">
        <v>4</v>
      </c>
      <c r="B15" s="1">
        <f>+B12+B14</f>
        <v>16135000.412790621</v>
      </c>
      <c r="C15" s="1">
        <f>+C12+C14</f>
        <v>0</v>
      </c>
      <c r="D15" s="1">
        <f>+D12+D14</f>
        <v>265006.74652062461</v>
      </c>
      <c r="E15" s="1">
        <f>+E12+E14</f>
        <v>215.45418483663451</v>
      </c>
      <c r="G15" s="1">
        <f>+G12+G14</f>
        <v>7280455.2834866308</v>
      </c>
      <c r="H15" s="1">
        <f>+H12+H14</f>
        <v>5569189.3630172871</v>
      </c>
      <c r="I15" s="1">
        <f>+I12+I14</f>
        <v>0</v>
      </c>
      <c r="J15" s="1">
        <f>+J12+J14</f>
        <v>0</v>
      </c>
      <c r="K15" s="1">
        <f>SUM(B15:J15)</f>
        <v>29249867.260000002</v>
      </c>
    </row>
    <row r="17" spans="1:11" x14ac:dyDescent="0.2">
      <c r="A17" t="s">
        <v>6</v>
      </c>
      <c r="B17" s="1">
        <f>B$9/($K$9-$J$9-$I$9-$H$9)*-$H$17</f>
        <v>3794607.2769581689</v>
      </c>
      <c r="C17" s="1">
        <f>C$9/($K$9-$J$9-$I$9-$H$9)*-$H$17</f>
        <v>0</v>
      </c>
      <c r="D17" s="1">
        <f>D$9/($K$9-$J$9-$I$9-$H$9)*-$H$17</f>
        <v>62323.923338298096</v>
      </c>
      <c r="E17" s="1">
        <f>E$9/($K$9-$J$9-$I$9-$H$9)*-$H$17</f>
        <v>50.670219815059944</v>
      </c>
      <c r="G17" s="1">
        <f>G$9/($K$9-$J$9-$I$9-$H$9)*-$H$17</f>
        <v>1712207.4925010053</v>
      </c>
      <c r="H17" s="1">
        <f>-H15</f>
        <v>-5569189.3630172871</v>
      </c>
      <c r="K17" s="1">
        <v>0</v>
      </c>
    </row>
    <row r="18" spans="1:11" x14ac:dyDescent="0.2">
      <c r="A18" t="s">
        <v>4</v>
      </c>
      <c r="B18" s="1">
        <f>+B15+B17</f>
        <v>19929607.68974879</v>
      </c>
      <c r="C18" s="1">
        <f>+C15+C17</f>
        <v>0</v>
      </c>
      <c r="D18" s="1">
        <f>+D15+D17</f>
        <v>327330.66985892272</v>
      </c>
      <c r="E18" s="1">
        <f>+E15+E17</f>
        <v>266.12440465169448</v>
      </c>
      <c r="G18" s="1">
        <f>+G15+G17</f>
        <v>8992662.7759876363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29249867.259999998</v>
      </c>
    </row>
    <row r="20" spans="1:11" x14ac:dyDescent="0.2">
      <c r="A20" t="s">
        <v>7</v>
      </c>
      <c r="B20" s="1">
        <f>B$9/($K$9-$J$9-$I$9-$H$9-$G$9)*-$G$20</f>
        <v>8847234.639561804</v>
      </c>
      <c r="C20" s="1">
        <f>C$9/($K$9-$J$9-$I$9-$H$9-$G$9)*-$G$20</f>
        <v>0</v>
      </c>
      <c r="D20" s="1">
        <f>D$9/($K$9-$J$9-$I$9-$H$9-$G$9)*-$G$20</f>
        <v>145309.9973692123</v>
      </c>
      <c r="E20" s="1">
        <f>E$9/($K$9-$J$9-$I$9-$H$9-$G$9)*-$G$20</f>
        <v>118.13905661967958</v>
      </c>
      <c r="G20" s="1">
        <f>-G18</f>
        <v>-8992662.7759876363</v>
      </c>
      <c r="K20" s="1">
        <f>SUM(B20:J20)</f>
        <v>0</v>
      </c>
    </row>
    <row r="22" spans="1:11" x14ac:dyDescent="0.2">
      <c r="A22" t="s">
        <v>8</v>
      </c>
      <c r="B22" s="1">
        <f>+B20+B18</f>
        <v>28776842.329310596</v>
      </c>
      <c r="C22" s="1">
        <f t="shared" ref="C22:K22" si="3">+C20+C18</f>
        <v>0</v>
      </c>
      <c r="D22" s="1">
        <f t="shared" si="3"/>
        <v>472640.66722813505</v>
      </c>
      <c r="E22" s="1">
        <f t="shared" si="3"/>
        <v>384.26346127137407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29249867.259999998</v>
      </c>
    </row>
    <row r="27" spans="1:11" x14ac:dyDescent="0.2">
      <c r="A27" t="s">
        <v>9</v>
      </c>
      <c r="B27" s="1">
        <f>+B9</f>
        <v>11968650.17</v>
      </c>
    </row>
    <row r="28" spans="1:11" x14ac:dyDescent="0.2">
      <c r="A28" t="s">
        <v>10</v>
      </c>
      <c r="B28" s="1">
        <f>+B22-B27</f>
        <v>16808192.159310594</v>
      </c>
    </row>
    <row r="29" spans="1:11" x14ac:dyDescent="0.2">
      <c r="A29" s="22" t="s">
        <v>105</v>
      </c>
      <c r="B29" s="1">
        <v>2142</v>
      </c>
    </row>
    <row r="30" spans="1:11" x14ac:dyDescent="0.2">
      <c r="A30" t="s">
        <v>11</v>
      </c>
      <c r="B30" s="1">
        <f>+B28/B29</f>
        <v>7846.9617923952355</v>
      </c>
    </row>
  </sheetData>
  <phoneticPr fontId="0" type="noConversion"/>
  <pageMargins left="0.42" right="0.55000000000000004" top="1" bottom="0.57999999999999996" header="0.5" footer="0.5"/>
  <pageSetup orientation="landscape" horizontalDpi="4294967294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10" width="10.28515625" style="1" customWidth="1"/>
    <col min="11" max="11" width="11.42578125" style="1" customWidth="1"/>
  </cols>
  <sheetData>
    <row r="1" spans="1:11" ht="15.75" x14ac:dyDescent="0.25">
      <c r="A1" s="4" t="str">
        <f>+System!$A$1</f>
        <v>MINNESOTA STATE - F.Y. 2023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23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Table'!B18</f>
        <v>5461064.3200000003</v>
      </c>
      <c r="C9" s="1">
        <f>'Master Expend Table'!C18</f>
        <v>0</v>
      </c>
      <c r="D9" s="1">
        <f>'Master Expend Table'!D18</f>
        <v>0</v>
      </c>
      <c r="E9" s="1">
        <f>'Master Expend Table'!E18</f>
        <v>0</v>
      </c>
      <c r="G9" s="1">
        <f>'Master Expend Table'!G18</f>
        <v>1499945.01</v>
      </c>
      <c r="H9" s="1">
        <f>'Master Expend Table'!H18</f>
        <v>1006598.66</v>
      </c>
      <c r="I9" s="1">
        <f>'Master Expend Table'!I18</f>
        <v>1698726.81</v>
      </c>
      <c r="J9" s="1">
        <f>'Master Expend Table'!J18</f>
        <v>1047557.27</v>
      </c>
      <c r="K9" s="1">
        <f>SUM(B9:J9)</f>
        <v>10713892.07</v>
      </c>
    </row>
    <row r="11" spans="1:11" x14ac:dyDescent="0.2">
      <c r="A11" t="s">
        <v>3</v>
      </c>
      <c r="B11" s="1">
        <f>(B9/($K9-$J9))*-$J$11</f>
        <v>591824.9004114368</v>
      </c>
      <c r="C11" s="1">
        <f t="shared" ref="C11:I11" si="0">(C9/($K9-$J9))*-$J$11</f>
        <v>0</v>
      </c>
      <c r="D11" s="1">
        <f t="shared" si="0"/>
        <v>0</v>
      </c>
      <c r="E11" s="1">
        <f t="shared" si="0"/>
        <v>0</v>
      </c>
      <c r="G11" s="1">
        <f t="shared" si="0"/>
        <v>162551.6115814365</v>
      </c>
      <c r="H11" s="1">
        <f t="shared" si="0"/>
        <v>109086.82205537286</v>
      </c>
      <c r="I11" s="1">
        <f t="shared" si="0"/>
        <v>184093.93595175378</v>
      </c>
      <c r="J11" s="1">
        <f>-J9</f>
        <v>-1047557.27</v>
      </c>
      <c r="K11" s="1">
        <v>0</v>
      </c>
    </row>
    <row r="12" spans="1:11" x14ac:dyDescent="0.2">
      <c r="A12" t="s">
        <v>4</v>
      </c>
      <c r="B12" s="1">
        <f>+B9+B11</f>
        <v>6052889.2204114366</v>
      </c>
      <c r="C12" s="1">
        <f t="shared" ref="C12:J12" si="1">+C9+C11</f>
        <v>0</v>
      </c>
      <c r="D12" s="1">
        <f t="shared" si="1"/>
        <v>0</v>
      </c>
      <c r="E12" s="1">
        <f t="shared" si="1"/>
        <v>0</v>
      </c>
      <c r="G12" s="1">
        <f t="shared" si="1"/>
        <v>1662496.6215814366</v>
      </c>
      <c r="H12" s="1">
        <f t="shared" si="1"/>
        <v>1115685.4820553728</v>
      </c>
      <c r="I12" s="1">
        <f t="shared" si="1"/>
        <v>1882820.7459517538</v>
      </c>
      <c r="J12" s="1">
        <f t="shared" si="1"/>
        <v>0</v>
      </c>
      <c r="K12" s="1">
        <f>SUM(B12:J12)</f>
        <v>10713892.07</v>
      </c>
    </row>
    <row r="14" spans="1:11" x14ac:dyDescent="0.2">
      <c r="A14" t="s">
        <v>5</v>
      </c>
      <c r="B14" s="1">
        <f>B$9/($K$9-$J$9-$I$9)*-I14</f>
        <v>1290500.8892980071</v>
      </c>
      <c r="C14" s="1">
        <f t="shared" ref="C14:H14" si="2">C$9/($K$9-$J$9-$I$9)*-$I$14</f>
        <v>0</v>
      </c>
      <c r="D14" s="1">
        <f t="shared" si="2"/>
        <v>0</v>
      </c>
      <c r="E14" s="1">
        <f t="shared" si="2"/>
        <v>0</v>
      </c>
      <c r="G14" s="1">
        <f t="shared" si="2"/>
        <v>354451.12085827038</v>
      </c>
      <c r="H14" s="1">
        <f t="shared" si="2"/>
        <v>237868.7357954763</v>
      </c>
      <c r="I14" s="1">
        <f>-I12</f>
        <v>-1882820.7459517538</v>
      </c>
      <c r="K14" s="1">
        <v>0</v>
      </c>
    </row>
    <row r="15" spans="1:11" x14ac:dyDescent="0.2">
      <c r="A15" t="s">
        <v>4</v>
      </c>
      <c r="B15" s="1">
        <f>+B12+B14</f>
        <v>7343390.1097094435</v>
      </c>
      <c r="C15" s="1">
        <f>+C12+C14</f>
        <v>0</v>
      </c>
      <c r="D15" s="1">
        <f>+D12+D14</f>
        <v>0</v>
      </c>
      <c r="E15" s="1">
        <f>+E12+E14</f>
        <v>0</v>
      </c>
      <c r="G15" s="1">
        <f>+G12+G14</f>
        <v>2016947.742439707</v>
      </c>
      <c r="H15" s="1">
        <f>+H12+H14</f>
        <v>1353554.217850849</v>
      </c>
      <c r="I15" s="1">
        <f>+I12+I14</f>
        <v>0</v>
      </c>
      <c r="J15" s="1">
        <f>+J12+J14</f>
        <v>0</v>
      </c>
      <c r="K15" s="1">
        <f>SUM(B15:J15)</f>
        <v>10713892.07</v>
      </c>
    </row>
    <row r="17" spans="1:11" x14ac:dyDescent="0.2">
      <c r="A17" t="s">
        <v>6</v>
      </c>
      <c r="B17" s="1">
        <f>B$9/($K$9-$J$9-$I$9-$H$9)*-$H$17</f>
        <v>1061892.9373408523</v>
      </c>
      <c r="C17" s="1">
        <f>C$9/($K$9-$J$9-$I$9-$H$9)*-$H$17</f>
        <v>0</v>
      </c>
      <c r="D17" s="1">
        <f>D$9/($K$9-$J$9-$I$9-$H$9)*-$H$17</f>
        <v>0</v>
      </c>
      <c r="E17" s="1">
        <f>E$9/($K$9-$J$9-$I$9-$H$9)*-$H$17</f>
        <v>0</v>
      </c>
      <c r="G17" s="1">
        <f>G$9/($K$9-$J$9-$I$9-$H$9)*-$H$17</f>
        <v>291661.28050999669</v>
      </c>
      <c r="H17" s="1">
        <f>-H15</f>
        <v>-1353554.217850849</v>
      </c>
      <c r="K17" s="1">
        <v>0</v>
      </c>
    </row>
    <row r="18" spans="1:11" x14ac:dyDescent="0.2">
      <c r="A18" t="s">
        <v>4</v>
      </c>
      <c r="B18" s="1">
        <f>+B15+B17</f>
        <v>8405283.0470502954</v>
      </c>
      <c r="C18" s="1">
        <f>+C15+C17</f>
        <v>0</v>
      </c>
      <c r="D18" s="1">
        <f>+D15+D17</f>
        <v>0</v>
      </c>
      <c r="E18" s="1">
        <f>+E15+E17</f>
        <v>0</v>
      </c>
      <c r="G18" s="1">
        <f>+G15+G17</f>
        <v>2308609.022949704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10713892.07</v>
      </c>
    </row>
    <row r="20" spans="1:11" x14ac:dyDescent="0.2">
      <c r="A20" t="s">
        <v>7</v>
      </c>
      <c r="B20" s="1">
        <f>B$9/($K$9-$J$9-$I$9-$H$9-$G$9)*-$G$20</f>
        <v>2308609.022949704</v>
      </c>
      <c r="C20" s="1">
        <f>C$9/($K$9-$J$9-$I$9-$H$9-$G$9)*-$G$20</f>
        <v>0</v>
      </c>
      <c r="D20" s="1">
        <f>D$9/($K$9-$J$9-$I$9-$H$9-$G$9)*-$G$20</f>
        <v>0</v>
      </c>
      <c r="E20" s="1">
        <f>E$9/($K$9-$J$9-$I$9-$H$9-$G$9)*-$G$20</f>
        <v>0</v>
      </c>
      <c r="G20" s="1">
        <f>-G18</f>
        <v>-2308609.022949704</v>
      </c>
      <c r="K20" s="1">
        <f>SUM(B20:J20)</f>
        <v>0</v>
      </c>
    </row>
    <row r="22" spans="1:11" x14ac:dyDescent="0.2">
      <c r="A22" t="s">
        <v>8</v>
      </c>
      <c r="B22" s="1">
        <f>+B20+B18</f>
        <v>10713892.07</v>
      </c>
      <c r="C22" s="1">
        <f t="shared" ref="C22:K22" si="3">+C20+C18</f>
        <v>0</v>
      </c>
      <c r="D22" s="1">
        <f t="shared" si="3"/>
        <v>0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10713892.07</v>
      </c>
    </row>
    <row r="27" spans="1:11" x14ac:dyDescent="0.2">
      <c r="A27" t="s">
        <v>9</v>
      </c>
      <c r="B27" s="1">
        <f>+B9</f>
        <v>5461064.3200000003</v>
      </c>
    </row>
    <row r="28" spans="1:11" x14ac:dyDescent="0.2">
      <c r="A28" t="s">
        <v>10</v>
      </c>
      <c r="B28" s="1">
        <f>+B22-B27</f>
        <v>5252827.75</v>
      </c>
    </row>
    <row r="29" spans="1:11" x14ac:dyDescent="0.2">
      <c r="A29" s="22" t="s">
        <v>105</v>
      </c>
      <c r="B29" s="1">
        <v>812</v>
      </c>
    </row>
    <row r="30" spans="1:11" x14ac:dyDescent="0.2">
      <c r="A30" t="s">
        <v>11</v>
      </c>
      <c r="B30" s="1">
        <f>+B28/B29</f>
        <v>6468.9996921182264</v>
      </c>
    </row>
  </sheetData>
  <phoneticPr fontId="0" type="noConversion"/>
  <pageMargins left="0.57999999999999996" right="0.55000000000000004" top="0.9" bottom="0.55000000000000004" header="0.5" footer="0.5"/>
  <pageSetup orientation="landscape" horizontalDpi="4294967294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10" width="10.28515625" style="1" customWidth="1"/>
    <col min="11" max="11" width="11.42578125" style="1" customWidth="1"/>
  </cols>
  <sheetData>
    <row r="1" spans="1:11" ht="15.75" x14ac:dyDescent="0.25">
      <c r="A1" s="4" t="str">
        <f>+System!$A$1</f>
        <v>MINNESOTA STATE - F.Y. 2023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24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Table'!B19</f>
        <v>19780182.969999999</v>
      </c>
      <c r="C9" s="1">
        <f>'Master Expend Table'!C19</f>
        <v>0</v>
      </c>
      <c r="D9" s="1">
        <f>'Master Expend Table'!D19</f>
        <v>1531887.59</v>
      </c>
      <c r="E9" s="1">
        <f>'Master Expend Table'!E19</f>
        <v>0</v>
      </c>
      <c r="G9" s="1">
        <f>'Master Expend Table'!G19</f>
        <v>5525599.3700000001</v>
      </c>
      <c r="H9" s="1">
        <f>'Master Expend Table'!H19</f>
        <v>5883432.3899999997</v>
      </c>
      <c r="I9" s="1">
        <f>'Master Expend Table'!I19</f>
        <v>6635293.2199999997</v>
      </c>
      <c r="J9" s="1">
        <f>'Master Expend Table'!J19</f>
        <v>5026309.72</v>
      </c>
      <c r="K9" s="1">
        <f>SUM(B9:J9)</f>
        <v>44382705.259999998</v>
      </c>
    </row>
    <row r="11" spans="1:11" x14ac:dyDescent="0.2">
      <c r="A11" t="s">
        <v>3</v>
      </c>
      <c r="B11" s="1">
        <f>(B9/($K9-$J9))*-$J$11</f>
        <v>2526179.660544429</v>
      </c>
      <c r="C11" s="1">
        <f t="shared" ref="C11:I11" si="0">(C9/($K9-$J9))*-$J$11</f>
        <v>0</v>
      </c>
      <c r="D11" s="1">
        <f t="shared" si="0"/>
        <v>195641.42950384563</v>
      </c>
      <c r="E11" s="1">
        <f t="shared" si="0"/>
        <v>0</v>
      </c>
      <c r="G11" s="1">
        <f t="shared" si="0"/>
        <v>705688.95960071648</v>
      </c>
      <c r="H11" s="1">
        <f t="shared" si="0"/>
        <v>751388.76421658776</v>
      </c>
      <c r="I11" s="1">
        <f t="shared" si="0"/>
        <v>847410.90613442124</v>
      </c>
      <c r="J11" s="1">
        <f>-J9</f>
        <v>-5026309.72</v>
      </c>
      <c r="K11" s="1">
        <v>0</v>
      </c>
    </row>
    <row r="12" spans="1:11" x14ac:dyDescent="0.2">
      <c r="A12" t="s">
        <v>4</v>
      </c>
      <c r="B12" s="1">
        <f>+B9+B11</f>
        <v>22306362.630544428</v>
      </c>
      <c r="C12" s="1">
        <f t="shared" ref="C12:J12" si="1">+C9+C11</f>
        <v>0</v>
      </c>
      <c r="D12" s="1">
        <f t="shared" si="1"/>
        <v>1727529.0195038458</v>
      </c>
      <c r="E12" s="1">
        <f t="shared" si="1"/>
        <v>0</v>
      </c>
      <c r="G12" s="1">
        <f t="shared" si="1"/>
        <v>6231288.3296007169</v>
      </c>
      <c r="H12" s="1">
        <f t="shared" si="1"/>
        <v>6634821.1542165875</v>
      </c>
      <c r="I12" s="1">
        <f t="shared" si="1"/>
        <v>7482704.1261344207</v>
      </c>
      <c r="J12" s="1">
        <f t="shared" si="1"/>
        <v>0</v>
      </c>
      <c r="K12" s="1">
        <f>SUM(B12:J12)</f>
        <v>44382705.259999998</v>
      </c>
    </row>
    <row r="14" spans="1:11" x14ac:dyDescent="0.2">
      <c r="A14" t="s">
        <v>5</v>
      </c>
      <c r="B14" s="1">
        <f>B$9/($K$9-$J$9-$I$9)*-I14</f>
        <v>4523357.9015107211</v>
      </c>
      <c r="C14" s="1">
        <f t="shared" ref="C14:H14" si="2">C$9/($K$9-$J$9-$I$9)*-$I$14</f>
        <v>0</v>
      </c>
      <c r="D14" s="1">
        <f t="shared" si="2"/>
        <v>350314.0413292505</v>
      </c>
      <c r="E14" s="1">
        <f t="shared" si="2"/>
        <v>0</v>
      </c>
      <c r="G14" s="1">
        <f t="shared" si="2"/>
        <v>1263601.232040179</v>
      </c>
      <c r="H14" s="1">
        <f t="shared" si="2"/>
        <v>1345430.9512542698</v>
      </c>
      <c r="I14" s="1">
        <f>-I12</f>
        <v>-7482704.1261344207</v>
      </c>
      <c r="K14" s="1">
        <v>0</v>
      </c>
    </row>
    <row r="15" spans="1:11" x14ac:dyDescent="0.2">
      <c r="A15" t="s">
        <v>4</v>
      </c>
      <c r="B15" s="1">
        <f>+B12+B14</f>
        <v>26829720.532055147</v>
      </c>
      <c r="C15" s="1">
        <f>+C12+C14</f>
        <v>0</v>
      </c>
      <c r="D15" s="1">
        <f>+D12+D14</f>
        <v>2077843.0608330963</v>
      </c>
      <c r="E15" s="1">
        <f>+E12+E14</f>
        <v>0</v>
      </c>
      <c r="G15" s="1">
        <f>+G12+G14</f>
        <v>7494889.5616408959</v>
      </c>
      <c r="H15" s="1">
        <f>+H12+H14</f>
        <v>7980252.1054708576</v>
      </c>
      <c r="I15" s="1">
        <f>+I12+I14</f>
        <v>0</v>
      </c>
      <c r="J15" s="1">
        <f>+J12+J14</f>
        <v>0</v>
      </c>
      <c r="K15" s="1">
        <f>SUM(B15:J15)</f>
        <v>44382705.259999998</v>
      </c>
    </row>
    <row r="17" spans="1:11" x14ac:dyDescent="0.2">
      <c r="A17" t="s">
        <v>6</v>
      </c>
      <c r="B17" s="1">
        <f>B$9/($K$9-$J$9-$I$9-$H$9)*-$H$17</f>
        <v>5881689.699763786</v>
      </c>
      <c r="C17" s="1">
        <f>C$9/($K$9-$J$9-$I$9-$H$9)*-$H$17</f>
        <v>0</v>
      </c>
      <c r="D17" s="1">
        <f>D$9/($K$9-$J$9-$I$9-$H$9)*-$H$17</f>
        <v>455510.82479693415</v>
      </c>
      <c r="E17" s="1">
        <f>E$9/($K$9-$J$9-$I$9-$H$9)*-$H$17</f>
        <v>0</v>
      </c>
      <c r="G17" s="1">
        <f>G$9/($K$9-$J$9-$I$9-$H$9)*-$H$17</f>
        <v>1643051.5809101372</v>
      </c>
      <c r="H17" s="1">
        <f>-H15</f>
        <v>-7980252.1054708576</v>
      </c>
      <c r="K17" s="1">
        <v>0</v>
      </c>
    </row>
    <row r="18" spans="1:11" x14ac:dyDescent="0.2">
      <c r="A18" t="s">
        <v>4</v>
      </c>
      <c r="B18" s="1">
        <f>+B15+B17</f>
        <v>32711410.231818933</v>
      </c>
      <c r="C18" s="1">
        <f>+C15+C17</f>
        <v>0</v>
      </c>
      <c r="D18" s="1">
        <f>+D15+D17</f>
        <v>2533353.8856300302</v>
      </c>
      <c r="E18" s="1">
        <f>+E15+E17</f>
        <v>0</v>
      </c>
      <c r="G18" s="1">
        <f>+G15+G17</f>
        <v>9137941.1425510328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44382705.259999998</v>
      </c>
    </row>
    <row r="20" spans="1:11" x14ac:dyDescent="0.2">
      <c r="A20" t="s">
        <v>7</v>
      </c>
      <c r="B20" s="1">
        <f>B$9/($K$9-$J$9-$I$9-$H$9-$G$9)*-$G$20</f>
        <v>8481116.2416098099</v>
      </c>
      <c r="C20" s="1">
        <f>C$9/($K$9-$J$9-$I$9-$H$9-$G$9)*-$G$20</f>
        <v>0</v>
      </c>
      <c r="D20" s="1">
        <f>D$9/($K$9-$J$9-$I$9-$H$9-$G$9)*-$G$20</f>
        <v>656824.90094122279</v>
      </c>
      <c r="E20" s="1">
        <f>E$9/($K$9-$J$9-$I$9-$H$9-$G$9)*-$G$20</f>
        <v>0</v>
      </c>
      <c r="G20" s="1">
        <f>-G18</f>
        <v>-9137941.1425510328</v>
      </c>
      <c r="K20" s="1">
        <f>SUM(B20:J20)</f>
        <v>0</v>
      </c>
    </row>
    <row r="22" spans="1:11" x14ac:dyDescent="0.2">
      <c r="A22" t="s">
        <v>8</v>
      </c>
      <c r="B22" s="1">
        <f>+B20+B18</f>
        <v>41192526.473428741</v>
      </c>
      <c r="C22" s="1">
        <f t="shared" ref="C22:K22" si="3">+C20+C18</f>
        <v>0</v>
      </c>
      <c r="D22" s="1">
        <f t="shared" si="3"/>
        <v>3190178.7865712531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44382705.259999998</v>
      </c>
    </row>
    <row r="27" spans="1:11" x14ac:dyDescent="0.2">
      <c r="A27" t="s">
        <v>9</v>
      </c>
      <c r="B27" s="1">
        <f>+B9</f>
        <v>19780182.969999999</v>
      </c>
    </row>
    <row r="28" spans="1:11" x14ac:dyDescent="0.2">
      <c r="A28" t="s">
        <v>10</v>
      </c>
      <c r="B28" s="1">
        <f>+B22-B27</f>
        <v>21412343.503428742</v>
      </c>
    </row>
    <row r="29" spans="1:11" x14ac:dyDescent="0.2">
      <c r="A29" s="22" t="s">
        <v>105</v>
      </c>
      <c r="B29" s="1">
        <v>2546</v>
      </c>
    </row>
    <row r="30" spans="1:11" x14ac:dyDescent="0.2">
      <c r="A30" t="s">
        <v>11</v>
      </c>
      <c r="B30" s="1">
        <f>+B28/B29</f>
        <v>8410.1899070812033</v>
      </c>
    </row>
  </sheetData>
  <phoneticPr fontId="0" type="noConversion"/>
  <pageMargins left="0.51" right="0.55000000000000004" top="1" bottom="0.56000000000000005" header="0.5" footer="0.5"/>
  <pageSetup orientation="landscape" horizontalDpi="4294967294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10" width="10.28515625" style="1" customWidth="1"/>
    <col min="11" max="11" width="11.42578125" style="1" customWidth="1"/>
  </cols>
  <sheetData>
    <row r="1" spans="1:11" ht="15.75" x14ac:dyDescent="0.25">
      <c r="A1" s="4" t="str">
        <f>+System!$A$1</f>
        <v>MINNESOTA STATE - F.Y. 2023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26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Table'!B20</f>
        <v>16466154.57</v>
      </c>
      <c r="C9" s="1">
        <f>'Master Expend Table'!C20</f>
        <v>0</v>
      </c>
      <c r="D9" s="1">
        <f>'Master Expend Table'!D20</f>
        <v>2934563.11</v>
      </c>
      <c r="E9" s="1">
        <f>'Master Expend Table'!E20</f>
        <v>0</v>
      </c>
      <c r="G9" s="1">
        <f>'Master Expend Table'!G20</f>
        <v>3162318.33</v>
      </c>
      <c r="H9" s="1">
        <f>'Master Expend Table'!H20</f>
        <v>3064930.36</v>
      </c>
      <c r="I9" s="1">
        <f>'Master Expend Table'!I20</f>
        <v>4876742.74</v>
      </c>
      <c r="J9" s="1">
        <f>'Master Expend Table'!J20</f>
        <v>4269051.0999999996</v>
      </c>
      <c r="K9" s="1">
        <f>SUM(B9:J9)</f>
        <v>34773760.210000001</v>
      </c>
    </row>
    <row r="11" spans="1:11" x14ac:dyDescent="0.2">
      <c r="A11" t="s">
        <v>3</v>
      </c>
      <c r="B11" s="1">
        <f>(B9/($K9-$J9))*-$J$11</f>
        <v>2304393.5618708977</v>
      </c>
      <c r="C11" s="1">
        <f t="shared" ref="C11:I11" si="0">(C9/($K9-$J9))*-$J$11</f>
        <v>0</v>
      </c>
      <c r="D11" s="1">
        <f t="shared" si="0"/>
        <v>410684.12839439529</v>
      </c>
      <c r="E11" s="1">
        <f t="shared" si="0"/>
        <v>0</v>
      </c>
      <c r="G11" s="1">
        <f t="shared" si="0"/>
        <v>442557.85218456923</v>
      </c>
      <c r="H11" s="1">
        <f t="shared" si="0"/>
        <v>428928.67057342659</v>
      </c>
      <c r="I11" s="1">
        <f t="shared" si="0"/>
        <v>682486.88697671099</v>
      </c>
      <c r="J11" s="1">
        <f>-J9</f>
        <v>-4269051.0999999996</v>
      </c>
      <c r="K11" s="1">
        <v>0</v>
      </c>
    </row>
    <row r="12" spans="1:11" x14ac:dyDescent="0.2">
      <c r="A12" t="s">
        <v>4</v>
      </c>
      <c r="B12" s="1">
        <f>+B9+B11</f>
        <v>18770548.131870899</v>
      </c>
      <c r="C12" s="1">
        <f t="shared" ref="C12:J12" si="1">+C9+C11</f>
        <v>0</v>
      </c>
      <c r="D12" s="1">
        <f t="shared" si="1"/>
        <v>3345247.238394395</v>
      </c>
      <c r="E12" s="1">
        <f t="shared" si="1"/>
        <v>0</v>
      </c>
      <c r="G12" s="1">
        <f t="shared" si="1"/>
        <v>3604876.1821845695</v>
      </c>
      <c r="H12" s="1">
        <f t="shared" si="1"/>
        <v>3493859.0305734263</v>
      </c>
      <c r="I12" s="1">
        <f t="shared" si="1"/>
        <v>5559229.6269767117</v>
      </c>
      <c r="J12" s="1">
        <f t="shared" si="1"/>
        <v>0</v>
      </c>
      <c r="K12" s="1">
        <f>SUM(B12:J12)</f>
        <v>34773760.210000001</v>
      </c>
    </row>
    <row r="14" spans="1:11" x14ac:dyDescent="0.2">
      <c r="A14" t="s">
        <v>5</v>
      </c>
      <c r="B14" s="1">
        <f>B$9/($K$9-$J$9-$I$9)*-I14</f>
        <v>3571845.4209881183</v>
      </c>
      <c r="C14" s="1">
        <f t="shared" ref="C14:H14" si="2">C$9/($K$9-$J$9-$I$9)*-$I$14</f>
        <v>0</v>
      </c>
      <c r="D14" s="1">
        <f t="shared" si="2"/>
        <v>636566.70793988253</v>
      </c>
      <c r="E14" s="1">
        <f t="shared" si="2"/>
        <v>0</v>
      </c>
      <c r="G14" s="1">
        <f t="shared" si="2"/>
        <v>685971.46945871855</v>
      </c>
      <c r="H14" s="1">
        <f t="shared" si="2"/>
        <v>664846.02858999302</v>
      </c>
      <c r="I14" s="1">
        <f>-I12</f>
        <v>-5559229.6269767117</v>
      </c>
      <c r="K14" s="1">
        <v>0</v>
      </c>
    </row>
    <row r="15" spans="1:11" x14ac:dyDescent="0.2">
      <c r="A15" t="s">
        <v>4</v>
      </c>
      <c r="B15" s="1">
        <f>+B12+B14</f>
        <v>22342393.552859016</v>
      </c>
      <c r="C15" s="1">
        <f>+C12+C14</f>
        <v>0</v>
      </c>
      <c r="D15" s="1">
        <f>+D12+D14</f>
        <v>3981813.9463342773</v>
      </c>
      <c r="E15" s="1">
        <f>+E12+E14</f>
        <v>0</v>
      </c>
      <c r="G15" s="1">
        <f>+G12+G14</f>
        <v>4290847.6516432883</v>
      </c>
      <c r="H15" s="1">
        <f>+H12+H14</f>
        <v>4158705.0591634195</v>
      </c>
      <c r="I15" s="1">
        <f>+I12+I14</f>
        <v>0</v>
      </c>
      <c r="J15" s="1">
        <f>+J12+J14</f>
        <v>0</v>
      </c>
      <c r="K15" s="1">
        <f>SUM(B15:J15)</f>
        <v>34773760.210000001</v>
      </c>
    </row>
    <row r="17" spans="1:11" x14ac:dyDescent="0.2">
      <c r="A17" t="s">
        <v>6</v>
      </c>
      <c r="B17" s="1">
        <f>B$9/($K$9-$J$9-$I$9-$H$9)*-$H$17</f>
        <v>3034958.6059640329</v>
      </c>
      <c r="C17" s="1">
        <f>C$9/($K$9-$J$9-$I$9-$H$9)*-$H$17</f>
        <v>0</v>
      </c>
      <c r="D17" s="1">
        <f>D$9/($K$9-$J$9-$I$9-$H$9)*-$H$17</f>
        <v>540883.87957110466</v>
      </c>
      <c r="E17" s="1">
        <f>E$9/($K$9-$J$9-$I$9-$H$9)*-$H$17</f>
        <v>0</v>
      </c>
      <c r="G17" s="1">
        <f>G$9/($K$9-$J$9-$I$9-$H$9)*-$H$17</f>
        <v>582862.57362828264</v>
      </c>
      <c r="H17" s="1">
        <f>-H15</f>
        <v>-4158705.0591634195</v>
      </c>
      <c r="K17" s="1">
        <v>0</v>
      </c>
    </row>
    <row r="18" spans="1:11" x14ac:dyDescent="0.2">
      <c r="A18" t="s">
        <v>4</v>
      </c>
      <c r="B18" s="1">
        <f>+B15+B17</f>
        <v>25377352.158823051</v>
      </c>
      <c r="C18" s="1">
        <f>+C15+C17</f>
        <v>0</v>
      </c>
      <c r="D18" s="1">
        <f>+D15+D17</f>
        <v>4522697.8259053817</v>
      </c>
      <c r="E18" s="1">
        <f>+E15+E17</f>
        <v>0</v>
      </c>
      <c r="G18" s="1">
        <f>+G15+G17</f>
        <v>4873710.2252715714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34773760.210000008</v>
      </c>
    </row>
    <row r="20" spans="1:11" x14ac:dyDescent="0.2">
      <c r="A20" t="s">
        <v>7</v>
      </c>
      <c r="B20" s="1">
        <f>B$9/($K$9-$J$9-$I$9-$H$9-$G$9)*-$G$20</f>
        <v>4136510.1653657597</v>
      </c>
      <c r="C20" s="1">
        <f>C$9/($K$9-$J$9-$I$9-$H$9-$G$9)*-$G$20</f>
        <v>0</v>
      </c>
      <c r="D20" s="1">
        <f>D$9/($K$9-$J$9-$I$9-$H$9-$G$9)*-$G$20</f>
        <v>737200.0599058118</v>
      </c>
      <c r="E20" s="1">
        <f>E$9/($K$9-$J$9-$I$9-$H$9-$G$9)*-$G$20</f>
        <v>0</v>
      </c>
      <c r="G20" s="1">
        <f>-G18</f>
        <v>-4873710.2252715714</v>
      </c>
      <c r="K20" s="1">
        <f>SUM(B20:J20)</f>
        <v>0</v>
      </c>
    </row>
    <row r="22" spans="1:11" x14ac:dyDescent="0.2">
      <c r="A22" t="s">
        <v>8</v>
      </c>
      <c r="B22" s="1">
        <f>+B20+B18</f>
        <v>29513862.32418881</v>
      </c>
      <c r="C22" s="1">
        <f t="shared" ref="C22:K22" si="3">+C20+C18</f>
        <v>0</v>
      </c>
      <c r="D22" s="1">
        <f t="shared" si="3"/>
        <v>5259897.8858111938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34773760.210000008</v>
      </c>
    </row>
    <row r="27" spans="1:11" x14ac:dyDescent="0.2">
      <c r="A27" t="s">
        <v>9</v>
      </c>
      <c r="B27" s="1">
        <f>+B9</f>
        <v>16466154.57</v>
      </c>
    </row>
    <row r="28" spans="1:11" x14ac:dyDescent="0.2">
      <c r="A28" t="s">
        <v>10</v>
      </c>
      <c r="B28" s="1">
        <f>+B22-B27</f>
        <v>13047707.75418881</v>
      </c>
    </row>
    <row r="29" spans="1:11" x14ac:dyDescent="0.2">
      <c r="A29" s="22" t="s">
        <v>105</v>
      </c>
      <c r="B29" s="1">
        <v>2353</v>
      </c>
    </row>
    <row r="30" spans="1:11" x14ac:dyDescent="0.2">
      <c r="A30" t="s">
        <v>11</v>
      </c>
      <c r="B30" s="1">
        <f>+B28/B29</f>
        <v>5545.1371671010666</v>
      </c>
    </row>
  </sheetData>
  <phoneticPr fontId="0" type="noConversion"/>
  <pageMargins left="0.49" right="0.55000000000000004" top="1" bottom="0.51" header="0.5" footer="0.5"/>
  <pageSetup orientation="landscape" horizontalDpi="4294967294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6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7" width="11.140625" style="1" customWidth="1"/>
    <col min="8" max="10" width="10.28515625" style="1" customWidth="1"/>
    <col min="11" max="11" width="13" style="1" customWidth="1"/>
  </cols>
  <sheetData>
    <row r="1" spans="1:11" ht="15.75" x14ac:dyDescent="0.25">
      <c r="A1" s="4" t="str">
        <f>+System!$A$1</f>
        <v>MINNESOTA STATE - F.Y. 2023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49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Table'!B21</f>
        <v>31591907.719999999</v>
      </c>
      <c r="C9" s="1">
        <f>'Master Expend Table'!C21</f>
        <v>599502.82999999996</v>
      </c>
      <c r="D9" s="1">
        <f>'Master Expend Table'!D21</f>
        <v>97816.25</v>
      </c>
      <c r="E9" s="1">
        <f>'Master Expend Table'!E21</f>
        <v>0</v>
      </c>
      <c r="G9" s="1">
        <f>'Master Expend Table'!G21</f>
        <v>24724962.359999999</v>
      </c>
      <c r="H9" s="1">
        <f>'Master Expend Table'!H21</f>
        <v>5477432.2000000002</v>
      </c>
      <c r="I9" s="1">
        <f>'Master Expend Table'!I21</f>
        <v>19697790.309999999</v>
      </c>
      <c r="J9" s="1">
        <f>'Master Expend Table'!J21</f>
        <v>7145033.1699999999</v>
      </c>
      <c r="K9" s="1">
        <f>SUM(B9:J9)</f>
        <v>89334444.840000004</v>
      </c>
    </row>
    <row r="11" spans="1:11" x14ac:dyDescent="0.2">
      <c r="A11" t="s">
        <v>3</v>
      </c>
      <c r="B11" s="1">
        <f>(B9/($K9-$J9))*-$J$11</f>
        <v>2746402.7783687268</v>
      </c>
      <c r="C11" s="1">
        <f t="shared" ref="C11:I11" si="0">(C9/($K9-$J9))*-$J$11</f>
        <v>52117.024794598714</v>
      </c>
      <c r="D11" s="1">
        <f t="shared" si="0"/>
        <v>8503.532713206152</v>
      </c>
      <c r="E11" s="1">
        <f t="shared" si="0"/>
        <v>0</v>
      </c>
      <c r="G11" s="1">
        <f t="shared" si="0"/>
        <v>2149433.5170388436</v>
      </c>
      <c r="H11" s="1">
        <f t="shared" si="0"/>
        <v>476173.6817458116</v>
      </c>
      <c r="I11" s="1">
        <f t="shared" si="0"/>
        <v>1712402.6353388128</v>
      </c>
      <c r="J11" s="1">
        <f>-J9</f>
        <v>-7145033.1699999999</v>
      </c>
      <c r="K11" s="1">
        <v>0</v>
      </c>
    </row>
    <row r="12" spans="1:11" x14ac:dyDescent="0.2">
      <c r="A12" t="s">
        <v>4</v>
      </c>
      <c r="B12" s="1">
        <f>+B9+B11</f>
        <v>34338310.498368725</v>
      </c>
      <c r="C12" s="1">
        <f t="shared" ref="C12:J12" si="1">+C9+C11</f>
        <v>651619.85479459865</v>
      </c>
      <c r="D12" s="1">
        <f t="shared" si="1"/>
        <v>106319.78271320615</v>
      </c>
      <c r="E12" s="1">
        <f t="shared" si="1"/>
        <v>0</v>
      </c>
      <c r="G12" s="1">
        <f t="shared" si="1"/>
        <v>26874395.877038844</v>
      </c>
      <c r="H12" s="1">
        <f t="shared" si="1"/>
        <v>5953605.8817458116</v>
      </c>
      <c r="I12" s="1">
        <f t="shared" si="1"/>
        <v>21410192.945338812</v>
      </c>
      <c r="J12" s="1">
        <f t="shared" si="1"/>
        <v>0</v>
      </c>
      <c r="K12" s="1">
        <f>SUM(B12:J12)</f>
        <v>89334444.840000004</v>
      </c>
    </row>
    <row r="14" spans="1:11" x14ac:dyDescent="0.2">
      <c r="A14" t="s">
        <v>5</v>
      </c>
      <c r="B14" s="1">
        <f>B$9/($K$9-$J$9-$I$9)*-I14</f>
        <v>10823672.439222157</v>
      </c>
      <c r="C14" s="1">
        <f t="shared" ref="C14:H14" si="2">C$9/($K$9-$J$9-$I$9)*-$I$14</f>
        <v>205395.07508749733</v>
      </c>
      <c r="D14" s="1">
        <f t="shared" si="2"/>
        <v>33512.729228529934</v>
      </c>
      <c r="E14" s="1">
        <f t="shared" si="2"/>
        <v>0</v>
      </c>
      <c r="G14" s="1">
        <f t="shared" si="2"/>
        <v>8470995.0417877845</v>
      </c>
      <c r="H14" s="1">
        <f t="shared" si="2"/>
        <v>1876617.6600128408</v>
      </c>
      <c r="I14" s="1">
        <f>-I12</f>
        <v>-21410192.945338812</v>
      </c>
      <c r="K14" s="1">
        <v>0</v>
      </c>
    </row>
    <row r="15" spans="1:11" x14ac:dyDescent="0.2">
      <c r="A15" t="s">
        <v>4</v>
      </c>
      <c r="B15" s="1">
        <f>+B12+B14</f>
        <v>45161982.937590882</v>
      </c>
      <c r="C15" s="1">
        <f>+C12+C14</f>
        <v>857014.92988209601</v>
      </c>
      <c r="D15" s="1">
        <f>+D12+D14</f>
        <v>139832.5119417361</v>
      </c>
      <c r="E15" s="1">
        <f>+E12+E14</f>
        <v>0</v>
      </c>
      <c r="G15" s="1">
        <f>+G12+G14</f>
        <v>35345390.918826625</v>
      </c>
      <c r="H15" s="1">
        <f>+H12+H14</f>
        <v>7830223.5417586528</v>
      </c>
      <c r="I15" s="1">
        <f>+I12+I14</f>
        <v>0</v>
      </c>
      <c r="J15" s="1">
        <f>+J12+J14</f>
        <v>0</v>
      </c>
      <c r="K15" s="1">
        <f>SUM(B15:J15)</f>
        <v>89334444.840000004</v>
      </c>
    </row>
    <row r="17" spans="1:11" x14ac:dyDescent="0.2">
      <c r="A17" t="s">
        <v>6</v>
      </c>
      <c r="B17" s="1">
        <f>B$9/($K$9-$J$9-$I$9-$H$9)*-$H$17</f>
        <v>4338774.3157059904</v>
      </c>
      <c r="C17" s="1">
        <f>C$9/($K$9-$J$9-$I$9-$H$9)*-$H$17</f>
        <v>82334.612523268501</v>
      </c>
      <c r="D17" s="1">
        <f>D$9/($K$9-$J$9-$I$9-$H$9)*-$H$17</f>
        <v>13433.903293215752</v>
      </c>
      <c r="E17" s="1">
        <f>E$9/($K$9-$J$9-$I$9-$H$9)*-$H$17</f>
        <v>0</v>
      </c>
      <c r="G17" s="1">
        <f>G$9/($K$9-$J$9-$I$9-$H$9)*-$H$17</f>
        <v>3395680.7102361778</v>
      </c>
      <c r="H17" s="1">
        <f>-H15</f>
        <v>-7830223.5417586528</v>
      </c>
      <c r="K17" s="1">
        <v>0</v>
      </c>
    </row>
    <row r="18" spans="1:11" x14ac:dyDescent="0.2">
      <c r="A18" t="s">
        <v>4</v>
      </c>
      <c r="B18" s="1">
        <f>+B15+B17</f>
        <v>49500757.253296874</v>
      </c>
      <c r="C18" s="1">
        <f>+C15+C17</f>
        <v>939349.54240536457</v>
      </c>
      <c r="D18" s="1">
        <f>+D15+D17</f>
        <v>153266.41523495186</v>
      </c>
      <c r="E18" s="1">
        <f>+E15+E17</f>
        <v>0</v>
      </c>
      <c r="G18" s="1">
        <f>+G15+G17</f>
        <v>38741071.629062802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89334444.840000004</v>
      </c>
    </row>
    <row r="20" spans="1:11" x14ac:dyDescent="0.2">
      <c r="A20" t="s">
        <v>7</v>
      </c>
      <c r="B20" s="1">
        <f>B$9/($K$9-$J$9-$I$9-$H$9-$G$9)*-$G$20</f>
        <v>37904418.320703246</v>
      </c>
      <c r="C20" s="1">
        <f>C$9/($K$9-$J$9-$I$9-$H$9-$G$9)*-$G$20</f>
        <v>719291.9862316387</v>
      </c>
      <c r="D20" s="1">
        <f>D$9/($K$9-$J$9-$I$9-$H$9-$G$9)*-$G$20</f>
        <v>117361.32212792146</v>
      </c>
      <c r="E20" s="1">
        <f>E$9/($K$9-$J$9-$I$9-$H$9-$G$9)*-$G$20</f>
        <v>0</v>
      </c>
      <c r="G20" s="1">
        <f>-G18</f>
        <v>-38741071.629062802</v>
      </c>
      <c r="K20" s="1">
        <f>SUM(B20:J20)</f>
        <v>0</v>
      </c>
    </row>
    <row r="22" spans="1:11" x14ac:dyDescent="0.2">
      <c r="A22" t="s">
        <v>8</v>
      </c>
      <c r="B22" s="1">
        <f>+B20+B18</f>
        <v>87405175.57400012</v>
      </c>
      <c r="C22" s="1">
        <f t="shared" ref="C22:K22" si="3">+C20+C18</f>
        <v>1658641.5286370032</v>
      </c>
      <c r="D22" s="1">
        <f t="shared" si="3"/>
        <v>270627.73736287333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89334444.840000004</v>
      </c>
    </row>
    <row r="27" spans="1:11" x14ac:dyDescent="0.2">
      <c r="A27" t="s">
        <v>9</v>
      </c>
      <c r="B27" s="1">
        <f>+B9</f>
        <v>31591907.719999999</v>
      </c>
    </row>
    <row r="28" spans="1:11" x14ac:dyDescent="0.2">
      <c r="A28" t="s">
        <v>10</v>
      </c>
      <c r="B28" s="1">
        <f>+B22-B27</f>
        <v>55813267.854000121</v>
      </c>
    </row>
    <row r="29" spans="1:11" x14ac:dyDescent="0.2">
      <c r="A29" s="22" t="s">
        <v>105</v>
      </c>
      <c r="B29" s="1">
        <v>4839</v>
      </c>
    </row>
    <row r="30" spans="1:11" x14ac:dyDescent="0.2">
      <c r="A30" t="s">
        <v>11</v>
      </c>
      <c r="B30" s="1">
        <f>+B28/B29</f>
        <v>11534.049980161215</v>
      </c>
    </row>
  </sheetData>
  <phoneticPr fontId="0" type="noConversion"/>
  <pageMargins left="0.63" right="0.55000000000000004" top="1" bottom="0.55000000000000004" header="0.5" footer="0.5"/>
  <pageSetup scale="10" orientation="landscape" horizontalDpi="4294967294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10" width="10.28515625" style="1" customWidth="1"/>
    <col min="11" max="11" width="14" style="1" customWidth="1"/>
  </cols>
  <sheetData>
    <row r="1" spans="1:11" ht="15.75" x14ac:dyDescent="0.25">
      <c r="A1" s="4" t="str">
        <f>+System!$A$1</f>
        <v>MINNESOTA STATE - F.Y. 2023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88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Table'!B22</f>
        <v>20964539.98</v>
      </c>
      <c r="C9" s="1">
        <f>'Master Expend Table'!C22</f>
        <v>0</v>
      </c>
      <c r="D9" s="1">
        <f>'Master Expend Table'!D22</f>
        <v>943662.01</v>
      </c>
      <c r="E9" s="1">
        <f>'Master Expend Table'!E22</f>
        <v>0</v>
      </c>
      <c r="G9" s="1">
        <f>'Master Expend Table'!G22</f>
        <v>7905553.5300000003</v>
      </c>
      <c r="H9" s="1">
        <f>'Master Expend Table'!H22</f>
        <v>6908480.6200000001</v>
      </c>
      <c r="I9" s="1">
        <f>'Master Expend Table'!I22</f>
        <v>7292070.6900000004</v>
      </c>
      <c r="J9" s="1">
        <f>'Master Expend Table'!J22</f>
        <v>6761872.5800000001</v>
      </c>
      <c r="K9" s="1">
        <f>SUM(B9:J9)</f>
        <v>50776179.409999996</v>
      </c>
    </row>
    <row r="11" spans="1:11" x14ac:dyDescent="0.2">
      <c r="A11" t="s">
        <v>3</v>
      </c>
      <c r="B11" s="1">
        <f>(B9/($K9-$J9))*-$J$11</f>
        <v>3220760.6629045657</v>
      </c>
      <c r="C11" s="1">
        <f t="shared" ref="C11:I11" si="0">(C9/($K9-$J9))*-$J$11</f>
        <v>0</v>
      </c>
      <c r="D11" s="1">
        <f t="shared" si="0"/>
        <v>144973.82169057522</v>
      </c>
      <c r="E11" s="1">
        <f t="shared" si="0"/>
        <v>0</v>
      </c>
      <c r="G11" s="1">
        <f t="shared" si="0"/>
        <v>1214522.0382703734</v>
      </c>
      <c r="H11" s="1">
        <f t="shared" si="0"/>
        <v>1061342.7550788808</v>
      </c>
      <c r="I11" s="1">
        <f t="shared" si="0"/>
        <v>1120273.3020556052</v>
      </c>
      <c r="J11" s="1">
        <f>-J9</f>
        <v>-6761872.5800000001</v>
      </c>
      <c r="K11" s="1">
        <v>0</v>
      </c>
    </row>
    <row r="12" spans="1:11" x14ac:dyDescent="0.2">
      <c r="A12" t="s">
        <v>4</v>
      </c>
      <c r="B12" s="1">
        <f>+B9+B11</f>
        <v>24185300.642904565</v>
      </c>
      <c r="C12" s="1">
        <f t="shared" ref="C12:J12" si="1">+C9+C11</f>
        <v>0</v>
      </c>
      <c r="D12" s="1">
        <f t="shared" si="1"/>
        <v>1088635.8316905752</v>
      </c>
      <c r="E12" s="1">
        <f t="shared" si="1"/>
        <v>0</v>
      </c>
      <c r="G12" s="1">
        <f t="shared" si="1"/>
        <v>9120075.5682703741</v>
      </c>
      <c r="H12" s="1">
        <f t="shared" si="1"/>
        <v>7969823.3750788812</v>
      </c>
      <c r="I12" s="1">
        <f t="shared" si="1"/>
        <v>8412343.9920556061</v>
      </c>
      <c r="J12" s="1">
        <f t="shared" si="1"/>
        <v>0</v>
      </c>
      <c r="K12" s="1">
        <f>SUM(B12:J12)</f>
        <v>50776179.409999996</v>
      </c>
    </row>
    <row r="14" spans="1:11" x14ac:dyDescent="0.2">
      <c r="A14" t="s">
        <v>5</v>
      </c>
      <c r="B14" s="1">
        <f>B$9/($K$9-$J$9-$I$9)*-I14</f>
        <v>4802564.8894202271</v>
      </c>
      <c r="C14" s="1">
        <f t="shared" ref="C14:H14" si="2">C$9/($K$9-$J$9-$I$9)*-$I$14</f>
        <v>0</v>
      </c>
      <c r="D14" s="1">
        <f t="shared" si="2"/>
        <v>216174.45653609419</v>
      </c>
      <c r="E14" s="1">
        <f t="shared" si="2"/>
        <v>0</v>
      </c>
      <c r="G14" s="1">
        <f t="shared" si="2"/>
        <v>1811007.2460845923</v>
      </c>
      <c r="H14" s="1">
        <f t="shared" si="2"/>
        <v>1582597.4000146929</v>
      </c>
      <c r="I14" s="1">
        <f>-I12</f>
        <v>-8412343.9920556061</v>
      </c>
      <c r="K14" s="1">
        <v>0</v>
      </c>
    </row>
    <row r="15" spans="1:11" x14ac:dyDescent="0.2">
      <c r="A15" t="s">
        <v>4</v>
      </c>
      <c r="B15" s="1">
        <f>+B12+B14</f>
        <v>28987865.532324791</v>
      </c>
      <c r="C15" s="1">
        <f>+C12+C14</f>
        <v>0</v>
      </c>
      <c r="D15" s="1">
        <f>+D12+D14</f>
        <v>1304810.2882266694</v>
      </c>
      <c r="E15" s="1">
        <f>+E12+E14</f>
        <v>0</v>
      </c>
      <c r="G15" s="1">
        <f>+G12+G14</f>
        <v>10931082.814354967</v>
      </c>
      <c r="H15" s="1">
        <f>+H12+H14</f>
        <v>9552420.7750935741</v>
      </c>
      <c r="I15" s="1">
        <f>+I12+I14</f>
        <v>0</v>
      </c>
      <c r="J15" s="1">
        <f>+J12+J14</f>
        <v>0</v>
      </c>
      <c r="K15" s="1">
        <f>SUM(B15:J15)</f>
        <v>50776179.409999996</v>
      </c>
    </row>
    <row r="17" spans="1:11" x14ac:dyDescent="0.2">
      <c r="A17" t="s">
        <v>6</v>
      </c>
      <c r="B17" s="1">
        <f>B$9/($K$9-$J$9-$I$9-$H$9)*-$H$17</f>
        <v>6717104.3618067419</v>
      </c>
      <c r="C17" s="1">
        <f>C$9/($K$9-$J$9-$I$9-$H$9)*-$H$17</f>
        <v>0</v>
      </c>
      <c r="D17" s="1">
        <f>D$9/($K$9-$J$9-$I$9-$H$9)*-$H$17</f>
        <v>302352.26766193594</v>
      </c>
      <c r="E17" s="1">
        <f>E$9/($K$9-$J$9-$I$9-$H$9)*-$H$17</f>
        <v>0</v>
      </c>
      <c r="G17" s="1">
        <f>G$9/($K$9-$J$9-$I$9-$H$9)*-$H$17</f>
        <v>2532964.1456248965</v>
      </c>
      <c r="H17" s="1">
        <f>-H15</f>
        <v>-9552420.7750935741</v>
      </c>
      <c r="K17" s="1">
        <v>0</v>
      </c>
    </row>
    <row r="18" spans="1:11" x14ac:dyDescent="0.2">
      <c r="A18" t="s">
        <v>4</v>
      </c>
      <c r="B18" s="1">
        <f>+B15+B17</f>
        <v>35704969.894131534</v>
      </c>
      <c r="C18" s="1">
        <f>+C15+C17</f>
        <v>0</v>
      </c>
      <c r="D18" s="1">
        <f>+D15+D17</f>
        <v>1607162.5558886053</v>
      </c>
      <c r="E18" s="1">
        <f>+E15+E17</f>
        <v>0</v>
      </c>
      <c r="G18" s="1">
        <f>+G15+G17</f>
        <v>13464046.959979864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50776179.410000004</v>
      </c>
    </row>
    <row r="20" spans="1:11" x14ac:dyDescent="0.2">
      <c r="A20" t="s">
        <v>7</v>
      </c>
      <c r="B20" s="1">
        <f>B$9/($K$9-$J$9-$I$9-$H$9-$G$9)*-$G$20</f>
        <v>12884103.903822703</v>
      </c>
      <c r="C20" s="1">
        <f>C$9/($K$9-$J$9-$I$9-$H$9-$G$9)*-$G$20</f>
        <v>0</v>
      </c>
      <c r="D20" s="1">
        <f>D$9/($K$9-$J$9-$I$9-$H$9-$G$9)*-$G$20</f>
        <v>579943.05615716067</v>
      </c>
      <c r="E20" s="1">
        <f>E$9/($K$9-$J$9-$I$9-$H$9-$G$9)*-$G$20</f>
        <v>0</v>
      </c>
      <c r="G20" s="1">
        <f>-G18</f>
        <v>-13464046.959979864</v>
      </c>
      <c r="K20" s="1">
        <f>SUM(B20:J20)</f>
        <v>0</v>
      </c>
    </row>
    <row r="22" spans="1:11" x14ac:dyDescent="0.2">
      <c r="A22" t="s">
        <v>8</v>
      </c>
      <c r="B22" s="1">
        <f>+B20+B18</f>
        <v>48589073.797954239</v>
      </c>
      <c r="C22" s="1">
        <f t="shared" ref="C22:K22" si="3">+C20+C18</f>
        <v>0</v>
      </c>
      <c r="D22" s="1">
        <f t="shared" si="3"/>
        <v>2187105.6120457659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50776179.410000004</v>
      </c>
    </row>
    <row r="27" spans="1:11" x14ac:dyDescent="0.2">
      <c r="A27" t="s">
        <v>9</v>
      </c>
      <c r="B27" s="1">
        <f>+B9</f>
        <v>20964539.98</v>
      </c>
    </row>
    <row r="28" spans="1:11" x14ac:dyDescent="0.2">
      <c r="A28" t="s">
        <v>10</v>
      </c>
      <c r="B28" s="1">
        <f>+B22-B27</f>
        <v>27624533.817954239</v>
      </c>
    </row>
    <row r="29" spans="1:11" x14ac:dyDescent="0.2">
      <c r="A29" s="22" t="s">
        <v>105</v>
      </c>
      <c r="B29" s="1">
        <v>3876</v>
      </c>
    </row>
    <row r="30" spans="1:11" x14ac:dyDescent="0.2">
      <c r="A30" t="s">
        <v>11</v>
      </c>
      <c r="B30" s="1">
        <f>+B28/B29</f>
        <v>7127.0727084505261</v>
      </c>
    </row>
  </sheetData>
  <phoneticPr fontId="0" type="noConversion"/>
  <pageMargins left="0.59" right="0.55000000000000004" top="1" bottom="0.56000000000000005" header="0.5" footer="0.5"/>
  <pageSetup scale="10" orientation="landscape" horizontalDpi="4294967294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30"/>
  <sheetViews>
    <sheetView zoomScale="75" workbookViewId="0">
      <selection activeCell="B9" sqref="B9"/>
    </sheetView>
  </sheetViews>
  <sheetFormatPr defaultRowHeight="12.75" x14ac:dyDescent="0.2"/>
  <cols>
    <col min="1" max="1" width="24.5703125" customWidth="1"/>
    <col min="2" max="2" width="14.28515625" style="1" customWidth="1"/>
    <col min="3" max="3" width="11.28515625" style="1" customWidth="1"/>
    <col min="4" max="4" width="11" style="1" customWidth="1"/>
    <col min="5" max="5" width="11.140625" style="1" customWidth="1"/>
    <col min="6" max="6" width="2.7109375" style="1" customWidth="1"/>
    <col min="7" max="7" width="13.5703125" style="1" bestFit="1" customWidth="1"/>
    <col min="8" max="9" width="13.28515625" style="1" bestFit="1" customWidth="1"/>
    <col min="10" max="10" width="12.42578125" style="1" customWidth="1"/>
    <col min="11" max="11" width="13" style="1" customWidth="1"/>
  </cols>
  <sheetData>
    <row r="1" spans="1:11" ht="15.75" x14ac:dyDescent="0.25">
      <c r="A1" s="4" t="s">
        <v>106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60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+'Master Expend Table'!B43</f>
        <v>713191247.89000022</v>
      </c>
      <c r="C9" s="1">
        <f>+'Master Expend Table'!C43</f>
        <v>3579591.7699999996</v>
      </c>
      <c r="D9" s="1">
        <f>+'Master Expend Table'!D43</f>
        <v>30982846.539999995</v>
      </c>
      <c r="E9" s="1">
        <f>+'Master Expend Table'!E43</f>
        <v>38297998.299999997</v>
      </c>
      <c r="G9" s="1">
        <f>+'Master Expend Table'!G43</f>
        <v>238371420.42000002</v>
      </c>
      <c r="H9" s="1">
        <f>+'Master Expend Table'!H43</f>
        <v>177151176.34</v>
      </c>
      <c r="I9" s="1">
        <f>+'Master Expend Table'!I43</f>
        <v>244669222.52000001</v>
      </c>
      <c r="J9" s="1">
        <f>+'Master Expend Table'!J43</f>
        <v>170690735.57000005</v>
      </c>
      <c r="K9" s="1">
        <f>SUM(B9:J9)</f>
        <v>1616934239.3499999</v>
      </c>
    </row>
    <row r="11" spans="1:11" x14ac:dyDescent="0.2">
      <c r="A11" t="s">
        <v>3</v>
      </c>
      <c r="B11" s="1">
        <f>(B9/($K9-$J9))*-$J$11</f>
        <v>84173334.840402186</v>
      </c>
      <c r="C11" s="1">
        <f t="shared" ref="C11:I11" si="0">(C9/($K9-$J9))*-$J$11</f>
        <v>422475.98738708883</v>
      </c>
      <c r="D11" s="1">
        <f t="shared" si="0"/>
        <v>3656704.3185623228</v>
      </c>
      <c r="E11" s="1">
        <f t="shared" si="0"/>
        <v>4520064.2102106381</v>
      </c>
      <c r="G11" s="1">
        <f t="shared" si="0"/>
        <v>28133431.876451764</v>
      </c>
      <c r="H11" s="1">
        <f t="shared" si="0"/>
        <v>20908003.747317199</v>
      </c>
      <c r="I11" s="1">
        <f t="shared" si="0"/>
        <v>28876720.589668907</v>
      </c>
      <c r="J11" s="1">
        <f>-J9</f>
        <v>-170690735.57000005</v>
      </c>
      <c r="K11" s="1">
        <v>0</v>
      </c>
    </row>
    <row r="12" spans="1:11" x14ac:dyDescent="0.2">
      <c r="A12" t="s">
        <v>4</v>
      </c>
      <c r="B12" s="1">
        <f>+B9+B11</f>
        <v>797364582.73040247</v>
      </c>
      <c r="C12" s="1">
        <f t="shared" ref="C12:J12" si="1">+C9+C11</f>
        <v>4002067.7573870886</v>
      </c>
      <c r="D12" s="1">
        <f t="shared" si="1"/>
        <v>34639550.85856232</v>
      </c>
      <c r="E12" s="1">
        <f t="shared" si="1"/>
        <v>42818062.510210633</v>
      </c>
      <c r="G12" s="1">
        <f t="shared" si="1"/>
        <v>266504852.29645178</v>
      </c>
      <c r="H12" s="1">
        <f t="shared" si="1"/>
        <v>198059180.0873172</v>
      </c>
      <c r="I12" s="1">
        <f t="shared" si="1"/>
        <v>273545943.10966891</v>
      </c>
      <c r="J12" s="1">
        <f t="shared" si="1"/>
        <v>0</v>
      </c>
      <c r="K12" s="1">
        <f>SUM(B12:J12)</f>
        <v>1616934239.3500004</v>
      </c>
    </row>
    <row r="14" spans="1:11" x14ac:dyDescent="0.2">
      <c r="A14" t="s">
        <v>5</v>
      </c>
      <c r="B14" s="1">
        <f>B$9/($K$9-$J$9-$I$9)*-I14</f>
        <v>162362473.6017611</v>
      </c>
      <c r="C14" s="1">
        <f t="shared" ref="C14:H14" si="2">C$9/($K$9-$J$9-$I$9)*-$I$14</f>
        <v>814916.58230689168</v>
      </c>
      <c r="D14" s="1">
        <f t="shared" si="2"/>
        <v>7053439.8989624754</v>
      </c>
      <c r="E14" s="1">
        <f t="shared" si="2"/>
        <v>8718780.2099095657</v>
      </c>
      <c r="G14" s="1">
        <f t="shared" si="2"/>
        <v>54266753.230440482</v>
      </c>
      <c r="H14" s="1">
        <f t="shared" si="2"/>
        <v>40329579.586288504</v>
      </c>
      <c r="I14" s="1">
        <f>-I12</f>
        <v>-273545943.10966891</v>
      </c>
      <c r="K14" s="1">
        <v>0</v>
      </c>
    </row>
    <row r="15" spans="1:11" x14ac:dyDescent="0.2">
      <c r="A15" t="s">
        <v>4</v>
      </c>
      <c r="B15" s="1">
        <f>+B12+B14</f>
        <v>959727056.33216357</v>
      </c>
      <c r="C15" s="1">
        <f>+C12+C14</f>
        <v>4816984.3396939803</v>
      </c>
      <c r="D15" s="1">
        <f>+D12+D14</f>
        <v>41692990.757524796</v>
      </c>
      <c r="E15" s="1">
        <f>+E12+E14</f>
        <v>51536842.720120199</v>
      </c>
      <c r="G15" s="1">
        <f>+G12+G14</f>
        <v>320771605.52689224</v>
      </c>
      <c r="H15" s="1">
        <f>+H12+H14</f>
        <v>238388759.67360571</v>
      </c>
      <c r="I15" s="1">
        <f>+I12+I14</f>
        <v>0</v>
      </c>
      <c r="J15" s="1">
        <f>+J12+J14</f>
        <v>0</v>
      </c>
      <c r="K15" s="1">
        <f>SUM(B15:J15)</f>
        <v>1616934239.3500006</v>
      </c>
    </row>
    <row r="17" spans="1:11" x14ac:dyDescent="0.2">
      <c r="A17" t="s">
        <v>6</v>
      </c>
      <c r="B17" s="1">
        <f>B$9/($K$9-$J$9-$I$9-$H$9)*-$H$17</f>
        <v>165963434.61800906</v>
      </c>
      <c r="C17" s="1">
        <f>C$9/($K$9-$J$9-$I$9-$H$9)*-$H$17</f>
        <v>832990.23429853842</v>
      </c>
      <c r="D17" s="1">
        <f>D$9/($K$9-$J$9-$I$9-$H$9)*-$H$17</f>
        <v>7209874.8284333721</v>
      </c>
      <c r="E17" s="1">
        <f>E$9/($K$9-$J$9-$I$9-$H$9)*-$H$17</f>
        <v>8912149.9396793023</v>
      </c>
      <c r="G17" s="1">
        <f>G$9/($K$9-$J$9-$I$9-$H$9)*-$H$17</f>
        <v>55470310.053185545</v>
      </c>
      <c r="H17" s="1">
        <f>-H15</f>
        <v>-238388759.67360571</v>
      </c>
      <c r="K17" s="1">
        <v>0</v>
      </c>
    </row>
    <row r="18" spans="1:11" x14ac:dyDescent="0.2">
      <c r="A18" t="s">
        <v>4</v>
      </c>
      <c r="B18" s="1">
        <f>+B15+B17</f>
        <v>1125690490.9501727</v>
      </c>
      <c r="C18" s="1">
        <f>+C15+C17</f>
        <v>5649974.5739925187</v>
      </c>
      <c r="D18" s="1">
        <f>+D15+D17</f>
        <v>48902865.585958168</v>
      </c>
      <c r="E18" s="1">
        <f>+E15+E17</f>
        <v>60448992.659799501</v>
      </c>
      <c r="G18" s="1">
        <f>+G15+G17</f>
        <v>376241915.58007777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1616934239.3500009</v>
      </c>
    </row>
    <row r="20" spans="1:11" x14ac:dyDescent="0.2">
      <c r="A20" t="s">
        <v>7</v>
      </c>
      <c r="B20" s="1">
        <f>B$9/($K$9-$J$9-$I$9-$H$9-$G$9)*-$G$20</f>
        <v>341367427.32351446</v>
      </c>
      <c r="C20" s="1">
        <f>C$9/($K$9-$J$9-$I$9-$H$9-$G$9)*-$G$20</f>
        <v>1713363.7534231138</v>
      </c>
      <c r="D20" s="1">
        <f>D$9/($K$9-$J$9-$I$9-$H$9-$G$9)*-$G$20</f>
        <v>14829871.574854676</v>
      </c>
      <c r="E20" s="1">
        <f>E$9/($K$9-$J$9-$I$9-$H$9-$G$9)*-$G$20</f>
        <v>18331252.928285744</v>
      </c>
      <c r="G20" s="1">
        <f>-G18</f>
        <v>-376241915.58007777</v>
      </c>
      <c r="K20" s="1">
        <f>SUM(B20:J20)</f>
        <v>0</v>
      </c>
    </row>
    <row r="22" spans="1:11" x14ac:dyDescent="0.2">
      <c r="A22" t="s">
        <v>8</v>
      </c>
      <c r="B22" s="1">
        <f>+B20+B18</f>
        <v>1467057918.2736871</v>
      </c>
      <c r="C22" s="1">
        <f t="shared" ref="C22:K22" si="3">+C20+C18</f>
        <v>7363338.3274156321</v>
      </c>
      <c r="D22" s="1">
        <f t="shared" si="3"/>
        <v>63732737.16081284</v>
      </c>
      <c r="E22" s="1">
        <f t="shared" si="3"/>
        <v>78780245.588085249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1616934239.3500009</v>
      </c>
    </row>
    <row r="27" spans="1:11" x14ac:dyDescent="0.2">
      <c r="A27" t="s">
        <v>9</v>
      </c>
      <c r="B27" s="1">
        <f>+B9</f>
        <v>713191247.89000022</v>
      </c>
    </row>
    <row r="28" spans="1:11" x14ac:dyDescent="0.2">
      <c r="A28" t="s">
        <v>10</v>
      </c>
      <c r="B28" s="1">
        <f>+B22-B27</f>
        <v>753866670.3836869</v>
      </c>
    </row>
    <row r="29" spans="1:11" x14ac:dyDescent="0.2">
      <c r="A29" s="22" t="s">
        <v>105</v>
      </c>
      <c r="B29" s="1">
        <v>108034</v>
      </c>
    </row>
    <row r="30" spans="1:11" x14ac:dyDescent="0.2">
      <c r="A30" t="s">
        <v>11</v>
      </c>
      <c r="B30" s="1">
        <f>+B28/B29</f>
        <v>6978.0501544299659</v>
      </c>
    </row>
  </sheetData>
  <phoneticPr fontId="0" type="noConversion"/>
  <pageMargins left="0.32" right="0.18" top="1" bottom="1" header="0.5" footer="0.5"/>
  <pageSetup scale="1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10" width="10.28515625" style="1" customWidth="1"/>
    <col min="11" max="11" width="14" style="1" customWidth="1"/>
  </cols>
  <sheetData>
    <row r="1" spans="1:11" ht="15.75" x14ac:dyDescent="0.25">
      <c r="A1" s="4" t="str">
        <f>+System!$A$1</f>
        <v>MINNESOTA STATE - F.Y. 2023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89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Table'!B23</f>
        <v>7854065.4299999997</v>
      </c>
      <c r="C9" s="1">
        <f>'Master Expend Table'!C23</f>
        <v>0</v>
      </c>
      <c r="D9" s="1">
        <f>'Master Expend Table'!D23</f>
        <v>448444.76</v>
      </c>
      <c r="E9" s="1">
        <f>'Master Expend Table'!E23</f>
        <v>42038.77</v>
      </c>
      <c r="G9" s="1">
        <f>'Master Expend Table'!G23</f>
        <v>2381452.7799999998</v>
      </c>
      <c r="H9" s="1">
        <f>'Master Expend Table'!H23</f>
        <v>1742450.32</v>
      </c>
      <c r="I9" s="1">
        <f>'Master Expend Table'!I23</f>
        <v>3253984.79</v>
      </c>
      <c r="J9" s="1">
        <f>'Master Expend Table'!J23</f>
        <v>1688235.36</v>
      </c>
      <c r="K9" s="1">
        <f>SUM(B9:J9)</f>
        <v>17410672.209999997</v>
      </c>
    </row>
    <row r="11" spans="1:11" x14ac:dyDescent="0.2">
      <c r="A11" t="s">
        <v>3</v>
      </c>
      <c r="B11" s="1">
        <f>(B9/($K9-$J9))*-$J$11</f>
        <v>843349.6095536619</v>
      </c>
      <c r="C11" s="1">
        <f t="shared" ref="C11:I11" si="0">(C9/($K9-$J9))*-$J$11</f>
        <v>0</v>
      </c>
      <c r="D11" s="1">
        <f t="shared" si="0"/>
        <v>48152.860021741079</v>
      </c>
      <c r="E11" s="1">
        <f t="shared" si="0"/>
        <v>4514.0164137410547</v>
      </c>
      <c r="G11" s="1">
        <f t="shared" si="0"/>
        <v>255714.35457006149</v>
      </c>
      <c r="H11" s="1">
        <f t="shared" si="0"/>
        <v>187099.89242331198</v>
      </c>
      <c r="I11" s="1">
        <f t="shared" si="0"/>
        <v>349404.62701748265</v>
      </c>
      <c r="J11" s="1">
        <f>-J9</f>
        <v>-1688235.36</v>
      </c>
      <c r="K11" s="1">
        <v>0</v>
      </c>
    </row>
    <row r="12" spans="1:11" x14ac:dyDescent="0.2">
      <c r="A12" t="s">
        <v>4</v>
      </c>
      <c r="B12" s="1">
        <f>+B9+B11</f>
        <v>8697415.0395536609</v>
      </c>
      <c r="C12" s="1">
        <f t="shared" ref="C12:J12" si="1">+C9+C11</f>
        <v>0</v>
      </c>
      <c r="D12" s="1">
        <f t="shared" si="1"/>
        <v>496597.62002174108</v>
      </c>
      <c r="E12" s="1">
        <f t="shared" si="1"/>
        <v>46552.786413741051</v>
      </c>
      <c r="G12" s="1">
        <f t="shared" si="1"/>
        <v>2637167.1345700612</v>
      </c>
      <c r="H12" s="1">
        <f t="shared" si="1"/>
        <v>1929550.212423312</v>
      </c>
      <c r="I12" s="1">
        <f t="shared" si="1"/>
        <v>3603389.4170174827</v>
      </c>
      <c r="J12" s="1">
        <f t="shared" si="1"/>
        <v>0</v>
      </c>
      <c r="K12" s="1">
        <f>SUM(B12:J12)</f>
        <v>17410672.210000001</v>
      </c>
    </row>
    <row r="14" spans="1:11" x14ac:dyDescent="0.2">
      <c r="A14" t="s">
        <v>5</v>
      </c>
      <c r="B14" s="1">
        <f>B$9/($K$9-$J$9-$I$9)*-I14</f>
        <v>2269829.1748514664</v>
      </c>
      <c r="C14" s="1">
        <f t="shared" ref="C14:H14" si="2">C$9/($K$9-$J$9-$I$9)*-$I$14</f>
        <v>0</v>
      </c>
      <c r="D14" s="1">
        <f t="shared" si="2"/>
        <v>129600.77919254921</v>
      </c>
      <c r="E14" s="1">
        <f t="shared" si="2"/>
        <v>12149.227361462225</v>
      </c>
      <c r="G14" s="1">
        <f t="shared" si="2"/>
        <v>688241.14679868799</v>
      </c>
      <c r="H14" s="1">
        <f t="shared" si="2"/>
        <v>503569.08881331712</v>
      </c>
      <c r="I14" s="1">
        <f>-I12</f>
        <v>-3603389.4170174827</v>
      </c>
      <c r="K14" s="1">
        <v>0</v>
      </c>
    </row>
    <row r="15" spans="1:11" x14ac:dyDescent="0.2">
      <c r="A15" t="s">
        <v>4</v>
      </c>
      <c r="B15" s="1">
        <f>+B12+B14</f>
        <v>10967244.214405127</v>
      </c>
      <c r="C15" s="1">
        <f>+C12+C14</f>
        <v>0</v>
      </c>
      <c r="D15" s="1">
        <f>+D12+D14</f>
        <v>626198.39921429032</v>
      </c>
      <c r="E15" s="1">
        <f>+E12+E14</f>
        <v>58702.013775203275</v>
      </c>
      <c r="G15" s="1">
        <f>+G12+G14</f>
        <v>3325408.2813687492</v>
      </c>
      <c r="H15" s="1">
        <f>+H12+H14</f>
        <v>2433119.301236629</v>
      </c>
      <c r="I15" s="1">
        <f>+I12+I14</f>
        <v>0</v>
      </c>
      <c r="J15" s="1">
        <f>+J12+J14</f>
        <v>0</v>
      </c>
      <c r="K15" s="1">
        <f>SUM(B15:J15)</f>
        <v>17410672.209999997</v>
      </c>
    </row>
    <row r="17" spans="1:11" x14ac:dyDescent="0.2">
      <c r="A17" t="s">
        <v>6</v>
      </c>
      <c r="B17" s="1">
        <f>B$9/($K$9-$J$9-$I$9-$H$9)*-$H$17</f>
        <v>1781640.4149593553</v>
      </c>
      <c r="C17" s="1">
        <f>C$9/($K$9-$J$9-$I$9-$H$9)*-$H$17</f>
        <v>0</v>
      </c>
      <c r="D17" s="1">
        <f>D$9/($K$9-$J$9-$I$9-$H$9)*-$H$17</f>
        <v>101726.5918413349</v>
      </c>
      <c r="E17" s="1">
        <f>E$9/($K$9-$J$9-$I$9-$H$9)*-$H$17</f>
        <v>9536.2041855539883</v>
      </c>
      <c r="G17" s="1">
        <f>G$9/($K$9-$J$9-$I$9-$H$9)*-$H$17</f>
        <v>540216.09025038511</v>
      </c>
      <c r="H17" s="1">
        <f>-H15</f>
        <v>-2433119.301236629</v>
      </c>
      <c r="K17" s="1">
        <v>0</v>
      </c>
    </row>
    <row r="18" spans="1:11" x14ac:dyDescent="0.2">
      <c r="A18" t="s">
        <v>4</v>
      </c>
      <c r="B18" s="1">
        <f>+B15+B17</f>
        <v>12748884.629364483</v>
      </c>
      <c r="C18" s="1">
        <f>+C15+C17</f>
        <v>0</v>
      </c>
      <c r="D18" s="1">
        <f>+D15+D17</f>
        <v>727924.99105562526</v>
      </c>
      <c r="E18" s="1">
        <f>+E15+E17</f>
        <v>68238.217960757262</v>
      </c>
      <c r="G18" s="1">
        <f>+G15+G17</f>
        <v>3865624.3716191342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17410672.210000001</v>
      </c>
    </row>
    <row r="20" spans="1:11" x14ac:dyDescent="0.2">
      <c r="A20" t="s">
        <v>7</v>
      </c>
      <c r="B20" s="1">
        <f>B$9/($K$9-$J$9-$I$9-$H$9-$G$9)*-$G$20</f>
        <v>3638407.1671261806</v>
      </c>
      <c r="C20" s="1">
        <f>C$9/($K$9-$J$9-$I$9-$H$9-$G$9)*-$G$20</f>
        <v>0</v>
      </c>
      <c r="D20" s="1">
        <f>D$9/($K$9-$J$9-$I$9-$H$9-$G$9)*-$G$20</f>
        <v>207742.68350399774</v>
      </c>
      <c r="E20" s="1">
        <f>E$9/($K$9-$J$9-$I$9-$H$9-$G$9)*-$G$20</f>
        <v>19474.520988956043</v>
      </c>
      <c r="G20" s="1">
        <f>-G18</f>
        <v>-3865624.3716191342</v>
      </c>
      <c r="K20" s="1">
        <f>SUM(B20:J20)</f>
        <v>0</v>
      </c>
    </row>
    <row r="22" spans="1:11" x14ac:dyDescent="0.2">
      <c r="A22" t="s">
        <v>8</v>
      </c>
      <c r="B22" s="1">
        <f>+B20+B18</f>
        <v>16387291.796490664</v>
      </c>
      <c r="C22" s="1">
        <f t="shared" ref="C22:K22" si="3">+C20+C18</f>
        <v>0</v>
      </c>
      <c r="D22" s="1">
        <f t="shared" si="3"/>
        <v>935667.674559623</v>
      </c>
      <c r="E22" s="1">
        <f t="shared" si="3"/>
        <v>87712.738949713297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17410672.210000001</v>
      </c>
    </row>
    <row r="27" spans="1:11" x14ac:dyDescent="0.2">
      <c r="A27" t="s">
        <v>9</v>
      </c>
      <c r="B27" s="1">
        <f>+B9</f>
        <v>7854065.4299999997</v>
      </c>
    </row>
    <row r="28" spans="1:11" x14ac:dyDescent="0.2">
      <c r="A28" t="s">
        <v>10</v>
      </c>
      <c r="B28" s="1">
        <f>+B22-B27</f>
        <v>8533226.366490664</v>
      </c>
    </row>
    <row r="29" spans="1:11" x14ac:dyDescent="0.2">
      <c r="A29" s="22" t="s">
        <v>105</v>
      </c>
      <c r="B29" s="1">
        <v>1099</v>
      </c>
    </row>
    <row r="30" spans="1:11" x14ac:dyDescent="0.2">
      <c r="A30" t="s">
        <v>11</v>
      </c>
      <c r="B30" s="1">
        <f>+B28/B29</f>
        <v>7764.5371851598402</v>
      </c>
    </row>
  </sheetData>
  <phoneticPr fontId="0" type="noConversion"/>
  <pageMargins left="0.56000000000000005" right="0.55000000000000004" top="1" bottom="0.53" header="0.5" footer="0.5"/>
  <pageSetup scale="10" orientation="landscape" horizontalDpi="4294967294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pageSetUpPr fitToPage="1"/>
  </sheetPr>
  <dimension ref="A1:K30"/>
  <sheetViews>
    <sheetView zoomScale="80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10" width="10.28515625" style="1" customWidth="1"/>
    <col min="11" max="11" width="14.5703125" style="1" customWidth="1"/>
  </cols>
  <sheetData>
    <row r="1" spans="1:11" ht="15.75" x14ac:dyDescent="0.25">
      <c r="A1" s="4" t="str">
        <f>+System!$A$1</f>
        <v>MINNESOTA STATE - F.Y. 2023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90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Table'!B24</f>
        <v>19339767.690000001</v>
      </c>
      <c r="C9" s="1">
        <f>'Master Expend Table'!C24</f>
        <v>354975.1</v>
      </c>
      <c r="D9" s="1">
        <f>'Master Expend Table'!D24</f>
        <v>2051322.36</v>
      </c>
      <c r="E9" s="1">
        <f>'Master Expend Table'!E24</f>
        <v>39472.26</v>
      </c>
      <c r="G9" s="1">
        <f>'Master Expend Table'!G24</f>
        <v>4728063.46</v>
      </c>
      <c r="H9" s="1">
        <f>'Master Expend Table'!H24</f>
        <v>6710709.7400000002</v>
      </c>
      <c r="I9" s="1">
        <f>'Master Expend Table'!I24</f>
        <v>7119891.0300000003</v>
      </c>
      <c r="J9" s="1">
        <f>'Master Expend Table'!J24</f>
        <v>4264236.4800000004</v>
      </c>
      <c r="K9" s="1">
        <f>SUM(B9:J9)</f>
        <v>44608438.120000005</v>
      </c>
    </row>
    <row r="11" spans="1:11" x14ac:dyDescent="0.2">
      <c r="A11" t="s">
        <v>3</v>
      </c>
      <c r="B11" s="1">
        <f>(B9/($K9-$J9))*-$J$11</f>
        <v>2044143.6326913852</v>
      </c>
      <c r="C11" s="1">
        <f t="shared" ref="C11:I11" si="0">(C9/($K9-$J9))*-$J$11</f>
        <v>37519.586691011988</v>
      </c>
      <c r="D11" s="1">
        <f t="shared" si="0"/>
        <v>216817.36864707217</v>
      </c>
      <c r="E11" s="1">
        <f t="shared" si="0"/>
        <v>4172.0753961620549</v>
      </c>
      <c r="G11" s="1">
        <f t="shared" si="0"/>
        <v>499739.2404934208</v>
      </c>
      <c r="H11" s="1">
        <f t="shared" si="0"/>
        <v>709297.79538944713</v>
      </c>
      <c r="I11" s="1">
        <f t="shared" si="0"/>
        <v>752546.7806915011</v>
      </c>
      <c r="J11" s="1">
        <f>-J9</f>
        <v>-4264236.4800000004</v>
      </c>
      <c r="K11" s="1">
        <v>0</v>
      </c>
    </row>
    <row r="12" spans="1:11" x14ac:dyDescent="0.2">
      <c r="A12" t="s">
        <v>4</v>
      </c>
      <c r="B12" s="1">
        <f>+B9+B11</f>
        <v>21383911.322691388</v>
      </c>
      <c r="C12" s="1">
        <f t="shared" ref="C12:J12" si="1">+C9+C11</f>
        <v>392494.68669101194</v>
      </c>
      <c r="D12" s="1">
        <f t="shared" si="1"/>
        <v>2268139.7286470723</v>
      </c>
      <c r="E12" s="1">
        <f t="shared" si="1"/>
        <v>43644.33539616206</v>
      </c>
      <c r="G12" s="1">
        <f t="shared" si="1"/>
        <v>5227802.7004934205</v>
      </c>
      <c r="H12" s="1">
        <f t="shared" si="1"/>
        <v>7420007.5353894476</v>
      </c>
      <c r="I12" s="1">
        <f t="shared" si="1"/>
        <v>7872437.810691501</v>
      </c>
      <c r="J12" s="1">
        <f t="shared" si="1"/>
        <v>0</v>
      </c>
      <c r="K12" s="1">
        <f>SUM(B12:J12)</f>
        <v>44608438.120000005</v>
      </c>
    </row>
    <row r="14" spans="1:11" x14ac:dyDescent="0.2">
      <c r="A14" t="s">
        <v>5</v>
      </c>
      <c r="B14" s="1">
        <f>B$9/($K$9-$J$9-$I$9)*-I14</f>
        <v>4582521.5216631349</v>
      </c>
      <c r="C14" s="1">
        <f t="shared" ref="C14:H14" si="2">C$9/($K$9-$J$9-$I$9)*-$I$14</f>
        <v>84110.681238721925</v>
      </c>
      <c r="D14" s="1">
        <f t="shared" si="2"/>
        <v>486056.96889675583</v>
      </c>
      <c r="E14" s="1">
        <f t="shared" si="2"/>
        <v>9352.8776486912848</v>
      </c>
      <c r="G14" s="1">
        <f t="shared" si="2"/>
        <v>1120305.7300653164</v>
      </c>
      <c r="H14" s="1">
        <f t="shared" si="2"/>
        <v>1590090.0311788812</v>
      </c>
      <c r="I14" s="1">
        <f>-I12</f>
        <v>-7872437.810691501</v>
      </c>
      <c r="K14" s="1">
        <v>0</v>
      </c>
    </row>
    <row r="15" spans="1:11" x14ac:dyDescent="0.2">
      <c r="A15" t="s">
        <v>4</v>
      </c>
      <c r="B15" s="1">
        <f>+B12+B14</f>
        <v>25966432.844354525</v>
      </c>
      <c r="C15" s="1">
        <f>+C12+C14</f>
        <v>476605.36792973388</v>
      </c>
      <c r="D15" s="1">
        <f>+D12+D14</f>
        <v>2754196.6975438283</v>
      </c>
      <c r="E15" s="1">
        <f>+E12+E14</f>
        <v>52997.213044853343</v>
      </c>
      <c r="G15" s="1">
        <f>+G12+G14</f>
        <v>6348108.4305587374</v>
      </c>
      <c r="H15" s="1">
        <f>+H12+H14</f>
        <v>9010097.5665683281</v>
      </c>
      <c r="I15" s="1">
        <f>+I12+I14</f>
        <v>0</v>
      </c>
      <c r="J15" s="1">
        <f>+J12+J14</f>
        <v>0</v>
      </c>
      <c r="K15" s="1">
        <f>SUM(B15:J15)</f>
        <v>44608438.120000005</v>
      </c>
    </row>
    <row r="17" spans="1:11" x14ac:dyDescent="0.2">
      <c r="A17" t="s">
        <v>6</v>
      </c>
      <c r="B17" s="1">
        <f>B$9/($K$9-$J$9-$I$9-$H$9)*-$H$17</f>
        <v>6572219.0907245791</v>
      </c>
      <c r="C17" s="1">
        <f>C$9/($K$9-$J$9-$I$9-$H$9)*-$H$17</f>
        <v>120630.92826901822</v>
      </c>
      <c r="D17" s="1">
        <f>D$9/($K$9-$J$9-$I$9-$H$9)*-$H$17</f>
        <v>697099.37532461633</v>
      </c>
      <c r="E17" s="1">
        <f>E$9/($K$9-$J$9-$I$9-$H$9)*-$H$17</f>
        <v>13413.829208516421</v>
      </c>
      <c r="G17" s="1">
        <f>G$9/($K$9-$J$9-$I$9-$H$9)*-$H$17</f>
        <v>1606734.3430415997</v>
      </c>
      <c r="H17" s="1">
        <f>-H15</f>
        <v>-9010097.5665683281</v>
      </c>
      <c r="K17" s="1">
        <v>0</v>
      </c>
    </row>
    <row r="18" spans="1:11" x14ac:dyDescent="0.2">
      <c r="A18" t="s">
        <v>4</v>
      </c>
      <c r="B18" s="1">
        <f>+B15+B17</f>
        <v>32538651.935079105</v>
      </c>
      <c r="C18" s="1">
        <f>+C15+C17</f>
        <v>597236.29619875213</v>
      </c>
      <c r="D18" s="1">
        <f>+D15+D17</f>
        <v>3451296.0728684445</v>
      </c>
      <c r="E18" s="1">
        <f>+E15+E17</f>
        <v>66411.042253369757</v>
      </c>
      <c r="G18" s="1">
        <f>+G15+G17</f>
        <v>7954842.7736003371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44608438.120000012</v>
      </c>
    </row>
    <row r="20" spans="1:11" x14ac:dyDescent="0.2">
      <c r="A20" t="s">
        <v>7</v>
      </c>
      <c r="B20" s="1">
        <f>B$9/($K$9-$J$9-$I$9-$H$9-$G$9)*-$G$20</f>
        <v>7061786.3749042954</v>
      </c>
      <c r="C20" s="1">
        <f>C$9/($K$9-$J$9-$I$9-$H$9-$G$9)*-$G$20</f>
        <v>129616.77538176725</v>
      </c>
      <c r="D20" s="1">
        <f>D$9/($K$9-$J$9-$I$9-$H$9-$G$9)*-$G$20</f>
        <v>749026.59248977387</v>
      </c>
      <c r="E20" s="1">
        <f>E$9/($K$9-$J$9-$I$9-$H$9-$G$9)*-$G$20</f>
        <v>14413.030824502102</v>
      </c>
      <c r="G20" s="1">
        <f>-G18</f>
        <v>-7954842.7736003371</v>
      </c>
      <c r="K20" s="1">
        <f>SUM(B20:J20)</f>
        <v>0</v>
      </c>
    </row>
    <row r="22" spans="1:11" x14ac:dyDescent="0.2">
      <c r="A22" t="s">
        <v>8</v>
      </c>
      <c r="B22" s="1">
        <f>+B20+B18</f>
        <v>39600438.309983402</v>
      </c>
      <c r="C22" s="1">
        <f t="shared" ref="C22:K22" si="3">+C20+C18</f>
        <v>726853.07158051943</v>
      </c>
      <c r="D22" s="1">
        <f t="shared" si="3"/>
        <v>4200322.6653582184</v>
      </c>
      <c r="E22" s="1">
        <f t="shared" si="3"/>
        <v>80824.073077871857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44608438.120000012</v>
      </c>
    </row>
    <row r="27" spans="1:11" x14ac:dyDescent="0.2">
      <c r="A27" t="s">
        <v>9</v>
      </c>
      <c r="B27" s="1">
        <f>+B9</f>
        <v>19339767.690000001</v>
      </c>
    </row>
    <row r="28" spans="1:11" x14ac:dyDescent="0.2">
      <c r="A28" t="s">
        <v>10</v>
      </c>
      <c r="B28" s="1">
        <f>+B22-B27</f>
        <v>20260670.619983401</v>
      </c>
    </row>
    <row r="29" spans="1:11" x14ac:dyDescent="0.2">
      <c r="A29" s="22" t="s">
        <v>105</v>
      </c>
      <c r="B29" s="1">
        <v>3171</v>
      </c>
    </row>
    <row r="30" spans="1:11" x14ac:dyDescent="0.2">
      <c r="A30" t="s">
        <v>11</v>
      </c>
      <c r="B30" s="1">
        <f>+B28/B29</f>
        <v>6389.363172495554</v>
      </c>
    </row>
  </sheetData>
  <phoneticPr fontId="11" type="noConversion"/>
  <pageMargins left="0.64" right="0.51" top="1" bottom="1" header="0.5" footer="0.5"/>
  <pageSetup scale="1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0">
    <pageSetUpPr fitToPage="1"/>
  </sheetPr>
  <dimension ref="A1:M46"/>
  <sheetViews>
    <sheetView topLeftCell="A5"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7" width="11.140625" style="1" customWidth="1"/>
    <col min="8" max="8" width="10.5703125" style="1" customWidth="1"/>
    <col min="9" max="9" width="11" style="1" customWidth="1"/>
    <col min="10" max="10" width="10.28515625" style="1" customWidth="1"/>
    <col min="11" max="11" width="14" style="1" customWidth="1"/>
  </cols>
  <sheetData>
    <row r="1" spans="1:11" ht="15.75" x14ac:dyDescent="0.25">
      <c r="A1" s="4" t="str">
        <f>+System!$A$1</f>
        <v>MINNESOTA STATE - F.Y. 2023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55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Table'!B25</f>
        <v>30836501.879999999</v>
      </c>
      <c r="C9" s="1">
        <f>'Master Expend Table'!C25</f>
        <v>0</v>
      </c>
      <c r="D9" s="1">
        <f>'Master Expend Table'!D25</f>
        <v>707693.88</v>
      </c>
      <c r="E9" s="1">
        <f>'Master Expend Table'!E25</f>
        <v>3349781.57</v>
      </c>
      <c r="G9" s="1">
        <f>'Master Expend Table'!G25</f>
        <v>12862147.59</v>
      </c>
      <c r="H9" s="1">
        <f>'Master Expend Table'!H25</f>
        <v>9440647.0999999996</v>
      </c>
      <c r="I9" s="1">
        <f>'Master Expend Table'!I25</f>
        <v>8404200.3800000008</v>
      </c>
      <c r="J9" s="1">
        <f>'Master Expend Table'!J25</f>
        <v>8204495.1900000004</v>
      </c>
      <c r="K9" s="1">
        <f>SUM(B9:J9)</f>
        <v>73805467.590000004</v>
      </c>
    </row>
    <row r="11" spans="1:11" x14ac:dyDescent="0.2">
      <c r="A11" t="s">
        <v>3</v>
      </c>
      <c r="B11" s="1">
        <f>(B9/($K9-$J9))*-$J$11</f>
        <v>3856618.6154717114</v>
      </c>
      <c r="C11" s="1">
        <f t="shared" ref="C11:I11" si="0">(C9/($K9-$J9))*-$J$11</f>
        <v>0</v>
      </c>
      <c r="D11" s="1">
        <f t="shared" si="0"/>
        <v>88508.917200935233</v>
      </c>
      <c r="E11" s="1">
        <f t="shared" si="0"/>
        <v>418946.02737040597</v>
      </c>
      <c r="G11" s="1">
        <f t="shared" si="0"/>
        <v>1608625.972672702</v>
      </c>
      <c r="H11" s="1">
        <f t="shared" si="0"/>
        <v>1180710.2987765688</v>
      </c>
      <c r="I11" s="1">
        <f t="shared" si="0"/>
        <v>1051085.3585076763</v>
      </c>
      <c r="J11" s="1">
        <f>-J9</f>
        <v>-8204495.1900000004</v>
      </c>
      <c r="K11" s="1">
        <v>0</v>
      </c>
    </row>
    <row r="12" spans="1:11" x14ac:dyDescent="0.2">
      <c r="A12" t="s">
        <v>4</v>
      </c>
      <c r="B12" s="1">
        <f>+B9+B11</f>
        <v>34693120.495471708</v>
      </c>
      <c r="C12" s="1">
        <f t="shared" ref="C12:J12" si="1">+C9+C11</f>
        <v>0</v>
      </c>
      <c r="D12" s="1">
        <f t="shared" si="1"/>
        <v>796202.79720093519</v>
      </c>
      <c r="E12" s="1">
        <f t="shared" si="1"/>
        <v>3768727.5973704057</v>
      </c>
      <c r="G12" s="1">
        <f t="shared" si="1"/>
        <v>14470773.562672703</v>
      </c>
      <c r="H12" s="1">
        <f t="shared" si="1"/>
        <v>10621357.398776568</v>
      </c>
      <c r="I12" s="1">
        <f t="shared" si="1"/>
        <v>9455285.7385076769</v>
      </c>
      <c r="J12" s="1">
        <f t="shared" si="1"/>
        <v>0</v>
      </c>
      <c r="K12" s="1">
        <f>SUM(B12:J12)</f>
        <v>73805467.590000004</v>
      </c>
    </row>
    <row r="14" spans="1:11" x14ac:dyDescent="0.2">
      <c r="A14" t="s">
        <v>5</v>
      </c>
      <c r="B14" s="1">
        <f>B$9/($K$9-$J$9-$I$9)*-I14</f>
        <v>5097629.2219686201</v>
      </c>
      <c r="C14" s="1">
        <f t="shared" ref="C14:H14" si="2">C$9/($K$9-$J$9-$I$9)*-$I$14</f>
        <v>0</v>
      </c>
      <c r="D14" s="1">
        <f t="shared" si="2"/>
        <v>116989.95615440262</v>
      </c>
      <c r="E14" s="1">
        <f t="shared" si="2"/>
        <v>553757.50741425937</v>
      </c>
      <c r="G14" s="1">
        <f t="shared" si="2"/>
        <v>2126261.2622926109</v>
      </c>
      <c r="H14" s="1">
        <f t="shared" si="2"/>
        <v>1560647.7906777833</v>
      </c>
      <c r="I14" s="1">
        <f>-I12</f>
        <v>-9455285.7385076769</v>
      </c>
      <c r="K14" s="1">
        <v>0</v>
      </c>
    </row>
    <row r="15" spans="1:11" x14ac:dyDescent="0.2">
      <c r="A15" t="s">
        <v>4</v>
      </c>
      <c r="B15" s="1">
        <f>+B12+B14</f>
        <v>39790749.717440329</v>
      </c>
      <c r="C15" s="1">
        <f>+C12+C14</f>
        <v>0</v>
      </c>
      <c r="D15" s="1">
        <f>+D12+D14</f>
        <v>913192.75335533777</v>
      </c>
      <c r="E15" s="1">
        <f>+E12+E14</f>
        <v>4322485.1047846647</v>
      </c>
      <c r="G15" s="1">
        <f>+G12+G14</f>
        <v>16597034.824965313</v>
      </c>
      <c r="H15" s="1">
        <f>+H12+H14</f>
        <v>12182005.189454352</v>
      </c>
      <c r="I15" s="1">
        <f>+I12+I14</f>
        <v>0</v>
      </c>
      <c r="J15" s="1">
        <f>+J12+J14</f>
        <v>0</v>
      </c>
      <c r="K15" s="1">
        <f>SUM(B15:J15)</f>
        <v>73805467.590000004</v>
      </c>
    </row>
    <row r="17" spans="1:11" x14ac:dyDescent="0.2">
      <c r="A17" t="s">
        <v>6</v>
      </c>
      <c r="B17" s="1">
        <f>B$9/($K$9-$J$9-$I$9-$H$9)*-$H$17</f>
        <v>7866015.6483814409</v>
      </c>
      <c r="C17" s="1">
        <f>C$9/($K$9-$J$9-$I$9-$H$9)*-$H$17</f>
        <v>0</v>
      </c>
      <c r="D17" s="1">
        <f>D$9/($K$9-$J$9-$I$9-$H$9)*-$H$17</f>
        <v>180524.08006610695</v>
      </c>
      <c r="E17" s="1">
        <f>E$9/($K$9-$J$9-$I$9-$H$9)*-$H$17</f>
        <v>854488.43551769783</v>
      </c>
      <c r="G17" s="1">
        <f>G$9/($K$9-$J$9-$I$9-$H$9)*-$H$17</f>
        <v>3280977.0254891063</v>
      </c>
      <c r="H17" s="1">
        <f>-H15</f>
        <v>-12182005.189454352</v>
      </c>
      <c r="K17" s="1">
        <v>0</v>
      </c>
    </row>
    <row r="18" spans="1:11" x14ac:dyDescent="0.2">
      <c r="A18" t="s">
        <v>4</v>
      </c>
      <c r="B18" s="1">
        <f>+B15+B17</f>
        <v>47656765.365821771</v>
      </c>
      <c r="C18" s="1">
        <f>+C15+C17</f>
        <v>0</v>
      </c>
      <c r="D18" s="1">
        <f>+D15+D17</f>
        <v>1093716.8334214448</v>
      </c>
      <c r="E18" s="1">
        <f>+E15+E17</f>
        <v>5176973.5403023623</v>
      </c>
      <c r="G18" s="1">
        <f>+G15+G17</f>
        <v>19878011.85045442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73805467.590000004</v>
      </c>
    </row>
    <row r="20" spans="1:11" x14ac:dyDescent="0.2">
      <c r="A20" t="s">
        <v>7</v>
      </c>
      <c r="B20" s="1">
        <f>B$9/($K$9-$J$9-$I$9-$H$9-$G$9)*-$G$20</f>
        <v>17566594.487072188</v>
      </c>
      <c r="C20" s="1">
        <f>C$9/($K$9-$J$9-$I$9-$H$9-$G$9)*-$G$20</f>
        <v>0</v>
      </c>
      <c r="D20" s="1">
        <f>D$9/($K$9-$J$9-$I$9-$H$9-$G$9)*-$G$20</f>
        <v>403151.15700609842</v>
      </c>
      <c r="E20" s="1">
        <f>E$9/($K$9-$J$9-$I$9-$H$9-$G$9)*-$G$20</f>
        <v>1908266.2063761309</v>
      </c>
      <c r="G20" s="1">
        <f>-G18</f>
        <v>-19878011.85045442</v>
      </c>
      <c r="K20" s="1">
        <f>SUM(B20:J20)</f>
        <v>0</v>
      </c>
    </row>
    <row r="22" spans="1:11" x14ac:dyDescent="0.2">
      <c r="A22" t="s">
        <v>8</v>
      </c>
      <c r="B22" s="1">
        <f>+B20+B18</f>
        <v>65223359.852893963</v>
      </c>
      <c r="C22" s="1">
        <f t="shared" ref="C22:K22" si="3">+C20+C18</f>
        <v>0</v>
      </c>
      <c r="D22" s="1">
        <f t="shared" si="3"/>
        <v>1496867.9904275432</v>
      </c>
      <c r="E22" s="1">
        <f t="shared" si="3"/>
        <v>7085239.746678493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73805467.590000004</v>
      </c>
    </row>
    <row r="27" spans="1:11" x14ac:dyDescent="0.2">
      <c r="A27" t="s">
        <v>9</v>
      </c>
      <c r="B27" s="1">
        <f>+B9</f>
        <v>30836501.879999999</v>
      </c>
    </row>
    <row r="28" spans="1:11" x14ac:dyDescent="0.2">
      <c r="A28" t="s">
        <v>10</v>
      </c>
      <c r="B28" s="1">
        <f>+B22-B27</f>
        <v>34386857.972893968</v>
      </c>
    </row>
    <row r="29" spans="1:11" x14ac:dyDescent="0.2">
      <c r="A29" s="22" t="s">
        <v>105</v>
      </c>
      <c r="B29" s="1">
        <v>4228</v>
      </c>
    </row>
    <row r="30" spans="1:11" x14ac:dyDescent="0.2">
      <c r="A30" t="s">
        <v>11</v>
      </c>
      <c r="B30" s="1">
        <f>+B28/B29</f>
        <v>8133.1262944403898</v>
      </c>
    </row>
    <row r="46" spans="13:13" x14ac:dyDescent="0.2">
      <c r="M46" s="22"/>
    </row>
  </sheetData>
  <phoneticPr fontId="0" type="noConversion"/>
  <pageMargins left="0.49" right="0.55000000000000004" top="1" bottom="0.48" header="0.5" footer="0.5"/>
  <pageSetup scale="10" orientation="landscape" horizontalDpi="4294967294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1">
    <pageSetUpPr fitToPage="1"/>
  </sheetPr>
  <dimension ref="A1:K30"/>
  <sheetViews>
    <sheetView zoomScale="80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7" width="11.42578125" style="1" customWidth="1"/>
    <col min="8" max="8" width="11.140625" style="1" customWidth="1"/>
    <col min="9" max="9" width="11" style="1" customWidth="1"/>
    <col min="10" max="10" width="11.85546875" style="1" customWidth="1"/>
    <col min="11" max="11" width="14" style="1" customWidth="1"/>
  </cols>
  <sheetData>
    <row r="1" spans="1:11" ht="15.75" x14ac:dyDescent="0.25">
      <c r="A1" s="4" t="str">
        <f>+System!$A$1</f>
        <v>MINNESOTA STATE - F.Y. 2023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56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Table'!B26</f>
        <v>99563665.780000001</v>
      </c>
      <c r="C9" s="1">
        <f>'Master Expend Table'!C26</f>
        <v>1493000.43</v>
      </c>
      <c r="D9" s="1">
        <f>'Master Expend Table'!D26</f>
        <v>2052394.07</v>
      </c>
      <c r="E9" s="1">
        <f>'Master Expend Table'!E26</f>
        <v>9261582.9000000004</v>
      </c>
      <c r="G9" s="1">
        <f>'Master Expend Table'!G26</f>
        <v>34008321.210000001</v>
      </c>
      <c r="H9" s="1">
        <f>'Master Expend Table'!H26</f>
        <v>23487717.609999999</v>
      </c>
      <c r="I9" s="1">
        <f>'Master Expend Table'!I26</f>
        <v>24983647.48</v>
      </c>
      <c r="J9" s="1">
        <f>'Master Expend Table'!J26</f>
        <v>18483401.32</v>
      </c>
      <c r="K9" s="1">
        <f>SUM(B9:J9)</f>
        <v>213333730.79999998</v>
      </c>
    </row>
    <row r="11" spans="1:11" x14ac:dyDescent="0.2">
      <c r="A11" t="s">
        <v>3</v>
      </c>
      <c r="B11" s="1">
        <f>(B9/($K9-$J9))*-$J$11</f>
        <v>9444557.7608888894</v>
      </c>
      <c r="C11" s="1">
        <f t="shared" ref="C11:I11" si="0">(C9/($K9-$J9))*-$J$11</f>
        <v>141625.24740023637</v>
      </c>
      <c r="D11" s="1">
        <f t="shared" si="0"/>
        <v>194689.03831898299</v>
      </c>
      <c r="E11" s="1">
        <f t="shared" si="0"/>
        <v>878548.95629889308</v>
      </c>
      <c r="G11" s="1">
        <f t="shared" si="0"/>
        <v>3226011.7333207708</v>
      </c>
      <c r="H11" s="1">
        <f t="shared" si="0"/>
        <v>2228032.7256055367</v>
      </c>
      <c r="I11" s="1">
        <f t="shared" si="0"/>
        <v>2369935.8581666932</v>
      </c>
      <c r="J11" s="1">
        <f>-J9</f>
        <v>-18483401.32</v>
      </c>
      <c r="K11" s="1">
        <v>0</v>
      </c>
    </row>
    <row r="12" spans="1:11" x14ac:dyDescent="0.2">
      <c r="A12" t="s">
        <v>4</v>
      </c>
      <c r="B12" s="1">
        <f>+B9+B11</f>
        <v>109008223.54088889</v>
      </c>
      <c r="C12" s="1">
        <f t="shared" ref="C12:J12" si="1">+C9+C11</f>
        <v>1634625.6774002363</v>
      </c>
      <c r="D12" s="1">
        <f t="shared" si="1"/>
        <v>2247083.1083189831</v>
      </c>
      <c r="E12" s="1">
        <f t="shared" si="1"/>
        <v>10140131.856298894</v>
      </c>
      <c r="G12" s="1">
        <f t="shared" si="1"/>
        <v>37234332.943320774</v>
      </c>
      <c r="H12" s="1">
        <f t="shared" si="1"/>
        <v>25715750.335605536</v>
      </c>
      <c r="I12" s="1">
        <f t="shared" si="1"/>
        <v>27353583.338166695</v>
      </c>
      <c r="J12" s="1">
        <f t="shared" si="1"/>
        <v>0</v>
      </c>
      <c r="K12" s="1">
        <f>SUM(B12:J12)</f>
        <v>213333730.79999998</v>
      </c>
    </row>
    <row r="14" spans="1:11" x14ac:dyDescent="0.2">
      <c r="A14" t="s">
        <v>5</v>
      </c>
      <c r="B14" s="1">
        <f>B$9/($K$9-$J$9-$I$9)*-I14</f>
        <v>16032708.694260629</v>
      </c>
      <c r="C14" s="1">
        <f t="shared" ref="C14:H14" si="2">C$9/($K$9-$J$9-$I$9)*-$I$14</f>
        <v>240417.43327819699</v>
      </c>
      <c r="D14" s="1">
        <f t="shared" si="2"/>
        <v>330496.43152801524</v>
      </c>
      <c r="E14" s="1">
        <f t="shared" si="2"/>
        <v>1491390.0519849421</v>
      </c>
      <c r="G14" s="1">
        <f t="shared" si="2"/>
        <v>5476350.2616061997</v>
      </c>
      <c r="H14" s="1">
        <f t="shared" si="2"/>
        <v>3782220.4655087125</v>
      </c>
      <c r="I14" s="1">
        <f>-I12</f>
        <v>-27353583.338166695</v>
      </c>
      <c r="K14" s="1">
        <v>0</v>
      </c>
    </row>
    <row r="15" spans="1:11" x14ac:dyDescent="0.2">
      <c r="A15" t="s">
        <v>4</v>
      </c>
      <c r="B15" s="1">
        <f>+B12+B14</f>
        <v>125040932.23514952</v>
      </c>
      <c r="C15" s="1">
        <f>+C12+C14</f>
        <v>1875043.1106784332</v>
      </c>
      <c r="D15" s="1">
        <f>+D12+D14</f>
        <v>2577579.5398469982</v>
      </c>
      <c r="E15" s="1">
        <f>+E12+E14</f>
        <v>11631521.908283835</v>
      </c>
      <c r="G15" s="1">
        <f>+G12+G14</f>
        <v>42710683.204926975</v>
      </c>
      <c r="H15" s="1">
        <f>+H12+H14</f>
        <v>29497970.801114246</v>
      </c>
      <c r="I15" s="1">
        <f>+I12+I14</f>
        <v>0</v>
      </c>
      <c r="J15" s="1">
        <f>+J12+J14</f>
        <v>0</v>
      </c>
      <c r="K15" s="1">
        <f>SUM(B15:J15)</f>
        <v>213333730.80000001</v>
      </c>
    </row>
    <row r="17" spans="1:11" x14ac:dyDescent="0.2">
      <c r="A17" t="s">
        <v>6</v>
      </c>
      <c r="B17" s="1">
        <f>B$9/($K$9-$J$9-$I$9-$H$9)*-$H$17</f>
        <v>20063853.561673213</v>
      </c>
      <c r="C17" s="1">
        <f>C$9/($K$9-$J$9-$I$9-$H$9)*-$H$17</f>
        <v>300866.20214673196</v>
      </c>
      <c r="D17" s="1">
        <f>D$9/($K$9-$J$9-$I$9-$H$9)*-$H$17</f>
        <v>413593.99283587211</v>
      </c>
      <c r="E17" s="1">
        <f>E$9/($K$9-$J$9-$I$9-$H$9)*-$H$17</f>
        <v>1866374.0592426462</v>
      </c>
      <c r="G17" s="1">
        <f>G$9/($K$9-$J$9-$I$9-$H$9)*-$H$17</f>
        <v>6853282.9852157859</v>
      </c>
      <c r="H17" s="1">
        <f>-H15</f>
        <v>-29497970.801114246</v>
      </c>
      <c r="K17" s="1">
        <v>0</v>
      </c>
    </row>
    <row r="18" spans="1:11" x14ac:dyDescent="0.2">
      <c r="A18" t="s">
        <v>4</v>
      </c>
      <c r="B18" s="1">
        <f>+B15+B17</f>
        <v>145104785.79682273</v>
      </c>
      <c r="C18" s="1">
        <f>+C15+C17</f>
        <v>2175909.3128251652</v>
      </c>
      <c r="D18" s="1">
        <f>+D15+D17</f>
        <v>2991173.5326828705</v>
      </c>
      <c r="E18" s="1">
        <f>+E15+E17</f>
        <v>13497895.967526481</v>
      </c>
      <c r="G18" s="1">
        <f>+G15+G17</f>
        <v>49563966.190142758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213333730.80000001</v>
      </c>
    </row>
    <row r="20" spans="1:11" x14ac:dyDescent="0.2">
      <c r="A20" t="s">
        <v>7</v>
      </c>
      <c r="B20" s="1">
        <f>B$9/($K$9-$J$9-$I$9-$H$9-$G$9)*-$G$20</f>
        <v>43915118.974462695</v>
      </c>
      <c r="C20" s="1">
        <f>C$9/($K$9-$J$9-$I$9-$H$9-$G$9)*-$G$20</f>
        <v>658526.29067766282</v>
      </c>
      <c r="D20" s="1">
        <f>D$9/($K$9-$J$9-$I$9-$H$9-$G$9)*-$G$20</f>
        <v>905261.26233328111</v>
      </c>
      <c r="E20" s="1">
        <f>E$9/($K$9-$J$9-$I$9-$H$9-$G$9)*-$G$20</f>
        <v>4085059.6626691339</v>
      </c>
      <c r="G20" s="1">
        <f>-G18</f>
        <v>-49563966.190142758</v>
      </c>
      <c r="K20" s="1">
        <f>SUM(B20:J20)</f>
        <v>0</v>
      </c>
    </row>
    <row r="22" spans="1:11" x14ac:dyDescent="0.2">
      <c r="A22" t="s">
        <v>8</v>
      </c>
      <c r="B22" s="1">
        <f>+B20+B18</f>
        <v>189019904.77128541</v>
      </c>
      <c r="C22" s="1">
        <f t="shared" ref="C22:K22" si="3">+C20+C18</f>
        <v>2834435.6035028282</v>
      </c>
      <c r="D22" s="1">
        <f t="shared" si="3"/>
        <v>3896434.7950161519</v>
      </c>
      <c r="E22" s="1">
        <f t="shared" si="3"/>
        <v>17582955.630195614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213333730.80000001</v>
      </c>
    </row>
    <row r="27" spans="1:11" x14ac:dyDescent="0.2">
      <c r="A27" t="s">
        <v>9</v>
      </c>
      <c r="B27" s="1">
        <f>+B9</f>
        <v>99563665.780000001</v>
      </c>
    </row>
    <row r="28" spans="1:11" x14ac:dyDescent="0.2">
      <c r="A28" t="s">
        <v>10</v>
      </c>
      <c r="B28" s="1">
        <f>+B22-B27</f>
        <v>89456238.991285414</v>
      </c>
    </row>
    <row r="29" spans="1:11" x14ac:dyDescent="0.2">
      <c r="A29" s="22" t="s">
        <v>105</v>
      </c>
      <c r="B29" s="1">
        <v>13052</v>
      </c>
    </row>
    <row r="30" spans="1:11" x14ac:dyDescent="0.2">
      <c r="A30" t="s">
        <v>11</v>
      </c>
      <c r="B30" s="1">
        <f>+B28/B29</f>
        <v>6853.8338179041839</v>
      </c>
    </row>
  </sheetData>
  <phoneticPr fontId="0" type="noConversion"/>
  <pageMargins left="0.52" right="0.55000000000000004" top="1" bottom="1" header="0.5" footer="0.5"/>
  <pageSetup scale="10" orientation="landscape" horizontalDpi="4294967294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2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4" style="1" customWidth="1"/>
  </cols>
  <sheetData>
    <row r="1" spans="1:11" ht="15.75" x14ac:dyDescent="0.25">
      <c r="A1" s="4" t="str">
        <f>+System!$A$1</f>
        <v>MINNESOTA STATE - F.Y. 2023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27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Table'!B27</f>
        <v>12861501.380000001</v>
      </c>
      <c r="C9" s="1">
        <f>'Master Expend Table'!C27</f>
        <v>71945.62</v>
      </c>
      <c r="D9" s="1">
        <f>'Master Expend Table'!D27</f>
        <v>1345328.29</v>
      </c>
      <c r="E9" s="1">
        <f>'Master Expend Table'!E27</f>
        <v>346905.21</v>
      </c>
      <c r="G9" s="1">
        <f>'Master Expend Table'!G27</f>
        <v>2892233.28</v>
      </c>
      <c r="H9" s="1">
        <f>'Master Expend Table'!H27</f>
        <v>4186153.14</v>
      </c>
      <c r="I9" s="1">
        <f>'Master Expend Table'!I27</f>
        <v>3479985.33</v>
      </c>
      <c r="J9" s="1">
        <f>'Master Expend Table'!J27</f>
        <v>3027586.51</v>
      </c>
      <c r="K9" s="1">
        <f>SUM(B9:J9)</f>
        <v>28211638.759999998</v>
      </c>
    </row>
    <row r="11" spans="1:11" x14ac:dyDescent="0.2">
      <c r="A11" t="s">
        <v>3</v>
      </c>
      <c r="B11" s="1">
        <f>(B9/($K9-$J9))*-$J$11</f>
        <v>1546189.1394556803</v>
      </c>
      <c r="C11" s="1">
        <f t="shared" ref="C11:I11" si="0">(C9/($K9-$J9))*-$J$11</f>
        <v>8649.1874462175238</v>
      </c>
      <c r="D11" s="1">
        <f t="shared" si="0"/>
        <v>161733.21679498054</v>
      </c>
      <c r="E11" s="1">
        <f t="shared" si="0"/>
        <v>41704.389890023238</v>
      </c>
      <c r="G11" s="1">
        <f t="shared" si="0"/>
        <v>347699.66228532785</v>
      </c>
      <c r="H11" s="1">
        <f t="shared" si="0"/>
        <v>503252.63979144348</v>
      </c>
      <c r="I11" s="1">
        <f t="shared" si="0"/>
        <v>418358.27433632722</v>
      </c>
      <c r="J11" s="1">
        <f>-J9</f>
        <v>-3027586.51</v>
      </c>
      <c r="K11" s="1">
        <v>0</v>
      </c>
    </row>
    <row r="12" spans="1:11" x14ac:dyDescent="0.2">
      <c r="A12" t="s">
        <v>4</v>
      </c>
      <c r="B12" s="1">
        <f>+B9+B11</f>
        <v>14407690.519455681</v>
      </c>
      <c r="C12" s="1">
        <f t="shared" ref="C12:J12" si="1">+C9+C11</f>
        <v>80594.807446217514</v>
      </c>
      <c r="D12" s="1">
        <f t="shared" si="1"/>
        <v>1507061.5067949805</v>
      </c>
      <c r="E12" s="1">
        <f t="shared" si="1"/>
        <v>388609.59989002324</v>
      </c>
      <c r="G12" s="1">
        <f t="shared" si="1"/>
        <v>3239932.9422853277</v>
      </c>
      <c r="H12" s="1">
        <f t="shared" si="1"/>
        <v>4689405.7797914436</v>
      </c>
      <c r="I12" s="1">
        <f t="shared" si="1"/>
        <v>3898343.6043363274</v>
      </c>
      <c r="J12" s="1">
        <f t="shared" si="1"/>
        <v>0</v>
      </c>
      <c r="K12" s="1">
        <f>SUM(B12:J12)</f>
        <v>28211638.760000002</v>
      </c>
    </row>
    <row r="14" spans="1:11" x14ac:dyDescent="0.2">
      <c r="A14" t="s">
        <v>5</v>
      </c>
      <c r="B14" s="1">
        <f>B$9/($K$9-$J$9-$I$9)*-I14</f>
        <v>2310099.3851379924</v>
      </c>
      <c r="C14" s="1">
        <f t="shared" ref="C14:H14" si="2">C$9/($K$9-$J$9-$I$9)*-$I$14</f>
        <v>12922.405216534031</v>
      </c>
      <c r="D14" s="1">
        <f t="shared" si="2"/>
        <v>241639.13401047638</v>
      </c>
      <c r="E14" s="1">
        <f t="shared" si="2"/>
        <v>62308.861822955092</v>
      </c>
      <c r="G14" s="1">
        <f t="shared" si="2"/>
        <v>519484.16630373517</v>
      </c>
      <c r="H14" s="1">
        <f t="shared" si="2"/>
        <v>751889.65184463374</v>
      </c>
      <c r="I14" s="1">
        <f>-I12</f>
        <v>-3898343.6043363274</v>
      </c>
      <c r="K14" s="1">
        <v>0</v>
      </c>
    </row>
    <row r="15" spans="1:11" x14ac:dyDescent="0.2">
      <c r="A15" t="s">
        <v>4</v>
      </c>
      <c r="B15" s="1">
        <f>+B12+B14</f>
        <v>16717789.904593673</v>
      </c>
      <c r="C15" s="1">
        <f>+C12+C14</f>
        <v>93517.212662751539</v>
      </c>
      <c r="D15" s="1">
        <f>+D12+D14</f>
        <v>1748700.6408054568</v>
      </c>
      <c r="E15" s="1">
        <f>+E12+E14</f>
        <v>450918.46171297831</v>
      </c>
      <c r="G15" s="1">
        <f>+G12+G14</f>
        <v>3759417.1085890629</v>
      </c>
      <c r="H15" s="1">
        <f>+H12+H14</f>
        <v>5441295.4316360774</v>
      </c>
      <c r="I15" s="1">
        <f>+I12+I14</f>
        <v>0</v>
      </c>
      <c r="J15" s="1">
        <f>+J12+J14</f>
        <v>0</v>
      </c>
      <c r="K15" s="1">
        <f>SUM(B15:J15)</f>
        <v>28211638.760000002</v>
      </c>
    </row>
    <row r="17" spans="1:11" x14ac:dyDescent="0.2">
      <c r="A17" t="s">
        <v>6</v>
      </c>
      <c r="B17" s="1">
        <f>B$9/($K$9-$J$9-$I$9-$H$9)*-$H$17</f>
        <v>3994952.2290076655</v>
      </c>
      <c r="C17" s="1">
        <f>C$9/($K$9-$J$9-$I$9-$H$9)*-$H$17</f>
        <v>22347.259973340566</v>
      </c>
      <c r="D17" s="1">
        <f>D$9/($K$9-$J$9-$I$9-$H$9)*-$H$17</f>
        <v>417876.73865510803</v>
      </c>
      <c r="E17" s="1">
        <f>E$9/($K$9-$J$9-$I$9-$H$9)*-$H$17</f>
        <v>107753.34084237934</v>
      </c>
      <c r="G17" s="1">
        <f>G$9/($K$9-$J$9-$I$9-$H$9)*-$H$17</f>
        <v>898365.8631575834</v>
      </c>
      <c r="H17" s="1">
        <f>-H15</f>
        <v>-5441295.4316360774</v>
      </c>
      <c r="K17" s="1">
        <v>0</v>
      </c>
    </row>
    <row r="18" spans="1:11" x14ac:dyDescent="0.2">
      <c r="A18" t="s">
        <v>4</v>
      </c>
      <c r="B18" s="1">
        <f>+B15+B17</f>
        <v>20712742.133601338</v>
      </c>
      <c r="C18" s="1">
        <f>+C15+C17</f>
        <v>115864.4726360921</v>
      </c>
      <c r="D18" s="1">
        <f>+D15+D17</f>
        <v>2166577.3794605648</v>
      </c>
      <c r="E18" s="1">
        <f>+E15+E17</f>
        <v>558671.80255535769</v>
      </c>
      <c r="G18" s="1">
        <f>+G15+G17</f>
        <v>4657782.9717466459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28211638.759999998</v>
      </c>
    </row>
    <row r="20" spans="1:11" x14ac:dyDescent="0.2">
      <c r="A20" t="s">
        <v>7</v>
      </c>
      <c r="B20" s="1">
        <f>B$9/($K$9-$J$9-$I$9-$H$9-$G$9)*-$G$20</f>
        <v>4095951.782815164</v>
      </c>
      <c r="C20" s="1">
        <f>C$9/($K$9-$J$9-$I$9-$H$9-$G$9)*-$G$20</f>
        <v>22912.238765762377</v>
      </c>
      <c r="D20" s="1">
        <f>D$9/($K$9-$J$9-$I$9-$H$9-$G$9)*-$G$20</f>
        <v>428441.41170532425</v>
      </c>
      <c r="E20" s="1">
        <f>E$9/($K$9-$J$9-$I$9-$H$9-$G$9)*-$G$20</f>
        <v>110477.53846039466</v>
      </c>
      <c r="G20" s="1">
        <f>-G18</f>
        <v>-4657782.9717466459</v>
      </c>
      <c r="K20" s="1">
        <f>SUM(B20:J20)</f>
        <v>0</v>
      </c>
    </row>
    <row r="22" spans="1:11" x14ac:dyDescent="0.2">
      <c r="A22" t="s">
        <v>8</v>
      </c>
      <c r="B22" s="1">
        <f>+B20+B18</f>
        <v>24808693.916416503</v>
      </c>
      <c r="C22" s="1">
        <f t="shared" ref="C22:K22" si="3">+C20+C18</f>
        <v>138776.71140185447</v>
      </c>
      <c r="D22" s="1">
        <f t="shared" si="3"/>
        <v>2595018.7911658892</v>
      </c>
      <c r="E22" s="1">
        <f t="shared" si="3"/>
        <v>669149.3410157524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28211638.759999998</v>
      </c>
    </row>
    <row r="27" spans="1:11" x14ac:dyDescent="0.2">
      <c r="A27" t="s">
        <v>9</v>
      </c>
      <c r="B27" s="1">
        <f>+B9</f>
        <v>12861501.380000001</v>
      </c>
    </row>
    <row r="28" spans="1:11" x14ac:dyDescent="0.2">
      <c r="A28" t="s">
        <v>10</v>
      </c>
      <c r="B28" s="1">
        <f>+B22-B27</f>
        <v>11947192.536416503</v>
      </c>
    </row>
    <row r="29" spans="1:11" x14ac:dyDescent="0.2">
      <c r="A29" s="22" t="s">
        <v>105</v>
      </c>
      <c r="B29" s="1">
        <v>1918</v>
      </c>
    </row>
    <row r="30" spans="1:11" x14ac:dyDescent="0.2">
      <c r="A30" t="s">
        <v>11</v>
      </c>
      <c r="B30" s="1">
        <f>+B28/B29</f>
        <v>6228.9846383819095</v>
      </c>
    </row>
  </sheetData>
  <phoneticPr fontId="0" type="noConversion"/>
  <pageMargins left="0.44" right="0.55000000000000004" top="1" bottom="0.53" header="0.5" footer="0.5"/>
  <pageSetup scale="10" orientation="landscape" horizontalDpi="4294967294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3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7" width="11" style="1" customWidth="1"/>
    <col min="8" max="8" width="10.5703125" style="1" customWidth="1"/>
    <col min="9" max="9" width="11" style="1" customWidth="1"/>
    <col min="10" max="10" width="10.28515625" style="1" customWidth="1"/>
    <col min="11" max="11" width="14" style="1" customWidth="1"/>
  </cols>
  <sheetData>
    <row r="1" spans="1:11" ht="15.75" x14ac:dyDescent="0.25">
      <c r="A1" s="4" t="str">
        <f>+System!$A$1</f>
        <v>MINNESOTA STATE - F.Y. 2023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28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Table'!B28</f>
        <v>28099536</v>
      </c>
      <c r="C9" s="1">
        <f>'Master Expend Table'!C28</f>
        <v>134358.57</v>
      </c>
      <c r="D9" s="1">
        <f>'Master Expend Table'!D28</f>
        <v>707535.37</v>
      </c>
      <c r="E9" s="1">
        <f>'Master Expend Table'!E28</f>
        <v>0</v>
      </c>
      <c r="G9" s="1">
        <f>'Master Expend Table'!G28</f>
        <v>13711982.220000001</v>
      </c>
      <c r="H9" s="1">
        <f>'Master Expend Table'!H28</f>
        <v>7265824.2999999998</v>
      </c>
      <c r="I9" s="1">
        <f>'Master Expend Table'!I28</f>
        <v>9599864.4000000004</v>
      </c>
      <c r="J9" s="1">
        <f>'Master Expend Table'!J28</f>
        <v>6280635.8399999999</v>
      </c>
      <c r="K9" s="1">
        <f>SUM(B9:J9)</f>
        <v>65799736.700000003</v>
      </c>
    </row>
    <row r="11" spans="1:11" x14ac:dyDescent="0.2">
      <c r="A11" t="s">
        <v>3</v>
      </c>
      <c r="B11" s="1">
        <f>(B9/($K9-$J9))*-$J$11</f>
        <v>2965148.1682173084</v>
      </c>
      <c r="C11" s="1">
        <f t="shared" ref="C11:I11" si="0">(C9/($K9-$J9))*-$J$11</f>
        <v>14177.923355026114</v>
      </c>
      <c r="D11" s="1">
        <f t="shared" si="0"/>
        <v>74661.275769979111</v>
      </c>
      <c r="E11" s="1">
        <f t="shared" si="0"/>
        <v>0</v>
      </c>
      <c r="G11" s="1">
        <f t="shared" si="0"/>
        <v>1446929.9052575568</v>
      </c>
      <c r="H11" s="1">
        <f t="shared" si="0"/>
        <v>766711.79245571198</v>
      </c>
      <c r="I11" s="1">
        <f t="shared" si="0"/>
        <v>1013006.7749444173</v>
      </c>
      <c r="J11" s="1">
        <f>-J9</f>
        <v>-6280635.8399999999</v>
      </c>
      <c r="K11" s="1">
        <v>0</v>
      </c>
    </row>
    <row r="12" spans="1:11" x14ac:dyDescent="0.2">
      <c r="A12" t="s">
        <v>4</v>
      </c>
      <c r="B12" s="1">
        <f>+B9+B11</f>
        <v>31064684.168217309</v>
      </c>
      <c r="C12" s="1">
        <f t="shared" ref="C12:J12" si="1">+C9+C11</f>
        <v>148536.49335502612</v>
      </c>
      <c r="D12" s="1">
        <f t="shared" si="1"/>
        <v>782196.64576997911</v>
      </c>
      <c r="E12" s="1">
        <f t="shared" si="1"/>
        <v>0</v>
      </c>
      <c r="G12" s="1">
        <f t="shared" si="1"/>
        <v>15158912.125257557</v>
      </c>
      <c r="H12" s="1">
        <f t="shared" si="1"/>
        <v>8032536.0924557121</v>
      </c>
      <c r="I12" s="1">
        <f t="shared" si="1"/>
        <v>10612871.174944418</v>
      </c>
      <c r="J12" s="1">
        <f t="shared" si="1"/>
        <v>0</v>
      </c>
      <c r="K12" s="1">
        <f>SUM(B12:J12)</f>
        <v>65799736.700000003</v>
      </c>
    </row>
    <row r="14" spans="1:11" x14ac:dyDescent="0.2">
      <c r="A14" t="s">
        <v>5</v>
      </c>
      <c r="B14" s="1">
        <f>B$9/($K$9-$J$9-$I$9)*-I14</f>
        <v>5973984.7159455726</v>
      </c>
      <c r="C14" s="1">
        <f t="shared" ref="C14:H14" si="2">C$9/($K$9-$J$9-$I$9)*-$I$14</f>
        <v>28564.74368958631</v>
      </c>
      <c r="D14" s="1">
        <f t="shared" si="2"/>
        <v>150422.60791676046</v>
      </c>
      <c r="E14" s="1">
        <f t="shared" si="2"/>
        <v>0</v>
      </c>
      <c r="G14" s="1">
        <f t="shared" si="2"/>
        <v>2915178.8203049847</v>
      </c>
      <c r="H14" s="1">
        <f t="shared" si="2"/>
        <v>1544720.2870875141</v>
      </c>
      <c r="I14" s="1">
        <f>-I12</f>
        <v>-10612871.174944418</v>
      </c>
      <c r="K14" s="1">
        <v>0</v>
      </c>
    </row>
    <row r="15" spans="1:11" x14ac:dyDescent="0.2">
      <c r="A15" t="s">
        <v>4</v>
      </c>
      <c r="B15" s="1">
        <f>+B12+B14</f>
        <v>37038668.88416288</v>
      </c>
      <c r="C15" s="1">
        <f>+C12+C14</f>
        <v>177101.23704461244</v>
      </c>
      <c r="D15" s="1">
        <f>+D12+D14</f>
        <v>932619.2536867396</v>
      </c>
      <c r="E15" s="1">
        <f>+E12+E14</f>
        <v>0</v>
      </c>
      <c r="G15" s="1">
        <f>+G12+G14</f>
        <v>18074090.945562541</v>
      </c>
      <c r="H15" s="1">
        <f>+H12+H14</f>
        <v>9577256.3795432262</v>
      </c>
      <c r="I15" s="1">
        <f>+I12+I14</f>
        <v>0</v>
      </c>
      <c r="J15" s="1">
        <f>+J12+J14</f>
        <v>0</v>
      </c>
      <c r="K15" s="1">
        <f>SUM(B15:J15)</f>
        <v>65799736.700000003</v>
      </c>
    </row>
    <row r="17" spans="1:11" x14ac:dyDescent="0.2">
      <c r="A17" t="s">
        <v>6</v>
      </c>
      <c r="B17" s="1">
        <f>B$9/($K$9-$J$9-$I$9-$H$9)*-$H$17</f>
        <v>6309377.0648102947</v>
      </c>
      <c r="C17" s="1">
        <f>C$9/($K$9-$J$9-$I$9-$H$9)*-$H$17</f>
        <v>30168.429828119173</v>
      </c>
      <c r="D17" s="1">
        <f>D$9/($K$9-$J$9-$I$9-$H$9)*-$H$17</f>
        <v>158867.65660543524</v>
      </c>
      <c r="E17" s="1">
        <f>E$9/($K$9-$J$9-$I$9-$H$9)*-$H$17</f>
        <v>0</v>
      </c>
      <c r="G17" s="1">
        <f>G$9/($K$9-$J$9-$I$9-$H$9)*-$H$17</f>
        <v>3078843.2282993766</v>
      </c>
      <c r="H17" s="1">
        <f>-H15</f>
        <v>-9577256.3795432262</v>
      </c>
      <c r="K17" s="1">
        <v>0</v>
      </c>
    </row>
    <row r="18" spans="1:11" x14ac:dyDescent="0.2">
      <c r="A18" t="s">
        <v>4</v>
      </c>
      <c r="B18" s="1">
        <f>+B15+B17</f>
        <v>43348045.948973179</v>
      </c>
      <c r="C18" s="1">
        <f>+C15+C17</f>
        <v>207269.66687273161</v>
      </c>
      <c r="D18" s="1">
        <f>+D15+D17</f>
        <v>1091486.9102921749</v>
      </c>
      <c r="E18" s="1">
        <f>+E15+E17</f>
        <v>0</v>
      </c>
      <c r="G18" s="1">
        <f>+G15+G17</f>
        <v>21152934.173861917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65799736.700000003</v>
      </c>
    </row>
    <row r="20" spans="1:11" x14ac:dyDescent="0.2">
      <c r="A20" t="s">
        <v>7</v>
      </c>
      <c r="B20" s="1">
        <f>B$9/($K$9-$J$9-$I$9-$H$9-$G$9)*-$G$20</f>
        <v>20537604.277201209</v>
      </c>
      <c r="C20" s="1">
        <f>C$9/($K$9-$J$9-$I$9-$H$9-$G$9)*-$G$20</f>
        <v>98201.021607995164</v>
      </c>
      <c r="D20" s="1">
        <f>D$9/($K$9-$J$9-$I$9-$H$9-$G$9)*-$G$20</f>
        <v>517128.87505271047</v>
      </c>
      <c r="E20" s="1">
        <f>E$9/($K$9-$J$9-$I$9-$H$9-$G$9)*-$G$20</f>
        <v>0</v>
      </c>
      <c r="G20" s="1">
        <f>-G18</f>
        <v>-21152934.173861917</v>
      </c>
      <c r="K20" s="1">
        <f>SUM(B20:J20)</f>
        <v>0</v>
      </c>
    </row>
    <row r="22" spans="1:11" x14ac:dyDescent="0.2">
      <c r="A22" t="s">
        <v>8</v>
      </c>
      <c r="B22" s="1">
        <f>+B20+B18</f>
        <v>63885650.226174384</v>
      </c>
      <c r="C22" s="1">
        <f t="shared" ref="C22:K22" si="3">+C20+C18</f>
        <v>305470.68848072679</v>
      </c>
      <c r="D22" s="1">
        <f t="shared" si="3"/>
        <v>1608615.7853448854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65799736.700000003</v>
      </c>
    </row>
    <row r="27" spans="1:11" x14ac:dyDescent="0.2">
      <c r="A27" t="s">
        <v>9</v>
      </c>
      <c r="B27" s="1">
        <f>+B9</f>
        <v>28099536</v>
      </c>
    </row>
    <row r="28" spans="1:11" x14ac:dyDescent="0.2">
      <c r="A28" t="s">
        <v>10</v>
      </c>
      <c r="B28" s="1">
        <f>+B22-B27</f>
        <v>35786114.226174384</v>
      </c>
    </row>
    <row r="29" spans="1:11" x14ac:dyDescent="0.2">
      <c r="A29" s="22" t="s">
        <v>105</v>
      </c>
      <c r="B29" s="1">
        <v>6083</v>
      </c>
    </row>
    <row r="30" spans="1:11" x14ac:dyDescent="0.2">
      <c r="A30" t="s">
        <v>11</v>
      </c>
      <c r="B30" s="1">
        <f>+B28/B29</f>
        <v>5882.9712684817332</v>
      </c>
    </row>
  </sheetData>
  <phoneticPr fontId="0" type="noConversion"/>
  <pageMargins left="0.54" right="0.55000000000000004" top="1" bottom="0.57999999999999996" header="0.5" footer="0.5"/>
  <pageSetup scale="10" orientation="landscape" horizontalDpi="4294967294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4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6.85546875" style="1" customWidth="1"/>
  </cols>
  <sheetData>
    <row r="1" spans="1:11" ht="15.75" x14ac:dyDescent="0.25">
      <c r="A1" s="4" t="str">
        <f>+System!$A$1</f>
        <v>MINNESOTA STATE - F.Y. 2023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29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Table'!B29</f>
        <v>16968224.359999999</v>
      </c>
      <c r="C9" s="1">
        <f>'Master Expend Table'!C29</f>
        <v>0</v>
      </c>
      <c r="D9" s="1">
        <f>'Master Expend Table'!D29</f>
        <v>0</v>
      </c>
      <c r="E9" s="1">
        <f>'Master Expend Table'!E29</f>
        <v>0</v>
      </c>
      <c r="G9" s="1">
        <f>'Master Expend Table'!G29</f>
        <v>7559248.8200000003</v>
      </c>
      <c r="H9" s="1">
        <f>'Master Expend Table'!H29</f>
        <v>5070357.66</v>
      </c>
      <c r="I9" s="1">
        <f>'Master Expend Table'!I29</f>
        <v>5379678</v>
      </c>
      <c r="J9" s="1">
        <f>'Master Expend Table'!J29</f>
        <v>4273272.51</v>
      </c>
      <c r="K9" s="1">
        <f>SUM(B9:J9)</f>
        <v>39250781.350000001</v>
      </c>
    </row>
    <row r="11" spans="1:11" x14ac:dyDescent="0.2">
      <c r="A11" t="s">
        <v>3</v>
      </c>
      <c r="B11" s="1">
        <f>(B9/($K9-$J9))*-$J$11</f>
        <v>2073042.0520451318</v>
      </c>
      <c r="C11" s="1">
        <f t="shared" ref="C11:I11" si="0">(C9/($K9-$J9))*-$J$11</f>
        <v>0</v>
      </c>
      <c r="D11" s="1">
        <f t="shared" si="0"/>
        <v>0</v>
      </c>
      <c r="E11" s="1">
        <f t="shared" si="0"/>
        <v>0</v>
      </c>
      <c r="G11" s="1">
        <f t="shared" si="0"/>
        <v>923528.6116721608</v>
      </c>
      <c r="H11" s="1">
        <f t="shared" si="0"/>
        <v>619455.77952560445</v>
      </c>
      <c r="I11" s="1">
        <f t="shared" si="0"/>
        <v>657246.06675710226</v>
      </c>
      <c r="J11" s="1">
        <f>-J9</f>
        <v>-4273272.51</v>
      </c>
      <c r="K11" s="1">
        <v>0</v>
      </c>
    </row>
    <row r="12" spans="1:11" x14ac:dyDescent="0.2">
      <c r="A12" t="s">
        <v>4</v>
      </c>
      <c r="B12" s="1">
        <f>+B9+B11</f>
        <v>19041266.412045132</v>
      </c>
      <c r="C12" s="1">
        <f t="shared" ref="C12:J12" si="1">+C9+C11</f>
        <v>0</v>
      </c>
      <c r="D12" s="1">
        <f t="shared" si="1"/>
        <v>0</v>
      </c>
      <c r="E12" s="1">
        <f t="shared" si="1"/>
        <v>0</v>
      </c>
      <c r="G12" s="1">
        <f t="shared" si="1"/>
        <v>8482777.4316721614</v>
      </c>
      <c r="H12" s="1">
        <f t="shared" si="1"/>
        <v>5689813.4395256042</v>
      </c>
      <c r="I12" s="1">
        <f t="shared" si="1"/>
        <v>6036924.0667571025</v>
      </c>
      <c r="J12" s="1">
        <f t="shared" si="1"/>
        <v>0</v>
      </c>
      <c r="K12" s="1">
        <f>SUM(B12:J12)</f>
        <v>39250781.350000001</v>
      </c>
    </row>
    <row r="14" spans="1:11" x14ac:dyDescent="0.2">
      <c r="A14" t="s">
        <v>5</v>
      </c>
      <c r="B14" s="1">
        <f>B$9/($K$9-$J$9-$I$9)*-I14</f>
        <v>3460925.31451937</v>
      </c>
      <c r="C14" s="1">
        <f t="shared" ref="C14:H14" si="2">C$9/($K$9-$J$9-$I$9)*-$I$14</f>
        <v>0</v>
      </c>
      <c r="D14" s="1">
        <f t="shared" si="2"/>
        <v>0</v>
      </c>
      <c r="E14" s="1">
        <f t="shared" si="2"/>
        <v>0</v>
      </c>
      <c r="G14" s="1">
        <f t="shared" si="2"/>
        <v>1541822.8239344589</v>
      </c>
      <c r="H14" s="1">
        <f t="shared" si="2"/>
        <v>1034175.9283032722</v>
      </c>
      <c r="I14" s="1">
        <f>-I12</f>
        <v>-6036924.0667571025</v>
      </c>
      <c r="K14" s="1">
        <v>0</v>
      </c>
    </row>
    <row r="15" spans="1:11" x14ac:dyDescent="0.2">
      <c r="A15" t="s">
        <v>4</v>
      </c>
      <c r="B15" s="1">
        <f>+B12+B14</f>
        <v>22502191.726564504</v>
      </c>
      <c r="C15" s="1">
        <f>+C12+C14</f>
        <v>0</v>
      </c>
      <c r="D15" s="1">
        <f>+D12+D14</f>
        <v>0</v>
      </c>
      <c r="E15" s="1">
        <f>+E12+E14</f>
        <v>0</v>
      </c>
      <c r="G15" s="1">
        <f>+G12+G14</f>
        <v>10024600.25560662</v>
      </c>
      <c r="H15" s="1">
        <f>+H12+H14</f>
        <v>6723989.3678288767</v>
      </c>
      <c r="I15" s="1">
        <f>+I12+I14</f>
        <v>0</v>
      </c>
      <c r="J15" s="1">
        <f>+J12+J14</f>
        <v>0</v>
      </c>
      <c r="K15" s="1">
        <f>SUM(B15:J15)</f>
        <v>39250781.350000001</v>
      </c>
    </row>
    <row r="17" spans="1:11" x14ac:dyDescent="0.2">
      <c r="A17" t="s">
        <v>6</v>
      </c>
      <c r="B17" s="1">
        <f>B$9/($K$9-$J$9-$I$9-$H$9)*-$H$17</f>
        <v>4651688.3068333631</v>
      </c>
      <c r="C17" s="1">
        <f>C$9/($K$9-$J$9-$I$9-$H$9)*-$H$17</f>
        <v>0</v>
      </c>
      <c r="D17" s="1">
        <f>D$9/($K$9-$J$9-$I$9-$H$9)*-$H$17</f>
        <v>0</v>
      </c>
      <c r="E17" s="1">
        <f>E$9/($K$9-$J$9-$I$9-$H$9)*-$H$17</f>
        <v>0</v>
      </c>
      <c r="G17" s="1">
        <f>G$9/($K$9-$J$9-$I$9-$H$9)*-$H$17</f>
        <v>2072301.0609955124</v>
      </c>
      <c r="H17" s="1">
        <f>-H15</f>
        <v>-6723989.3678288767</v>
      </c>
      <c r="K17" s="1">
        <v>0</v>
      </c>
    </row>
    <row r="18" spans="1:11" x14ac:dyDescent="0.2">
      <c r="A18" t="s">
        <v>4</v>
      </c>
      <c r="B18" s="1">
        <f>+B15+B17</f>
        <v>27153880.033397868</v>
      </c>
      <c r="C18" s="1">
        <f>+C15+C17</f>
        <v>0</v>
      </c>
      <c r="D18" s="1">
        <f>+D15+D17</f>
        <v>0</v>
      </c>
      <c r="E18" s="1">
        <f>+E15+E17</f>
        <v>0</v>
      </c>
      <c r="G18" s="1">
        <f>+G15+G17</f>
        <v>12096901.316602131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39250781.350000001</v>
      </c>
    </row>
    <row r="20" spans="1:11" x14ac:dyDescent="0.2">
      <c r="A20" t="s">
        <v>7</v>
      </c>
      <c r="B20" s="1">
        <f>B$9/($K$9-$J$9-$I$9-$H$9-$G$9)*-$G$20</f>
        <v>12096901.316602129</v>
      </c>
      <c r="C20" s="1">
        <f>C$9/($K$9-$J$9-$I$9-$H$9-$G$9)*-$G$20</f>
        <v>0</v>
      </c>
      <c r="D20" s="1">
        <f>D$9/($K$9-$J$9-$I$9-$H$9-$G$9)*-$G$20</f>
        <v>0</v>
      </c>
      <c r="E20" s="1">
        <f>E$9/($K$9-$J$9-$I$9-$H$9-$G$9)*-$G$20</f>
        <v>0</v>
      </c>
      <c r="G20" s="1">
        <f>-G18</f>
        <v>-12096901.316602131</v>
      </c>
      <c r="K20" s="1">
        <f>SUM(B20:J20)</f>
        <v>0</v>
      </c>
    </row>
    <row r="22" spans="1:11" x14ac:dyDescent="0.2">
      <c r="A22" t="s">
        <v>8</v>
      </c>
      <c r="B22" s="1">
        <f>+B20+B18</f>
        <v>39250781.349999994</v>
      </c>
      <c r="C22" s="1">
        <f t="shared" ref="C22:K22" si="3">+C20+C18</f>
        <v>0</v>
      </c>
      <c r="D22" s="1">
        <f t="shared" si="3"/>
        <v>0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39250781.350000001</v>
      </c>
    </row>
    <row r="27" spans="1:11" x14ac:dyDescent="0.2">
      <c r="A27" t="s">
        <v>9</v>
      </c>
      <c r="B27" s="1">
        <f>+B9</f>
        <v>16968224.359999999</v>
      </c>
    </row>
    <row r="28" spans="1:11" x14ac:dyDescent="0.2">
      <c r="A28" t="s">
        <v>10</v>
      </c>
      <c r="B28" s="1">
        <f>+B22-B27</f>
        <v>22282556.989999995</v>
      </c>
    </row>
    <row r="29" spans="1:11" x14ac:dyDescent="0.2">
      <c r="A29" s="22" t="s">
        <v>105</v>
      </c>
      <c r="B29" s="1">
        <v>2893</v>
      </c>
    </row>
    <row r="30" spans="1:11" x14ac:dyDescent="0.2">
      <c r="A30" t="s">
        <v>11</v>
      </c>
      <c r="B30" s="1">
        <f>+B28/B29</f>
        <v>7702.2319357068773</v>
      </c>
    </row>
  </sheetData>
  <phoneticPr fontId="0" type="noConversion"/>
  <pageMargins left="0.56000000000000005" right="0.55000000000000004" top="1" bottom="0.46" header="0.5" footer="0.5"/>
  <pageSetup scale="10" orientation="landscape" horizontalDpi="4294967294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5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4" style="1" customWidth="1"/>
  </cols>
  <sheetData>
    <row r="1" spans="1:11" ht="15.75" x14ac:dyDescent="0.25">
      <c r="A1" s="4" t="str">
        <f>+System!$A$1</f>
        <v>MINNESOTA STATE - F.Y. 2023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34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Table'!B30</f>
        <v>16595100.33</v>
      </c>
      <c r="C9" s="1">
        <f>'Master Expend Table'!C30</f>
        <v>25024.98</v>
      </c>
      <c r="D9" s="1">
        <f>'Master Expend Table'!D30</f>
        <v>1317679.77</v>
      </c>
      <c r="E9" s="1">
        <f>'Master Expend Table'!E30</f>
        <v>2591880.0099999998</v>
      </c>
      <c r="G9" s="1">
        <f>'Master Expend Table'!G30</f>
        <v>2270623.52</v>
      </c>
      <c r="H9" s="1">
        <f>'Master Expend Table'!H30</f>
        <v>4746208.91</v>
      </c>
      <c r="I9" s="1">
        <f>'Master Expend Table'!I30</f>
        <v>6831676.4900000002</v>
      </c>
      <c r="J9" s="1">
        <f>'Master Expend Table'!J30</f>
        <v>5557629.96</v>
      </c>
      <c r="K9" s="1">
        <f>SUM(B9:J9)</f>
        <v>39935823.970000006</v>
      </c>
    </row>
    <row r="11" spans="1:11" x14ac:dyDescent="0.2">
      <c r="A11" t="s">
        <v>3</v>
      </c>
      <c r="B11" s="1">
        <f>(B9/($K9-$J9))*-$J$11</f>
        <v>2682788.5943160942</v>
      </c>
      <c r="C11" s="1">
        <f t="shared" ref="C11:I11" si="0">(C9/($K9-$J9))*-$J$11</f>
        <v>4045.5754760108985</v>
      </c>
      <c r="D11" s="1">
        <f t="shared" si="0"/>
        <v>213018.07085351043</v>
      </c>
      <c r="E11" s="1">
        <f t="shared" si="0"/>
        <v>419007.17623825796</v>
      </c>
      <c r="G11" s="1">
        <f t="shared" si="0"/>
        <v>367072.37439412711</v>
      </c>
      <c r="H11" s="1">
        <f t="shared" si="0"/>
        <v>767279.18944672169</v>
      </c>
      <c r="I11" s="1">
        <f t="shared" si="0"/>
        <v>1104418.9792752769</v>
      </c>
      <c r="J11" s="1">
        <f>-J9</f>
        <v>-5557629.96</v>
      </c>
      <c r="K11" s="1">
        <v>0</v>
      </c>
    </row>
    <row r="12" spans="1:11" x14ac:dyDescent="0.2">
      <c r="A12" t="s">
        <v>4</v>
      </c>
      <c r="B12" s="1">
        <f>+B9+B11</f>
        <v>19277888.924316093</v>
      </c>
      <c r="C12" s="1">
        <f t="shared" ref="C12:J12" si="1">+C9+C11</f>
        <v>29070.555476010897</v>
      </c>
      <c r="D12" s="1">
        <f t="shared" si="1"/>
        <v>1530697.8408535104</v>
      </c>
      <c r="E12" s="1">
        <f t="shared" si="1"/>
        <v>3010887.1862382577</v>
      </c>
      <c r="G12" s="1">
        <f t="shared" si="1"/>
        <v>2637695.8943941272</v>
      </c>
      <c r="H12" s="1">
        <f t="shared" si="1"/>
        <v>5513488.0994467214</v>
      </c>
      <c r="I12" s="1">
        <f t="shared" si="1"/>
        <v>7936095.4692752771</v>
      </c>
      <c r="J12" s="1">
        <f t="shared" si="1"/>
        <v>0</v>
      </c>
      <c r="K12" s="1">
        <f>SUM(B12:J12)</f>
        <v>39935823.969999999</v>
      </c>
    </row>
    <row r="14" spans="1:11" x14ac:dyDescent="0.2">
      <c r="A14" t="s">
        <v>5</v>
      </c>
      <c r="B14" s="1">
        <f>B$9/($K$9-$J$9-$I$9)*-I14</f>
        <v>4781014.5309824133</v>
      </c>
      <c r="C14" s="1">
        <f t="shared" ref="C14:H14" si="2">C$9/($K$9-$J$9-$I$9)*-$I$14</f>
        <v>7209.6456567517644</v>
      </c>
      <c r="D14" s="1">
        <f t="shared" si="2"/>
        <v>379620.85207541281</v>
      </c>
      <c r="E14" s="1">
        <f t="shared" si="2"/>
        <v>746715.34030869242</v>
      </c>
      <c r="G14" s="1">
        <f t="shared" si="2"/>
        <v>654162.00129176548</v>
      </c>
      <c r="H14" s="1">
        <f t="shared" si="2"/>
        <v>1367373.0989602401</v>
      </c>
      <c r="I14" s="1">
        <f>-I12</f>
        <v>-7936095.4692752771</v>
      </c>
      <c r="K14" s="1">
        <v>0</v>
      </c>
    </row>
    <row r="15" spans="1:11" x14ac:dyDescent="0.2">
      <c r="A15" t="s">
        <v>4</v>
      </c>
      <c r="B15" s="1">
        <f>+B12+B14</f>
        <v>24058903.455298506</v>
      </c>
      <c r="C15" s="1">
        <f>+C12+C14</f>
        <v>36280.201132762661</v>
      </c>
      <c r="D15" s="1">
        <f>+D12+D14</f>
        <v>1910318.6929289233</v>
      </c>
      <c r="E15" s="1">
        <f>+E12+E14</f>
        <v>3757602.52654695</v>
      </c>
      <c r="G15" s="1">
        <f>+G12+G14</f>
        <v>3291857.8956858926</v>
      </c>
      <c r="H15" s="1">
        <f>+H12+H14</f>
        <v>6880861.1984069617</v>
      </c>
      <c r="I15" s="1">
        <f>+I12+I14</f>
        <v>0</v>
      </c>
      <c r="J15" s="1">
        <f>+J12+J14</f>
        <v>0</v>
      </c>
      <c r="K15" s="1">
        <f>SUM(B15:J15)</f>
        <v>39935823.969999999</v>
      </c>
    </row>
    <row r="17" spans="1:11" x14ac:dyDescent="0.2">
      <c r="A17" t="s">
        <v>6</v>
      </c>
      <c r="B17" s="1">
        <f>B$9/($K$9-$J$9-$I$9-$H$9)*-$H$17</f>
        <v>5008203.3492426286</v>
      </c>
      <c r="C17" s="1">
        <f>C$9/($K$9-$J$9-$I$9-$H$9)*-$H$17</f>
        <v>7552.2404901742348</v>
      </c>
      <c r="D17" s="1">
        <f>D$9/($K$9-$J$9-$I$9-$H$9)*-$H$17</f>
        <v>397660.03857255721</v>
      </c>
      <c r="E17" s="1">
        <f>E$9/($K$9-$J$9-$I$9-$H$9)*-$H$17</f>
        <v>782198.47357301379</v>
      </c>
      <c r="G17" s="1">
        <f>G$9/($K$9-$J$9-$I$9-$H$9)*-$H$17</f>
        <v>685247.09652858647</v>
      </c>
      <c r="H17" s="1">
        <f>-H15</f>
        <v>-6880861.1984069617</v>
      </c>
      <c r="K17" s="1">
        <v>0</v>
      </c>
    </row>
    <row r="18" spans="1:11" x14ac:dyDescent="0.2">
      <c r="A18" t="s">
        <v>4</v>
      </c>
      <c r="B18" s="1">
        <f>+B15+B17</f>
        <v>29067106.804541133</v>
      </c>
      <c r="C18" s="1">
        <f>+C15+C17</f>
        <v>43832.441622936894</v>
      </c>
      <c r="D18" s="1">
        <f>+D15+D17</f>
        <v>2307978.7315014806</v>
      </c>
      <c r="E18" s="1">
        <f>+E15+E17</f>
        <v>4539801.0001199637</v>
      </c>
      <c r="G18" s="1">
        <f>+G15+G17</f>
        <v>3977104.992214479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39935823.969999991</v>
      </c>
    </row>
    <row r="20" spans="1:11" x14ac:dyDescent="0.2">
      <c r="A20" t="s">
        <v>7</v>
      </c>
      <c r="B20" s="1">
        <f>B$9/($K$9-$J$9-$I$9-$H$9-$G$9)*-$G$20</f>
        <v>3214879.1410781029</v>
      </c>
      <c r="C20" s="1">
        <f>C$9/($K$9-$J$9-$I$9-$H$9-$G$9)*-$G$20</f>
        <v>4847.9541917838296</v>
      </c>
      <c r="D20" s="1">
        <f>D$9/($K$9-$J$9-$I$9-$H$9-$G$9)*-$G$20</f>
        <v>255266.9838057913</v>
      </c>
      <c r="E20" s="1">
        <f>E$9/($K$9-$J$9-$I$9-$H$9-$G$9)*-$G$20</f>
        <v>502110.91313880018</v>
      </c>
      <c r="G20" s="1">
        <f>-G18</f>
        <v>-3977104.992214479</v>
      </c>
      <c r="K20" s="1">
        <f>SUM(B20:J20)</f>
        <v>0</v>
      </c>
    </row>
    <row r="22" spans="1:11" x14ac:dyDescent="0.2">
      <c r="A22" t="s">
        <v>8</v>
      </c>
      <c r="B22" s="1">
        <f>+B20+B18</f>
        <v>32281985.945619237</v>
      </c>
      <c r="C22" s="1">
        <f t="shared" ref="C22:K22" si="3">+C20+C18</f>
        <v>48680.395814720723</v>
      </c>
      <c r="D22" s="1">
        <f t="shared" si="3"/>
        <v>2563245.715307272</v>
      </c>
      <c r="E22" s="1">
        <f t="shared" si="3"/>
        <v>5041911.913258764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39935823.969999991</v>
      </c>
    </row>
    <row r="27" spans="1:11" x14ac:dyDescent="0.2">
      <c r="A27" t="s">
        <v>9</v>
      </c>
      <c r="B27" s="1">
        <f>+B9</f>
        <v>16595100.33</v>
      </c>
    </row>
    <row r="28" spans="1:11" x14ac:dyDescent="0.2">
      <c r="A28" t="s">
        <v>10</v>
      </c>
      <c r="B28" s="1">
        <f>+B22-B27</f>
        <v>15686885.615619237</v>
      </c>
    </row>
    <row r="29" spans="1:11" x14ac:dyDescent="0.2">
      <c r="A29" s="22" t="s">
        <v>105</v>
      </c>
      <c r="B29" s="1">
        <f>HIBBING!B29+'ITASCA CC'!B29+'MESABI RANGE'!B29+'RAINY RIVER'!B29+VERMILION!B29</f>
        <v>2635</v>
      </c>
    </row>
    <row r="30" spans="1:11" x14ac:dyDescent="0.2">
      <c r="A30" t="s">
        <v>11</v>
      </c>
      <c r="B30" s="1">
        <f>+B28/B29</f>
        <v>5953.2772734797863</v>
      </c>
    </row>
  </sheetData>
  <phoneticPr fontId="0" type="noConversion"/>
  <pageMargins left="0.56000000000000005" right="0.59" top="0.82" bottom="1" header="0.5" footer="0.5"/>
  <pageSetup scale="1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6">
    <pageSetUpPr fitToPage="1"/>
  </sheetPr>
  <dimension ref="A1:K30"/>
  <sheetViews>
    <sheetView zoomScale="75" workbookViewId="0">
      <selection activeCell="A32" sqref="A32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10" width="10.28515625" style="1" customWidth="1"/>
    <col min="11" max="11" width="11.42578125" style="1" customWidth="1"/>
  </cols>
  <sheetData>
    <row r="1" spans="1:11" ht="15.75" x14ac:dyDescent="0.25">
      <c r="A1" s="4" t="str">
        <f>+System!$A$1</f>
        <v>MINNESOTA STATE - F.Y. 2023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91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 t="e">
        <f>'Master Expend Table'!#REF!</f>
        <v>#REF!</v>
      </c>
      <c r="C9" s="1" t="e">
        <f>'Master Expend Table'!#REF!</f>
        <v>#REF!</v>
      </c>
      <c r="D9" s="1" t="e">
        <f>'Master Expend Table'!#REF!</f>
        <v>#REF!</v>
      </c>
      <c r="E9" s="1" t="e">
        <f>'Master Expend Table'!#REF!</f>
        <v>#REF!</v>
      </c>
      <c r="G9" s="1" t="e">
        <f>'Master Expend Table'!#REF!</f>
        <v>#REF!</v>
      </c>
      <c r="H9" s="1" t="e">
        <f>'Master Expend Table'!#REF!</f>
        <v>#REF!</v>
      </c>
      <c r="I9" s="1" t="e">
        <f>'Master Expend Table'!#REF!</f>
        <v>#REF!</v>
      </c>
      <c r="J9" s="1" t="e">
        <f>'Master Expend Table'!#REF!</f>
        <v>#REF!</v>
      </c>
      <c r="K9" s="1" t="e">
        <f>SUM(B9:J9)</f>
        <v>#REF!</v>
      </c>
    </row>
    <row r="11" spans="1:11" x14ac:dyDescent="0.2">
      <c r="A11" t="s">
        <v>3</v>
      </c>
      <c r="B11" s="1" t="e">
        <f>(B9/($K9-$J9))*-$J$11</f>
        <v>#REF!</v>
      </c>
      <c r="C11" s="1" t="e">
        <f t="shared" ref="C11:I11" si="0">(C9/($K9-$J9))*-$J$11</f>
        <v>#REF!</v>
      </c>
      <c r="D11" s="1" t="e">
        <f t="shared" si="0"/>
        <v>#REF!</v>
      </c>
      <c r="E11" s="1" t="e">
        <f t="shared" si="0"/>
        <v>#REF!</v>
      </c>
      <c r="G11" s="1" t="e">
        <f t="shared" si="0"/>
        <v>#REF!</v>
      </c>
      <c r="H11" s="1" t="e">
        <f t="shared" si="0"/>
        <v>#REF!</v>
      </c>
      <c r="I11" s="1" t="e">
        <f t="shared" si="0"/>
        <v>#REF!</v>
      </c>
      <c r="J11" s="1" t="e">
        <f>-J9</f>
        <v>#REF!</v>
      </c>
      <c r="K11" s="1">
        <v>0</v>
      </c>
    </row>
    <row r="12" spans="1:11" x14ac:dyDescent="0.2">
      <c r="A12" t="s">
        <v>4</v>
      </c>
      <c r="B12" s="1" t="e">
        <f>+B9+B11</f>
        <v>#REF!</v>
      </c>
      <c r="C12" s="1" t="e">
        <f t="shared" ref="C12:J12" si="1">+C9+C11</f>
        <v>#REF!</v>
      </c>
      <c r="D12" s="1" t="e">
        <f t="shared" si="1"/>
        <v>#REF!</v>
      </c>
      <c r="E12" s="1" t="e">
        <f t="shared" si="1"/>
        <v>#REF!</v>
      </c>
      <c r="G12" s="1" t="e">
        <f t="shared" si="1"/>
        <v>#REF!</v>
      </c>
      <c r="H12" s="1" t="e">
        <f t="shared" si="1"/>
        <v>#REF!</v>
      </c>
      <c r="I12" s="1" t="e">
        <f t="shared" si="1"/>
        <v>#REF!</v>
      </c>
      <c r="J12" s="1" t="e">
        <f t="shared" si="1"/>
        <v>#REF!</v>
      </c>
      <c r="K12" s="1" t="e">
        <f>SUM(B12:J12)</f>
        <v>#REF!</v>
      </c>
    </row>
    <row r="14" spans="1:11" x14ac:dyDescent="0.2">
      <c r="A14" t="s">
        <v>5</v>
      </c>
      <c r="B14" s="1" t="e">
        <f>B$9/($K$9-$J$9-$I$9)*-I14</f>
        <v>#REF!</v>
      </c>
      <c r="C14" s="1" t="e">
        <f t="shared" ref="C14:H14" si="2">C$9/($K$9-$J$9-$I$9)*-$I$14</f>
        <v>#REF!</v>
      </c>
      <c r="D14" s="1" t="e">
        <f t="shared" si="2"/>
        <v>#REF!</v>
      </c>
      <c r="E14" s="1" t="e">
        <f t="shared" si="2"/>
        <v>#REF!</v>
      </c>
      <c r="G14" s="1" t="e">
        <f t="shared" si="2"/>
        <v>#REF!</v>
      </c>
      <c r="H14" s="1" t="e">
        <f t="shared" si="2"/>
        <v>#REF!</v>
      </c>
      <c r="I14" s="1" t="e">
        <f>-I12</f>
        <v>#REF!</v>
      </c>
      <c r="K14" s="1">
        <v>0</v>
      </c>
    </row>
    <row r="15" spans="1:11" x14ac:dyDescent="0.2">
      <c r="A15" t="s">
        <v>4</v>
      </c>
      <c r="B15" s="1" t="e">
        <f>+B12+B14</f>
        <v>#REF!</v>
      </c>
      <c r="C15" s="1" t="e">
        <f>+C12+C14</f>
        <v>#REF!</v>
      </c>
      <c r="D15" s="1" t="e">
        <f>+D12+D14</f>
        <v>#REF!</v>
      </c>
      <c r="E15" s="1" t="e">
        <f>+E12+E14</f>
        <v>#REF!</v>
      </c>
      <c r="G15" s="1" t="e">
        <f>+G12+G14</f>
        <v>#REF!</v>
      </c>
      <c r="H15" s="1" t="e">
        <f>+H12+H14</f>
        <v>#REF!</v>
      </c>
      <c r="I15" s="1" t="e">
        <f>+I12+I14</f>
        <v>#REF!</v>
      </c>
      <c r="J15" s="1" t="e">
        <f>+J12+J14</f>
        <v>#REF!</v>
      </c>
      <c r="K15" s="1" t="e">
        <f>SUM(B15:J15)</f>
        <v>#REF!</v>
      </c>
    </row>
    <row r="17" spans="1:11" x14ac:dyDescent="0.2">
      <c r="A17" t="s">
        <v>6</v>
      </c>
      <c r="B17" s="1" t="e">
        <f>B$9/($K$9-$J$9-$I$9-$H$9)*-$H$17</f>
        <v>#REF!</v>
      </c>
      <c r="C17" s="1" t="e">
        <f>C$9/($K$9-$J$9-$I$9-$H$9)*-$H$17</f>
        <v>#REF!</v>
      </c>
      <c r="D17" s="1" t="e">
        <f>D$9/($K$9-$J$9-$I$9-$H$9)*-$H$17</f>
        <v>#REF!</v>
      </c>
      <c r="E17" s="1" t="e">
        <f>E$9/($K$9-$J$9-$I$9-$H$9)*-$H$17</f>
        <v>#REF!</v>
      </c>
      <c r="G17" s="1" t="e">
        <f>G$9/($K$9-$J$9-$I$9-$H$9)*-$H$17</f>
        <v>#REF!</v>
      </c>
      <c r="H17" s="1" t="e">
        <f>-H15</f>
        <v>#REF!</v>
      </c>
      <c r="K17" s="1">
        <v>0</v>
      </c>
    </row>
    <row r="18" spans="1:11" x14ac:dyDescent="0.2">
      <c r="A18" t="s">
        <v>4</v>
      </c>
      <c r="B18" s="1" t="e">
        <f>+B15+B17</f>
        <v>#REF!</v>
      </c>
      <c r="C18" s="1" t="e">
        <f>+C15+C17</f>
        <v>#REF!</v>
      </c>
      <c r="D18" s="1" t="e">
        <f>+D15+D17</f>
        <v>#REF!</v>
      </c>
      <c r="E18" s="1" t="e">
        <f>+E15+E17</f>
        <v>#REF!</v>
      </c>
      <c r="G18" s="1" t="e">
        <f>+G15+G17</f>
        <v>#REF!</v>
      </c>
      <c r="H18" s="1" t="e">
        <f>+H15+H17</f>
        <v>#REF!</v>
      </c>
      <c r="I18" s="1" t="e">
        <f>+I15+I17</f>
        <v>#REF!</v>
      </c>
      <c r="J18" s="1" t="e">
        <f>+J15+J17</f>
        <v>#REF!</v>
      </c>
      <c r="K18" s="1" t="e">
        <f>SUM(B18:J18)</f>
        <v>#REF!</v>
      </c>
    </row>
    <row r="20" spans="1:11" x14ac:dyDescent="0.2">
      <c r="A20" t="s">
        <v>7</v>
      </c>
      <c r="B20" s="1" t="e">
        <f>B$9/($K$9-$J$9-$I$9-$H$9-$G$9)*-$G$20</f>
        <v>#REF!</v>
      </c>
      <c r="C20" s="1" t="e">
        <f>C$9/($K$9-$J$9-$I$9-$H$9-$G$9)*-$G$20</f>
        <v>#REF!</v>
      </c>
      <c r="D20" s="1" t="e">
        <f>D$9/($K$9-$J$9-$I$9-$H$9-$G$9)*-$G$20</f>
        <v>#REF!</v>
      </c>
      <c r="E20" s="1" t="e">
        <f>E$9/($K$9-$J$9-$I$9-$H$9-$G$9)*-$G$20</f>
        <v>#REF!</v>
      </c>
      <c r="G20" s="1" t="e">
        <f>-G18</f>
        <v>#REF!</v>
      </c>
      <c r="K20" s="1" t="e">
        <f>SUM(B20:J20)</f>
        <v>#REF!</v>
      </c>
    </row>
    <row r="22" spans="1:11" x14ac:dyDescent="0.2">
      <c r="A22" t="s">
        <v>8</v>
      </c>
      <c r="B22" s="1" t="e">
        <f>+B20+B18</f>
        <v>#REF!</v>
      </c>
      <c r="C22" s="1" t="e">
        <f t="shared" ref="C22:K22" si="3">+C20+C18</f>
        <v>#REF!</v>
      </c>
      <c r="D22" s="1" t="e">
        <f t="shared" si="3"/>
        <v>#REF!</v>
      </c>
      <c r="E22" s="1" t="e">
        <f t="shared" si="3"/>
        <v>#REF!</v>
      </c>
      <c r="G22" s="1" t="e">
        <f t="shared" si="3"/>
        <v>#REF!</v>
      </c>
      <c r="H22" s="1" t="e">
        <f t="shared" si="3"/>
        <v>#REF!</v>
      </c>
      <c r="I22" s="1" t="e">
        <f t="shared" si="3"/>
        <v>#REF!</v>
      </c>
      <c r="J22" s="1" t="e">
        <f t="shared" si="3"/>
        <v>#REF!</v>
      </c>
      <c r="K22" s="1" t="e">
        <f t="shared" si="3"/>
        <v>#REF!</v>
      </c>
    </row>
    <row r="27" spans="1:11" x14ac:dyDescent="0.2">
      <c r="A27" t="s">
        <v>9</v>
      </c>
      <c r="B27" s="1" t="e">
        <f>+B9</f>
        <v>#REF!</v>
      </c>
    </row>
    <row r="28" spans="1:11" x14ac:dyDescent="0.2">
      <c r="A28" t="s">
        <v>10</v>
      </c>
      <c r="B28" s="1" t="e">
        <f>+B22-B27</f>
        <v>#REF!</v>
      </c>
    </row>
    <row r="29" spans="1:11" x14ac:dyDescent="0.2">
      <c r="A29" s="22" t="s">
        <v>103</v>
      </c>
      <c r="B29" s="1">
        <v>663</v>
      </c>
    </row>
    <row r="30" spans="1:11" x14ac:dyDescent="0.2">
      <c r="A30" t="s">
        <v>11</v>
      </c>
      <c r="B30" s="1" t="e">
        <f>+B28/B29</f>
        <v>#REF!</v>
      </c>
    </row>
  </sheetData>
  <phoneticPr fontId="0" type="noConversion"/>
  <pageMargins left="0.46" right="0.55000000000000004" top="1" bottom="0.51" header="0.5" footer="0.5"/>
  <pageSetup orientation="landscape" horizontalDpi="4294967294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7">
    <pageSetUpPr fitToPage="1"/>
  </sheetPr>
  <dimension ref="A1:K30"/>
  <sheetViews>
    <sheetView zoomScale="75" workbookViewId="0">
      <selection activeCell="A32" sqref="A32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10" width="10.28515625" style="1" customWidth="1"/>
    <col min="11" max="11" width="11.42578125" style="1" customWidth="1"/>
  </cols>
  <sheetData>
    <row r="1" spans="1:11" ht="15.75" x14ac:dyDescent="0.25">
      <c r="A1" s="4" t="str">
        <f>+System!$A$1</f>
        <v>MINNESOTA STATE - F.Y. 2023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92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 t="e">
        <f>'Master Expend Table'!#REF!</f>
        <v>#REF!</v>
      </c>
      <c r="C9" s="1" t="e">
        <f>'Master Expend Table'!#REF!</f>
        <v>#REF!</v>
      </c>
      <c r="D9" s="1" t="e">
        <f>'Master Expend Table'!#REF!</f>
        <v>#REF!</v>
      </c>
      <c r="E9" s="1" t="e">
        <f>'Master Expend Table'!#REF!</f>
        <v>#REF!</v>
      </c>
      <c r="G9" s="1" t="e">
        <f>'Master Expend Table'!#REF!</f>
        <v>#REF!</v>
      </c>
      <c r="H9" s="1" t="e">
        <f>'Master Expend Table'!#REF!</f>
        <v>#REF!</v>
      </c>
      <c r="I9" s="1" t="e">
        <f>'Master Expend Table'!#REF!</f>
        <v>#REF!</v>
      </c>
      <c r="J9" s="1" t="e">
        <f>'Master Expend Table'!#REF!</f>
        <v>#REF!</v>
      </c>
      <c r="K9" s="1" t="e">
        <f>SUM(B9:J9)</f>
        <v>#REF!</v>
      </c>
    </row>
    <row r="11" spans="1:11" x14ac:dyDescent="0.2">
      <c r="A11" t="s">
        <v>3</v>
      </c>
      <c r="B11" s="1" t="e">
        <f>(B9/($K9-$J9))*-$J$11</f>
        <v>#REF!</v>
      </c>
      <c r="C11" s="1" t="e">
        <f t="shared" ref="C11:I11" si="0">(C9/($K9-$J9))*-$J$11</f>
        <v>#REF!</v>
      </c>
      <c r="D11" s="1" t="e">
        <f t="shared" si="0"/>
        <v>#REF!</v>
      </c>
      <c r="E11" s="1" t="e">
        <f t="shared" si="0"/>
        <v>#REF!</v>
      </c>
      <c r="G11" s="1" t="e">
        <f t="shared" si="0"/>
        <v>#REF!</v>
      </c>
      <c r="H11" s="1" t="e">
        <f t="shared" si="0"/>
        <v>#REF!</v>
      </c>
      <c r="I11" s="1" t="e">
        <f t="shared" si="0"/>
        <v>#REF!</v>
      </c>
      <c r="J11" s="1" t="e">
        <f>-J9</f>
        <v>#REF!</v>
      </c>
      <c r="K11" s="1">
        <v>0</v>
      </c>
    </row>
    <row r="12" spans="1:11" x14ac:dyDescent="0.2">
      <c r="A12" t="s">
        <v>4</v>
      </c>
      <c r="B12" s="1" t="e">
        <f>+B9+B11</f>
        <v>#REF!</v>
      </c>
      <c r="C12" s="1" t="e">
        <f t="shared" ref="C12:J12" si="1">+C9+C11</f>
        <v>#REF!</v>
      </c>
      <c r="D12" s="1" t="e">
        <f t="shared" si="1"/>
        <v>#REF!</v>
      </c>
      <c r="E12" s="1" t="e">
        <f t="shared" si="1"/>
        <v>#REF!</v>
      </c>
      <c r="G12" s="1" t="e">
        <f t="shared" si="1"/>
        <v>#REF!</v>
      </c>
      <c r="H12" s="1" t="e">
        <f t="shared" si="1"/>
        <v>#REF!</v>
      </c>
      <c r="I12" s="1" t="e">
        <f t="shared" si="1"/>
        <v>#REF!</v>
      </c>
      <c r="J12" s="1" t="e">
        <f t="shared" si="1"/>
        <v>#REF!</v>
      </c>
      <c r="K12" s="1" t="e">
        <f>SUM(B12:J12)</f>
        <v>#REF!</v>
      </c>
    </row>
    <row r="14" spans="1:11" x14ac:dyDescent="0.2">
      <c r="A14" t="s">
        <v>5</v>
      </c>
      <c r="B14" s="1" t="e">
        <f>B$9/($K$9-$J$9-$I$9)*-I14</f>
        <v>#REF!</v>
      </c>
      <c r="C14" s="1" t="e">
        <f t="shared" ref="C14:H14" si="2">C$9/($K$9-$J$9-$I$9)*-$I$14</f>
        <v>#REF!</v>
      </c>
      <c r="D14" s="1" t="e">
        <f t="shared" si="2"/>
        <v>#REF!</v>
      </c>
      <c r="E14" s="1" t="e">
        <f t="shared" si="2"/>
        <v>#REF!</v>
      </c>
      <c r="G14" s="1" t="e">
        <f t="shared" si="2"/>
        <v>#REF!</v>
      </c>
      <c r="H14" s="1" t="e">
        <f t="shared" si="2"/>
        <v>#REF!</v>
      </c>
      <c r="I14" s="1" t="e">
        <f>-I12</f>
        <v>#REF!</v>
      </c>
      <c r="K14" s="1">
        <v>0</v>
      </c>
    </row>
    <row r="15" spans="1:11" x14ac:dyDescent="0.2">
      <c r="A15" t="s">
        <v>4</v>
      </c>
      <c r="B15" s="1" t="e">
        <f>+B12+B14</f>
        <v>#REF!</v>
      </c>
      <c r="C15" s="1" t="e">
        <f>+C12+C14</f>
        <v>#REF!</v>
      </c>
      <c r="D15" s="1" t="e">
        <f>+D12+D14</f>
        <v>#REF!</v>
      </c>
      <c r="E15" s="1" t="e">
        <f>+E12+E14</f>
        <v>#REF!</v>
      </c>
      <c r="G15" s="1" t="e">
        <f>+G12+G14</f>
        <v>#REF!</v>
      </c>
      <c r="H15" s="1" t="e">
        <f>+H12+H14</f>
        <v>#REF!</v>
      </c>
      <c r="I15" s="1" t="e">
        <f>+I12+I14</f>
        <v>#REF!</v>
      </c>
      <c r="J15" s="1" t="e">
        <f>+J12+J14</f>
        <v>#REF!</v>
      </c>
      <c r="K15" s="1" t="e">
        <f>SUM(B15:J15)</f>
        <v>#REF!</v>
      </c>
    </row>
    <row r="17" spans="1:11" x14ac:dyDescent="0.2">
      <c r="A17" t="s">
        <v>6</v>
      </c>
      <c r="B17" s="1" t="e">
        <f>B$9/($K$9-$J$9-$I$9-$H$9)*-$H$17</f>
        <v>#REF!</v>
      </c>
      <c r="C17" s="1" t="e">
        <f>C$9/($K$9-$J$9-$I$9-$H$9)*-$H$17</f>
        <v>#REF!</v>
      </c>
      <c r="D17" s="1" t="e">
        <f>D$9/($K$9-$J$9-$I$9-$H$9)*-$H$17</f>
        <v>#REF!</v>
      </c>
      <c r="E17" s="1" t="e">
        <f>E$9/($K$9-$J$9-$I$9-$H$9)*-$H$17</f>
        <v>#REF!</v>
      </c>
      <c r="G17" s="1" t="e">
        <f>G$9/($K$9-$J$9-$I$9-$H$9)*-$H$17</f>
        <v>#REF!</v>
      </c>
      <c r="H17" s="1" t="e">
        <f>-H15</f>
        <v>#REF!</v>
      </c>
      <c r="K17" s="1">
        <v>0</v>
      </c>
    </row>
    <row r="18" spans="1:11" x14ac:dyDescent="0.2">
      <c r="A18" t="s">
        <v>4</v>
      </c>
      <c r="B18" s="1" t="e">
        <f>+B15+B17</f>
        <v>#REF!</v>
      </c>
      <c r="C18" s="1" t="e">
        <f>+C15+C17</f>
        <v>#REF!</v>
      </c>
      <c r="D18" s="1" t="e">
        <f>+D15+D17</f>
        <v>#REF!</v>
      </c>
      <c r="E18" s="1" t="e">
        <f>+E15+E17</f>
        <v>#REF!</v>
      </c>
      <c r="G18" s="1" t="e">
        <f>+G15+G17</f>
        <v>#REF!</v>
      </c>
      <c r="H18" s="1" t="e">
        <f>+H15+H17</f>
        <v>#REF!</v>
      </c>
      <c r="I18" s="1" t="e">
        <f>+I15+I17</f>
        <v>#REF!</v>
      </c>
      <c r="J18" s="1" t="e">
        <f>+J15+J17</f>
        <v>#REF!</v>
      </c>
      <c r="K18" s="1" t="e">
        <f>SUM(B18:J18)</f>
        <v>#REF!</v>
      </c>
    </row>
    <row r="20" spans="1:11" x14ac:dyDescent="0.2">
      <c r="A20" t="s">
        <v>7</v>
      </c>
      <c r="B20" s="1" t="e">
        <f>B$9/($K$9-$J$9-$I$9-$H$9-$G$9)*-$G$20</f>
        <v>#REF!</v>
      </c>
      <c r="C20" s="1" t="e">
        <f>C$9/($K$9-$J$9-$I$9-$H$9-$G$9)*-$G$20</f>
        <v>#REF!</v>
      </c>
      <c r="D20" s="1" t="e">
        <f>D$9/($K$9-$J$9-$I$9-$H$9-$G$9)*-$G$20</f>
        <v>#REF!</v>
      </c>
      <c r="E20" s="1" t="e">
        <f>E$9/($K$9-$J$9-$I$9-$H$9-$G$9)*-$G$20</f>
        <v>#REF!</v>
      </c>
      <c r="G20" s="1" t="e">
        <f>-G18</f>
        <v>#REF!</v>
      </c>
      <c r="K20" s="1" t="e">
        <f>SUM(B20:J20)</f>
        <v>#REF!</v>
      </c>
    </row>
    <row r="22" spans="1:11" x14ac:dyDescent="0.2">
      <c r="A22" t="s">
        <v>8</v>
      </c>
      <c r="B22" s="1" t="e">
        <f>+B20+B18</f>
        <v>#REF!</v>
      </c>
      <c r="C22" s="1" t="e">
        <f t="shared" ref="C22:K22" si="3">+C20+C18</f>
        <v>#REF!</v>
      </c>
      <c r="D22" s="1" t="e">
        <f t="shared" si="3"/>
        <v>#REF!</v>
      </c>
      <c r="E22" s="1" t="e">
        <f t="shared" si="3"/>
        <v>#REF!</v>
      </c>
      <c r="G22" s="1" t="e">
        <f t="shared" si="3"/>
        <v>#REF!</v>
      </c>
      <c r="H22" s="1" t="e">
        <f t="shared" si="3"/>
        <v>#REF!</v>
      </c>
      <c r="I22" s="1" t="e">
        <f t="shared" si="3"/>
        <v>#REF!</v>
      </c>
      <c r="J22" s="1" t="e">
        <f t="shared" si="3"/>
        <v>#REF!</v>
      </c>
      <c r="K22" s="1" t="e">
        <f t="shared" si="3"/>
        <v>#REF!</v>
      </c>
    </row>
    <row r="27" spans="1:11" x14ac:dyDescent="0.2">
      <c r="A27" t="s">
        <v>9</v>
      </c>
      <c r="B27" s="1" t="e">
        <f>+B9</f>
        <v>#REF!</v>
      </c>
    </row>
    <row r="28" spans="1:11" x14ac:dyDescent="0.2">
      <c r="A28" t="s">
        <v>10</v>
      </c>
      <c r="B28" s="1" t="e">
        <f>+B22-B27</f>
        <v>#REF!</v>
      </c>
    </row>
    <row r="29" spans="1:11" x14ac:dyDescent="0.2">
      <c r="A29" s="22" t="s">
        <v>103</v>
      </c>
      <c r="B29" s="1">
        <v>702</v>
      </c>
    </row>
    <row r="30" spans="1:11" x14ac:dyDescent="0.2">
      <c r="A30" t="s">
        <v>11</v>
      </c>
      <c r="B30" s="1" t="e">
        <f>+B28/B29</f>
        <v>#REF!</v>
      </c>
    </row>
  </sheetData>
  <phoneticPr fontId="0" type="noConversion"/>
  <pageMargins left="0.59" right="0.55000000000000004" top="1" bottom="0.53" header="0.5" footer="0.5"/>
  <pageSetup orientation="landscape" horizontalDpi="4294967294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K30"/>
  <sheetViews>
    <sheetView zoomScale="118" zoomScaleNormal="118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5703125" style="1" bestFit="1" customWidth="1"/>
    <col min="5" max="5" width="9.28515625" style="1" bestFit="1" customWidth="1"/>
    <col min="6" max="6" width="2.7109375" style="1" customWidth="1"/>
    <col min="7" max="9" width="11.5703125" style="1" bestFit="1" customWidth="1"/>
    <col min="10" max="10" width="13.7109375" style="1" bestFit="1" customWidth="1"/>
    <col min="11" max="11" width="12.140625" style="1" bestFit="1" customWidth="1"/>
  </cols>
  <sheetData>
    <row r="1" spans="1:11" ht="15.75" x14ac:dyDescent="0.25">
      <c r="A1" s="4" t="str">
        <f>System!A1</f>
        <v>MINNESOTA STATE - F.Y. 2023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87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Table'!B6</f>
        <v>12225516.640000001</v>
      </c>
      <c r="C9" s="1">
        <f>'Master Expend Table'!C6</f>
        <v>0</v>
      </c>
      <c r="D9" s="1">
        <f>'Master Expend Table'!D6</f>
        <v>772690.06</v>
      </c>
      <c r="E9" s="1">
        <f>'Master Expend Table'!E6</f>
        <v>1737219.53</v>
      </c>
      <c r="G9" s="1">
        <f>'Master Expend Table'!G6</f>
        <v>2522355.9500000002</v>
      </c>
      <c r="H9" s="1">
        <f>'Master Expend Table'!H6</f>
        <v>3133967.68</v>
      </c>
      <c r="I9" s="1">
        <f>'Master Expend Table'!I6</f>
        <v>3635793.7</v>
      </c>
      <c r="J9" s="1">
        <f>'Master Expend Table'!J6</f>
        <v>2649713.65</v>
      </c>
      <c r="K9" s="1">
        <f>SUM(B9:J9)</f>
        <v>26677257.209999997</v>
      </c>
    </row>
    <row r="11" spans="1:11" x14ac:dyDescent="0.2">
      <c r="A11" t="s">
        <v>3</v>
      </c>
      <c r="B11" s="1">
        <f>(B9/($K9-$J9))*-$J$11</f>
        <v>1348207.6616953237</v>
      </c>
      <c r="C11" s="1">
        <f t="shared" ref="C11:I11" si="0">(C9/($K9-$J9))*-$J$11</f>
        <v>0</v>
      </c>
      <c r="D11" s="1">
        <f t="shared" si="0"/>
        <v>85210.849543927296</v>
      </c>
      <c r="E11" s="1">
        <f t="shared" si="0"/>
        <v>191577.39908754887</v>
      </c>
      <c r="G11" s="1">
        <f t="shared" si="0"/>
        <v>278160.81049584073</v>
      </c>
      <c r="H11" s="1">
        <f t="shared" si="0"/>
        <v>345608.23579898366</v>
      </c>
      <c r="I11" s="1">
        <f t="shared" si="0"/>
        <v>400948.69337837573</v>
      </c>
      <c r="J11" s="1">
        <f>-J9</f>
        <v>-2649713.65</v>
      </c>
      <c r="K11" s="1">
        <v>0</v>
      </c>
    </row>
    <row r="12" spans="1:11" x14ac:dyDescent="0.2">
      <c r="A12" t="s">
        <v>4</v>
      </c>
      <c r="B12" s="1">
        <f>+B9+B11</f>
        <v>13573724.301695324</v>
      </c>
      <c r="C12" s="1">
        <f t="shared" ref="C12:J12" si="1">+C9+C11</f>
        <v>0</v>
      </c>
      <c r="D12" s="1">
        <f t="shared" si="1"/>
        <v>857900.90954392729</v>
      </c>
      <c r="E12" s="1">
        <f t="shared" si="1"/>
        <v>1928796.929087549</v>
      </c>
      <c r="G12" s="1">
        <f t="shared" si="1"/>
        <v>2800516.760495841</v>
      </c>
      <c r="H12" s="1">
        <f t="shared" si="1"/>
        <v>3479575.915798984</v>
      </c>
      <c r="I12" s="1">
        <f t="shared" si="1"/>
        <v>4036742.393378376</v>
      </c>
      <c r="J12" s="1">
        <f t="shared" si="1"/>
        <v>0</v>
      </c>
      <c r="K12" s="1">
        <f>SUM(B12:J12)</f>
        <v>26677257.210000005</v>
      </c>
    </row>
    <row r="14" spans="1:11" x14ac:dyDescent="0.2">
      <c r="A14" t="s">
        <v>5</v>
      </c>
      <c r="B14" s="1">
        <f>B$9/($K$9-$J$9-$I$9)*-I14</f>
        <v>2420158.2326412848</v>
      </c>
      <c r="C14" s="1">
        <f t="shared" ref="C14:H14" si="2">C$9/($K$9-$J$9-$I$9)*-$I$14</f>
        <v>0</v>
      </c>
      <c r="D14" s="1">
        <f t="shared" si="2"/>
        <v>152961.4056448651</v>
      </c>
      <c r="E14" s="1">
        <f t="shared" si="2"/>
        <v>343899.26178487646</v>
      </c>
      <c r="G14" s="1">
        <f t="shared" si="2"/>
        <v>499324.5437228597</v>
      </c>
      <c r="H14" s="1">
        <f t="shared" si="2"/>
        <v>620398.94958449039</v>
      </c>
      <c r="I14" s="1">
        <f>-I12</f>
        <v>-4036742.393378376</v>
      </c>
      <c r="K14" s="1">
        <v>0</v>
      </c>
    </row>
    <row r="15" spans="1:11" x14ac:dyDescent="0.2">
      <c r="A15" t="s">
        <v>4</v>
      </c>
      <c r="B15" s="1">
        <f>+B12+B14</f>
        <v>15993882.53433661</v>
      </c>
      <c r="C15" s="1">
        <f>+C12+C14</f>
        <v>0</v>
      </c>
      <c r="D15" s="1">
        <f>+D12+D14</f>
        <v>1010862.3151887924</v>
      </c>
      <c r="E15" s="1">
        <f>+E12+E14</f>
        <v>2272696.1908724252</v>
      </c>
      <c r="G15" s="1">
        <f>+G12+G14</f>
        <v>3299841.3042187006</v>
      </c>
      <c r="H15" s="1">
        <f>+H12+H14</f>
        <v>4099974.8653834742</v>
      </c>
      <c r="I15" s="1">
        <f>+I12+I14</f>
        <v>0</v>
      </c>
      <c r="J15" s="1">
        <f>+J12+J14</f>
        <v>0</v>
      </c>
      <c r="K15" s="1">
        <f>SUM(B15:J15)</f>
        <v>26677257.210000008</v>
      </c>
    </row>
    <row r="17" spans="1:11" x14ac:dyDescent="0.2">
      <c r="A17" t="s">
        <v>6</v>
      </c>
      <c r="B17" s="1">
        <f>B$9/($K$9-$J$9-$I$9-$H$9)*-$H$17</f>
        <v>2904446.8412874257</v>
      </c>
      <c r="C17" s="1">
        <f>C$9/($K$9-$J$9-$I$9-$H$9)*-$H$17</f>
        <v>0</v>
      </c>
      <c r="D17" s="1">
        <f>D$9/($K$9-$J$9-$I$9-$H$9)*-$H$17</f>
        <v>183569.92756595614</v>
      </c>
      <c r="E17" s="1">
        <f>E$9/($K$9-$J$9-$I$9-$H$9)*-$H$17</f>
        <v>412715.62790423934</v>
      </c>
      <c r="G17" s="1">
        <f>G$9/($K$9-$J$9-$I$9-$H$9)*-$H$17</f>
        <v>599242.46862585295</v>
      </c>
      <c r="H17" s="1">
        <f>-H15</f>
        <v>-4099974.8653834742</v>
      </c>
      <c r="K17" s="1">
        <v>0</v>
      </c>
    </row>
    <row r="18" spans="1:11" x14ac:dyDescent="0.2">
      <c r="A18" t="s">
        <v>4</v>
      </c>
      <c r="B18" s="1">
        <f>+B15+B17</f>
        <v>18898329.375624035</v>
      </c>
      <c r="C18" s="1">
        <f>+C15+C17</f>
        <v>0</v>
      </c>
      <c r="D18" s="1">
        <f>+D15+D17</f>
        <v>1194432.2427547486</v>
      </c>
      <c r="E18" s="1">
        <f>+E15+E17</f>
        <v>2685411.8187766643</v>
      </c>
      <c r="G18" s="1">
        <f>+G15+G17</f>
        <v>3899083.7728445535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26677257.210000001</v>
      </c>
    </row>
    <row r="20" spans="1:11" x14ac:dyDescent="0.2">
      <c r="A20" t="s">
        <v>7</v>
      </c>
      <c r="B20" s="1">
        <f>B$9/($K$9-$J$9-$I$9-$H$9-$G$9)*-$G$20</f>
        <v>3234946.3667780901</v>
      </c>
      <c r="C20" s="1">
        <f>C$9/($K$9-$J$9-$I$9-$H$9-$G$9)*-$G$20</f>
        <v>0</v>
      </c>
      <c r="D20" s="1">
        <f>D$9/($K$9-$J$9-$I$9-$H$9-$G$9)*-$G$20</f>
        <v>204458.50885877525</v>
      </c>
      <c r="E20" s="1">
        <f>E$9/($K$9-$J$9-$I$9-$H$9-$G$9)*-$G$20</f>
        <v>459678.89720768813</v>
      </c>
      <c r="G20" s="1">
        <f>-G18</f>
        <v>-3899083.7728445535</v>
      </c>
      <c r="K20" s="1">
        <f>SUM(B20:J20)</f>
        <v>0</v>
      </c>
    </row>
    <row r="22" spans="1:11" x14ac:dyDescent="0.2">
      <c r="A22" t="s">
        <v>8</v>
      </c>
      <c r="B22" s="1">
        <f>+B20+B18</f>
        <v>22133275.742402125</v>
      </c>
      <c r="C22" s="1">
        <f t="shared" ref="C22:K22" si="3">+C20+C18</f>
        <v>0</v>
      </c>
      <c r="D22" s="1">
        <f t="shared" si="3"/>
        <v>1398890.7516135238</v>
      </c>
      <c r="E22" s="1">
        <f t="shared" si="3"/>
        <v>3145090.7159843524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26677257.210000001</v>
      </c>
    </row>
    <row r="27" spans="1:11" x14ac:dyDescent="0.2">
      <c r="A27" t="s">
        <v>9</v>
      </c>
      <c r="B27" s="1">
        <f>+B9</f>
        <v>12225516.640000001</v>
      </c>
    </row>
    <row r="28" spans="1:11" x14ac:dyDescent="0.2">
      <c r="A28" t="s">
        <v>10</v>
      </c>
      <c r="B28" s="1">
        <f>+B22-B27</f>
        <v>9907759.1024021246</v>
      </c>
    </row>
    <row r="29" spans="1:11" x14ac:dyDescent="0.2">
      <c r="A29" s="22" t="s">
        <v>105</v>
      </c>
      <c r="B29" s="1">
        <v>1811</v>
      </c>
    </row>
    <row r="30" spans="1:11" x14ac:dyDescent="0.2">
      <c r="A30" t="s">
        <v>11</v>
      </c>
      <c r="B30" s="1">
        <f>+B28/B29</f>
        <v>5470.8774723368997</v>
      </c>
    </row>
  </sheetData>
  <phoneticPr fontId="0" type="noConversion"/>
  <pageMargins left="0.43" right="0.17" top="0.73" bottom="0.33" header="0.27" footer="0.25"/>
  <pageSetup orientation="landscape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8">
    <pageSetUpPr fitToPage="1"/>
  </sheetPr>
  <dimension ref="A1:K30"/>
  <sheetViews>
    <sheetView zoomScale="75" workbookViewId="0">
      <selection activeCell="A32" sqref="A32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10" width="10.28515625" style="1" customWidth="1"/>
    <col min="11" max="11" width="11.7109375" style="1" customWidth="1"/>
  </cols>
  <sheetData>
    <row r="1" spans="1:11" ht="15.75" x14ac:dyDescent="0.25">
      <c r="A1" s="4" t="str">
        <f>+System!$A$1</f>
        <v>MINNESOTA STATE - F.Y. 2023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57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 t="e">
        <f>'Master Expend Table'!#REF!</f>
        <v>#REF!</v>
      </c>
      <c r="C9" s="1" t="e">
        <f>'Master Expend Table'!#REF!</f>
        <v>#REF!</v>
      </c>
      <c r="D9" s="1" t="e">
        <f>'Master Expend Table'!#REF!</f>
        <v>#REF!</v>
      </c>
      <c r="E9" s="1" t="e">
        <f>'Master Expend Table'!#REF!</f>
        <v>#REF!</v>
      </c>
      <c r="G9" s="1" t="e">
        <f>'Master Expend Table'!#REF!</f>
        <v>#REF!</v>
      </c>
      <c r="H9" s="1" t="e">
        <f>'Master Expend Table'!#REF!</f>
        <v>#REF!</v>
      </c>
      <c r="I9" s="1" t="e">
        <f>'Master Expend Table'!#REF!</f>
        <v>#REF!</v>
      </c>
      <c r="J9" s="1" t="e">
        <f>'Master Expend Table'!#REF!</f>
        <v>#REF!</v>
      </c>
      <c r="K9" s="1" t="e">
        <f>SUM(B9:J9)</f>
        <v>#REF!</v>
      </c>
    </row>
    <row r="11" spans="1:11" x14ac:dyDescent="0.2">
      <c r="A11" t="s">
        <v>3</v>
      </c>
      <c r="B11" s="1" t="e">
        <f>(B9/($K9-$J9))*-$J$11</f>
        <v>#REF!</v>
      </c>
      <c r="C11" s="1" t="e">
        <f t="shared" ref="C11:I11" si="0">(C9/($K9-$J9))*-$J$11</f>
        <v>#REF!</v>
      </c>
      <c r="D11" s="1" t="e">
        <f t="shared" si="0"/>
        <v>#REF!</v>
      </c>
      <c r="E11" s="1" t="e">
        <f t="shared" si="0"/>
        <v>#REF!</v>
      </c>
      <c r="G11" s="1" t="e">
        <f t="shared" si="0"/>
        <v>#REF!</v>
      </c>
      <c r="H11" s="1" t="e">
        <f t="shared" si="0"/>
        <v>#REF!</v>
      </c>
      <c r="I11" s="1" t="e">
        <f t="shared" si="0"/>
        <v>#REF!</v>
      </c>
      <c r="J11" s="1" t="e">
        <f>-J9</f>
        <v>#REF!</v>
      </c>
      <c r="K11" s="1">
        <v>0</v>
      </c>
    </row>
    <row r="12" spans="1:11" x14ac:dyDescent="0.2">
      <c r="A12" t="s">
        <v>4</v>
      </c>
      <c r="B12" s="1" t="e">
        <f>+B9+B11</f>
        <v>#REF!</v>
      </c>
      <c r="C12" s="1" t="e">
        <f t="shared" ref="C12:J12" si="1">+C9+C11</f>
        <v>#REF!</v>
      </c>
      <c r="D12" s="1" t="e">
        <f t="shared" si="1"/>
        <v>#REF!</v>
      </c>
      <c r="E12" s="1" t="e">
        <f t="shared" si="1"/>
        <v>#REF!</v>
      </c>
      <c r="G12" s="1" t="e">
        <f t="shared" si="1"/>
        <v>#REF!</v>
      </c>
      <c r="H12" s="1" t="e">
        <f t="shared" si="1"/>
        <v>#REF!</v>
      </c>
      <c r="I12" s="1" t="e">
        <f t="shared" si="1"/>
        <v>#REF!</v>
      </c>
      <c r="J12" s="1" t="e">
        <f t="shared" si="1"/>
        <v>#REF!</v>
      </c>
      <c r="K12" s="1" t="e">
        <f>SUM(B12:J12)</f>
        <v>#REF!</v>
      </c>
    </row>
    <row r="14" spans="1:11" x14ac:dyDescent="0.2">
      <c r="A14" t="s">
        <v>5</v>
      </c>
      <c r="B14" s="1" t="e">
        <f>B$9/($K$9-$J$9-$I$9)*-I14</f>
        <v>#REF!</v>
      </c>
      <c r="C14" s="1" t="e">
        <f t="shared" ref="C14:H14" si="2">C$9/($K$9-$J$9-$I$9)*-$I$14</f>
        <v>#REF!</v>
      </c>
      <c r="D14" s="1" t="e">
        <f t="shared" si="2"/>
        <v>#REF!</v>
      </c>
      <c r="E14" s="1" t="e">
        <f t="shared" si="2"/>
        <v>#REF!</v>
      </c>
      <c r="G14" s="1" t="e">
        <f t="shared" si="2"/>
        <v>#REF!</v>
      </c>
      <c r="H14" s="1" t="e">
        <f t="shared" si="2"/>
        <v>#REF!</v>
      </c>
      <c r="I14" s="1" t="e">
        <f>-I12</f>
        <v>#REF!</v>
      </c>
      <c r="K14" s="1">
        <v>0</v>
      </c>
    </row>
    <row r="15" spans="1:11" x14ac:dyDescent="0.2">
      <c r="A15" t="s">
        <v>4</v>
      </c>
      <c r="B15" s="1" t="e">
        <f>+B12+B14</f>
        <v>#REF!</v>
      </c>
      <c r="C15" s="1" t="e">
        <f>+C12+C14</f>
        <v>#REF!</v>
      </c>
      <c r="D15" s="1" t="e">
        <f>+D12+D14</f>
        <v>#REF!</v>
      </c>
      <c r="E15" s="1" t="e">
        <f>+E12+E14</f>
        <v>#REF!</v>
      </c>
      <c r="G15" s="1" t="e">
        <f>+G12+G14</f>
        <v>#REF!</v>
      </c>
      <c r="H15" s="1" t="e">
        <f>+H12+H14</f>
        <v>#REF!</v>
      </c>
      <c r="I15" s="1" t="e">
        <f>+I12+I14</f>
        <v>#REF!</v>
      </c>
      <c r="J15" s="1" t="e">
        <f>+J12+J14</f>
        <v>#REF!</v>
      </c>
      <c r="K15" s="1" t="e">
        <f>SUM(B15:J15)</f>
        <v>#REF!</v>
      </c>
    </row>
    <row r="17" spans="1:11" x14ac:dyDescent="0.2">
      <c r="A17" t="s">
        <v>6</v>
      </c>
      <c r="B17" s="1" t="e">
        <f>B$9/($K$9-$J$9-$I$9-$H$9)*-$H$17</f>
        <v>#REF!</v>
      </c>
      <c r="C17" s="1" t="e">
        <f>C$9/($K$9-$J$9-$I$9-$H$9)*-$H$17</f>
        <v>#REF!</v>
      </c>
      <c r="D17" s="1" t="e">
        <f>D$9/($K$9-$J$9-$I$9-$H$9)*-$H$17</f>
        <v>#REF!</v>
      </c>
      <c r="E17" s="1" t="e">
        <f>E$9/($K$9-$J$9-$I$9-$H$9)*-$H$17</f>
        <v>#REF!</v>
      </c>
      <c r="G17" s="1" t="e">
        <f>G$9/($K$9-$J$9-$I$9-$H$9)*-$H$17</f>
        <v>#REF!</v>
      </c>
      <c r="H17" s="1" t="e">
        <f>-H15</f>
        <v>#REF!</v>
      </c>
      <c r="K17" s="1">
        <v>0</v>
      </c>
    </row>
    <row r="18" spans="1:11" x14ac:dyDescent="0.2">
      <c r="A18" t="s">
        <v>4</v>
      </c>
      <c r="B18" s="1" t="e">
        <f>+B15+B17</f>
        <v>#REF!</v>
      </c>
      <c r="C18" s="1" t="e">
        <f>+C15+C17</f>
        <v>#REF!</v>
      </c>
      <c r="D18" s="1" t="e">
        <f>+D15+D17</f>
        <v>#REF!</v>
      </c>
      <c r="E18" s="1" t="e">
        <f>+E15+E17</f>
        <v>#REF!</v>
      </c>
      <c r="G18" s="1" t="e">
        <f>+G15+G17</f>
        <v>#REF!</v>
      </c>
      <c r="H18" s="1" t="e">
        <f>+H15+H17</f>
        <v>#REF!</v>
      </c>
      <c r="I18" s="1" t="e">
        <f>+I15+I17</f>
        <v>#REF!</v>
      </c>
      <c r="J18" s="1" t="e">
        <f>+J15+J17</f>
        <v>#REF!</v>
      </c>
      <c r="K18" s="1" t="e">
        <f>SUM(B18:J18)</f>
        <v>#REF!</v>
      </c>
    </row>
    <row r="20" spans="1:11" x14ac:dyDescent="0.2">
      <c r="A20" t="s">
        <v>7</v>
      </c>
      <c r="B20" s="1" t="e">
        <f>B$9/($K$9-$J$9-$I$9-$H$9-$G$9)*-$G$20</f>
        <v>#REF!</v>
      </c>
      <c r="C20" s="1" t="e">
        <f>C$9/($K$9-$J$9-$I$9-$H$9-$G$9)*-$G$20</f>
        <v>#REF!</v>
      </c>
      <c r="D20" s="1" t="e">
        <f>D$9/($K$9-$J$9-$I$9-$H$9-$G$9)*-$G$20</f>
        <v>#REF!</v>
      </c>
      <c r="E20" s="1" t="e">
        <f>E$9/($K$9-$J$9-$I$9-$H$9-$G$9)*-$G$20</f>
        <v>#REF!</v>
      </c>
      <c r="G20" s="1" t="e">
        <f>-G18</f>
        <v>#REF!</v>
      </c>
      <c r="K20" s="1" t="e">
        <f>SUM(B20:J20)</f>
        <v>#REF!</v>
      </c>
    </row>
    <row r="22" spans="1:11" x14ac:dyDescent="0.2">
      <c r="A22" t="s">
        <v>8</v>
      </c>
      <c r="B22" s="1" t="e">
        <f>+B20+B18</f>
        <v>#REF!</v>
      </c>
      <c r="C22" s="1" t="e">
        <f t="shared" ref="C22:K22" si="3">+C20+C18</f>
        <v>#REF!</v>
      </c>
      <c r="D22" s="1" t="e">
        <f t="shared" si="3"/>
        <v>#REF!</v>
      </c>
      <c r="E22" s="1" t="e">
        <f t="shared" si="3"/>
        <v>#REF!</v>
      </c>
      <c r="G22" s="1" t="e">
        <f t="shared" si="3"/>
        <v>#REF!</v>
      </c>
      <c r="H22" s="1" t="e">
        <f t="shared" si="3"/>
        <v>#REF!</v>
      </c>
      <c r="I22" s="1" t="e">
        <f t="shared" si="3"/>
        <v>#REF!</v>
      </c>
      <c r="J22" s="1" t="e">
        <f t="shared" si="3"/>
        <v>#REF!</v>
      </c>
      <c r="K22" s="1" t="e">
        <f t="shared" si="3"/>
        <v>#REF!</v>
      </c>
    </row>
    <row r="27" spans="1:11" x14ac:dyDescent="0.2">
      <c r="A27" t="s">
        <v>9</v>
      </c>
      <c r="B27" s="1" t="e">
        <f>+B9</f>
        <v>#REF!</v>
      </c>
    </row>
    <row r="28" spans="1:11" x14ac:dyDescent="0.2">
      <c r="A28" t="s">
        <v>10</v>
      </c>
      <c r="B28" s="1" t="e">
        <f>+B22-B27</f>
        <v>#REF!</v>
      </c>
    </row>
    <row r="29" spans="1:11" x14ac:dyDescent="0.2">
      <c r="A29" s="22" t="s">
        <v>103</v>
      </c>
      <c r="B29" s="1">
        <v>647</v>
      </c>
    </row>
    <row r="30" spans="1:11" x14ac:dyDescent="0.2">
      <c r="A30" t="s">
        <v>11</v>
      </c>
      <c r="B30" s="1" t="e">
        <f>+B28/B29</f>
        <v>#REF!</v>
      </c>
    </row>
  </sheetData>
  <phoneticPr fontId="0" type="noConversion"/>
  <pageMargins left="0.59" right="0.45" top="1" bottom="1" header="0.5" footer="0.5"/>
  <pageSetup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9">
    <pageSetUpPr fitToPage="1"/>
  </sheetPr>
  <dimension ref="A1:K30"/>
  <sheetViews>
    <sheetView zoomScale="75" workbookViewId="0">
      <selection activeCell="A32" sqref="A32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6.85546875" style="1" customWidth="1"/>
  </cols>
  <sheetData>
    <row r="1" spans="1:11" ht="15.75" x14ac:dyDescent="0.25">
      <c r="A1" s="4" t="str">
        <f>+System!$A$1</f>
        <v>MINNESOTA STATE - F.Y. 2023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30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 t="e">
        <f>'Master Expend Table'!#REF!</f>
        <v>#REF!</v>
      </c>
      <c r="C9" s="1" t="e">
        <f>'Master Expend Table'!#REF!</f>
        <v>#REF!</v>
      </c>
      <c r="D9" s="1" t="e">
        <f>'Master Expend Table'!#REF!</f>
        <v>#REF!</v>
      </c>
      <c r="E9" s="1" t="e">
        <f>'Master Expend Table'!#REF!</f>
        <v>#REF!</v>
      </c>
      <c r="G9" s="1" t="e">
        <f>'Master Expend Table'!#REF!</f>
        <v>#REF!</v>
      </c>
      <c r="H9" s="1" t="e">
        <f>'Master Expend Table'!#REF!</f>
        <v>#REF!</v>
      </c>
      <c r="I9" s="1" t="e">
        <f>'Master Expend Table'!#REF!</f>
        <v>#REF!</v>
      </c>
      <c r="J9" s="1" t="e">
        <f>'Master Expend Table'!#REF!</f>
        <v>#REF!</v>
      </c>
      <c r="K9" s="1" t="e">
        <f>SUM(B9:J9)</f>
        <v>#REF!</v>
      </c>
    </row>
    <row r="11" spans="1:11" x14ac:dyDescent="0.2">
      <c r="A11" t="s">
        <v>3</v>
      </c>
      <c r="B11" s="1" t="e">
        <f>(B9/($K9-$J9))*-$J$11</f>
        <v>#REF!</v>
      </c>
      <c r="C11" s="1" t="e">
        <f t="shared" ref="C11:I11" si="0">(C9/($K9-$J9))*-$J$11</f>
        <v>#REF!</v>
      </c>
      <c r="D11" s="1" t="e">
        <f t="shared" si="0"/>
        <v>#REF!</v>
      </c>
      <c r="E11" s="1" t="e">
        <f t="shared" si="0"/>
        <v>#REF!</v>
      </c>
      <c r="G11" s="1" t="e">
        <f t="shared" si="0"/>
        <v>#REF!</v>
      </c>
      <c r="H11" s="1" t="e">
        <f t="shared" si="0"/>
        <v>#REF!</v>
      </c>
      <c r="I11" s="1" t="e">
        <f t="shared" si="0"/>
        <v>#REF!</v>
      </c>
      <c r="J11" s="1" t="e">
        <f>-J9</f>
        <v>#REF!</v>
      </c>
      <c r="K11" s="1">
        <v>0</v>
      </c>
    </row>
    <row r="12" spans="1:11" x14ac:dyDescent="0.2">
      <c r="A12" t="s">
        <v>4</v>
      </c>
      <c r="B12" s="1" t="e">
        <f>+B9+B11</f>
        <v>#REF!</v>
      </c>
      <c r="C12" s="1" t="e">
        <f t="shared" ref="C12:J12" si="1">+C9+C11</f>
        <v>#REF!</v>
      </c>
      <c r="D12" s="1" t="e">
        <f t="shared" si="1"/>
        <v>#REF!</v>
      </c>
      <c r="E12" s="1" t="e">
        <f t="shared" si="1"/>
        <v>#REF!</v>
      </c>
      <c r="G12" s="1" t="e">
        <f t="shared" si="1"/>
        <v>#REF!</v>
      </c>
      <c r="H12" s="1" t="e">
        <f t="shared" si="1"/>
        <v>#REF!</v>
      </c>
      <c r="I12" s="1" t="e">
        <f t="shared" si="1"/>
        <v>#REF!</v>
      </c>
      <c r="J12" s="1" t="e">
        <f t="shared" si="1"/>
        <v>#REF!</v>
      </c>
      <c r="K12" s="1" t="e">
        <f>SUM(B12:J12)</f>
        <v>#REF!</v>
      </c>
    </row>
    <row r="14" spans="1:11" x14ac:dyDescent="0.2">
      <c r="A14" t="s">
        <v>5</v>
      </c>
      <c r="B14" s="1" t="e">
        <f>B$9/($K$9-$J$9-$I$9)*-I14</f>
        <v>#REF!</v>
      </c>
      <c r="C14" s="1" t="e">
        <f t="shared" ref="C14:H14" si="2">C$9/($K$9-$J$9-$I$9)*-$I$14</f>
        <v>#REF!</v>
      </c>
      <c r="D14" s="1" t="e">
        <f t="shared" si="2"/>
        <v>#REF!</v>
      </c>
      <c r="E14" s="1" t="e">
        <f t="shared" si="2"/>
        <v>#REF!</v>
      </c>
      <c r="G14" s="1" t="e">
        <f t="shared" si="2"/>
        <v>#REF!</v>
      </c>
      <c r="H14" s="1" t="e">
        <f t="shared" si="2"/>
        <v>#REF!</v>
      </c>
      <c r="I14" s="1" t="e">
        <f>-I12</f>
        <v>#REF!</v>
      </c>
      <c r="K14" s="1">
        <v>0</v>
      </c>
    </row>
    <row r="15" spans="1:11" x14ac:dyDescent="0.2">
      <c r="A15" t="s">
        <v>4</v>
      </c>
      <c r="B15" s="1" t="e">
        <f>+B12+B14</f>
        <v>#REF!</v>
      </c>
      <c r="C15" s="1" t="e">
        <f>+C12+C14</f>
        <v>#REF!</v>
      </c>
      <c r="D15" s="1" t="e">
        <f>+D12+D14</f>
        <v>#REF!</v>
      </c>
      <c r="E15" s="1" t="e">
        <f>+E12+E14</f>
        <v>#REF!</v>
      </c>
      <c r="G15" s="1" t="e">
        <f>+G12+G14</f>
        <v>#REF!</v>
      </c>
      <c r="H15" s="1" t="e">
        <f>+H12+H14</f>
        <v>#REF!</v>
      </c>
      <c r="I15" s="1" t="e">
        <f>+I12+I14</f>
        <v>#REF!</v>
      </c>
      <c r="J15" s="1" t="e">
        <f>+J12+J14</f>
        <v>#REF!</v>
      </c>
      <c r="K15" s="1" t="e">
        <f>SUM(B15:J15)</f>
        <v>#REF!</v>
      </c>
    </row>
    <row r="17" spans="1:11" x14ac:dyDescent="0.2">
      <c r="A17" t="s">
        <v>6</v>
      </c>
      <c r="B17" s="1" t="e">
        <f>B$9/($K$9-$J$9-$I$9-$H$9)*-$H$17</f>
        <v>#REF!</v>
      </c>
      <c r="C17" s="1" t="e">
        <f>C$9/($K$9-$J$9-$I$9-$H$9)*-$H$17</f>
        <v>#REF!</v>
      </c>
      <c r="D17" s="1" t="e">
        <f>D$9/($K$9-$J$9-$I$9-$H$9)*-$H$17</f>
        <v>#REF!</v>
      </c>
      <c r="E17" s="1" t="e">
        <f>E$9/($K$9-$J$9-$I$9-$H$9)*-$H$17</f>
        <v>#REF!</v>
      </c>
      <c r="G17" s="1" t="e">
        <f>G$9/($K$9-$J$9-$I$9-$H$9)*-$H$17</f>
        <v>#REF!</v>
      </c>
      <c r="H17" s="1" t="e">
        <f>-H15</f>
        <v>#REF!</v>
      </c>
      <c r="K17" s="1">
        <v>0</v>
      </c>
    </row>
    <row r="18" spans="1:11" x14ac:dyDescent="0.2">
      <c r="A18" t="s">
        <v>4</v>
      </c>
      <c r="B18" s="1" t="e">
        <f>+B15+B17</f>
        <v>#REF!</v>
      </c>
      <c r="C18" s="1" t="e">
        <f>+C15+C17</f>
        <v>#REF!</v>
      </c>
      <c r="D18" s="1" t="e">
        <f>+D15+D17</f>
        <v>#REF!</v>
      </c>
      <c r="E18" s="1" t="e">
        <f>+E15+E17</f>
        <v>#REF!</v>
      </c>
      <c r="G18" s="1" t="e">
        <f>+G15+G17</f>
        <v>#REF!</v>
      </c>
      <c r="H18" s="1" t="e">
        <f>+H15+H17</f>
        <v>#REF!</v>
      </c>
      <c r="I18" s="1" t="e">
        <f>+I15+I17</f>
        <v>#REF!</v>
      </c>
      <c r="J18" s="1" t="e">
        <f>+J15+J17</f>
        <v>#REF!</v>
      </c>
      <c r="K18" s="1" t="e">
        <f>SUM(B18:J18)</f>
        <v>#REF!</v>
      </c>
    </row>
    <row r="20" spans="1:11" x14ac:dyDescent="0.2">
      <c r="A20" t="s">
        <v>7</v>
      </c>
      <c r="B20" s="1" t="e">
        <f>B$9/($K$9-$J$9-$I$9-$H$9-$G$9)*-$G$20</f>
        <v>#REF!</v>
      </c>
      <c r="C20" s="1" t="e">
        <f>C$9/($K$9-$J$9-$I$9-$H$9-$G$9)*-$G$20</f>
        <v>#REF!</v>
      </c>
      <c r="D20" s="1" t="e">
        <f>D$9/($K$9-$J$9-$I$9-$H$9-$G$9)*-$G$20</f>
        <v>#REF!</v>
      </c>
      <c r="E20" s="1" t="e">
        <f>E$9/($K$9-$J$9-$I$9-$H$9-$G$9)*-$G$20</f>
        <v>#REF!</v>
      </c>
      <c r="G20" s="1" t="e">
        <f>-G18</f>
        <v>#REF!</v>
      </c>
      <c r="K20" s="1" t="e">
        <f>SUM(B20:J20)</f>
        <v>#REF!</v>
      </c>
    </row>
    <row r="22" spans="1:11" x14ac:dyDescent="0.2">
      <c r="A22" t="s">
        <v>8</v>
      </c>
      <c r="B22" s="1" t="e">
        <f>+B20+B18</f>
        <v>#REF!</v>
      </c>
      <c r="C22" s="1" t="e">
        <f t="shared" ref="C22:K22" si="3">+C20+C18</f>
        <v>#REF!</v>
      </c>
      <c r="D22" s="1" t="e">
        <f t="shared" si="3"/>
        <v>#REF!</v>
      </c>
      <c r="E22" s="1" t="e">
        <f t="shared" si="3"/>
        <v>#REF!</v>
      </c>
      <c r="G22" s="1" t="e">
        <f t="shared" si="3"/>
        <v>#REF!</v>
      </c>
      <c r="H22" s="1" t="e">
        <f t="shared" si="3"/>
        <v>#REF!</v>
      </c>
      <c r="I22" s="1" t="e">
        <f t="shared" si="3"/>
        <v>#REF!</v>
      </c>
      <c r="J22" s="1" t="e">
        <f t="shared" si="3"/>
        <v>#REF!</v>
      </c>
      <c r="K22" s="1" t="e">
        <f t="shared" si="3"/>
        <v>#REF!</v>
      </c>
    </row>
    <row r="27" spans="1:11" x14ac:dyDescent="0.2">
      <c r="A27" t="s">
        <v>9</v>
      </c>
      <c r="B27" s="1" t="e">
        <f>+B9</f>
        <v>#REF!</v>
      </c>
    </row>
    <row r="28" spans="1:11" x14ac:dyDescent="0.2">
      <c r="A28" t="s">
        <v>10</v>
      </c>
      <c r="B28" s="1" t="e">
        <f>+B22-B27</f>
        <v>#REF!</v>
      </c>
    </row>
    <row r="29" spans="1:11" x14ac:dyDescent="0.2">
      <c r="A29" s="22" t="s">
        <v>103</v>
      </c>
      <c r="B29" s="1">
        <v>153</v>
      </c>
    </row>
    <row r="30" spans="1:11" x14ac:dyDescent="0.2">
      <c r="A30" t="s">
        <v>11</v>
      </c>
      <c r="B30" s="1" t="e">
        <f>+B28/B29</f>
        <v>#REF!</v>
      </c>
    </row>
  </sheetData>
  <phoneticPr fontId="0" type="noConversion"/>
  <pageMargins left="0.4" right="0.55000000000000004" top="1" bottom="0.6" header="0.5" footer="0.5"/>
  <pageSetup scale="10" orientation="landscape" horizontalDpi="4294967294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0"/>
  <dimension ref="A1:K30"/>
  <sheetViews>
    <sheetView zoomScale="75" workbookViewId="0">
      <selection activeCell="A32" sqref="A32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10" width="10.28515625" style="1" customWidth="1"/>
    <col min="11" max="11" width="11.7109375" style="1" customWidth="1"/>
  </cols>
  <sheetData>
    <row r="1" spans="1:11" ht="15.75" x14ac:dyDescent="0.25">
      <c r="A1" s="4" t="str">
        <f>+System!$A$1</f>
        <v>MINNESOTA STATE - F.Y. 2023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58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 t="e">
        <f>'Master Expend Table'!#REF!</f>
        <v>#REF!</v>
      </c>
      <c r="C9" s="1" t="e">
        <f>'Master Expend Table'!#REF!</f>
        <v>#REF!</v>
      </c>
      <c r="D9" s="1" t="e">
        <f>'Master Expend Table'!#REF!</f>
        <v>#REF!</v>
      </c>
      <c r="E9" s="1" t="e">
        <f>'Master Expend Table'!#REF!</f>
        <v>#REF!</v>
      </c>
      <c r="G9" s="1" t="e">
        <f>'Master Expend Table'!#REF!</f>
        <v>#REF!</v>
      </c>
      <c r="H9" s="1" t="e">
        <f>'Master Expend Table'!#REF!</f>
        <v>#REF!</v>
      </c>
      <c r="I9" s="1" t="e">
        <f>'Master Expend Table'!#REF!</f>
        <v>#REF!</v>
      </c>
      <c r="J9" s="1" t="e">
        <f>'Master Expend Table'!#REF!</f>
        <v>#REF!</v>
      </c>
      <c r="K9" s="1" t="e">
        <f>SUM(B9:J9)</f>
        <v>#REF!</v>
      </c>
    </row>
    <row r="11" spans="1:11" x14ac:dyDescent="0.2">
      <c r="A11" t="s">
        <v>3</v>
      </c>
      <c r="B11" s="1" t="e">
        <f>(B9/($K9-$J9))*-$J$11</f>
        <v>#REF!</v>
      </c>
      <c r="C11" s="1" t="e">
        <f t="shared" ref="C11:I11" si="0">(C9/($K9-$J9))*-$J$11</f>
        <v>#REF!</v>
      </c>
      <c r="D11" s="1" t="e">
        <f t="shared" si="0"/>
        <v>#REF!</v>
      </c>
      <c r="E11" s="1" t="e">
        <f t="shared" si="0"/>
        <v>#REF!</v>
      </c>
      <c r="G11" s="1" t="e">
        <f t="shared" si="0"/>
        <v>#REF!</v>
      </c>
      <c r="H11" s="1" t="e">
        <f t="shared" si="0"/>
        <v>#REF!</v>
      </c>
      <c r="I11" s="1" t="e">
        <f t="shared" si="0"/>
        <v>#REF!</v>
      </c>
      <c r="J11" s="1" t="e">
        <f>-J9</f>
        <v>#REF!</v>
      </c>
      <c r="K11" s="1">
        <v>0</v>
      </c>
    </row>
    <row r="12" spans="1:11" x14ac:dyDescent="0.2">
      <c r="A12" t="s">
        <v>4</v>
      </c>
      <c r="B12" s="1" t="e">
        <f>+B9+B11</f>
        <v>#REF!</v>
      </c>
      <c r="C12" s="1" t="e">
        <f t="shared" ref="C12:J12" si="1">+C9+C11</f>
        <v>#REF!</v>
      </c>
      <c r="D12" s="1" t="e">
        <f t="shared" si="1"/>
        <v>#REF!</v>
      </c>
      <c r="E12" s="1" t="e">
        <f t="shared" si="1"/>
        <v>#REF!</v>
      </c>
      <c r="G12" s="1" t="e">
        <f t="shared" si="1"/>
        <v>#REF!</v>
      </c>
      <c r="H12" s="1" t="e">
        <f t="shared" si="1"/>
        <v>#REF!</v>
      </c>
      <c r="I12" s="1" t="e">
        <f t="shared" si="1"/>
        <v>#REF!</v>
      </c>
      <c r="J12" s="1" t="e">
        <f t="shared" si="1"/>
        <v>#REF!</v>
      </c>
      <c r="K12" s="1" t="e">
        <f>SUM(B12:J12)</f>
        <v>#REF!</v>
      </c>
    </row>
    <row r="14" spans="1:11" x14ac:dyDescent="0.2">
      <c r="A14" t="s">
        <v>5</v>
      </c>
      <c r="B14" s="1" t="e">
        <f>B$9/($K$9-$J$9-$I$9)*-I14</f>
        <v>#REF!</v>
      </c>
      <c r="C14" s="1" t="e">
        <f t="shared" ref="C14:H14" si="2">C$9/($K$9-$J$9-$I$9)*-$I$14</f>
        <v>#REF!</v>
      </c>
      <c r="D14" s="1" t="e">
        <f t="shared" si="2"/>
        <v>#REF!</v>
      </c>
      <c r="E14" s="1" t="e">
        <f t="shared" si="2"/>
        <v>#REF!</v>
      </c>
      <c r="G14" s="1" t="e">
        <f t="shared" si="2"/>
        <v>#REF!</v>
      </c>
      <c r="H14" s="1" t="e">
        <f t="shared" si="2"/>
        <v>#REF!</v>
      </c>
      <c r="I14" s="1" t="e">
        <f>-I12</f>
        <v>#REF!</v>
      </c>
      <c r="K14" s="1">
        <v>0</v>
      </c>
    </row>
    <row r="15" spans="1:11" x14ac:dyDescent="0.2">
      <c r="A15" t="s">
        <v>4</v>
      </c>
      <c r="B15" s="1" t="e">
        <f>+B12+B14</f>
        <v>#REF!</v>
      </c>
      <c r="C15" s="1" t="e">
        <f>+C12+C14</f>
        <v>#REF!</v>
      </c>
      <c r="D15" s="1" t="e">
        <f>+D12+D14</f>
        <v>#REF!</v>
      </c>
      <c r="E15" s="1" t="e">
        <f>+E12+E14</f>
        <v>#REF!</v>
      </c>
      <c r="G15" s="1" t="e">
        <f>+G12+G14</f>
        <v>#REF!</v>
      </c>
      <c r="H15" s="1" t="e">
        <f>+H12+H14</f>
        <v>#REF!</v>
      </c>
      <c r="I15" s="1" t="e">
        <f>+I12+I14</f>
        <v>#REF!</v>
      </c>
      <c r="J15" s="1" t="e">
        <f>+J12+J14</f>
        <v>#REF!</v>
      </c>
      <c r="K15" s="1" t="e">
        <f>SUM(B15:J15)</f>
        <v>#REF!</v>
      </c>
    </row>
    <row r="17" spans="1:11" x14ac:dyDescent="0.2">
      <c r="A17" t="s">
        <v>6</v>
      </c>
      <c r="B17" s="1" t="e">
        <f>B$9/($K$9-$J$9-$I$9-$H$9)*-$H$17</f>
        <v>#REF!</v>
      </c>
      <c r="C17" s="1" t="e">
        <f>C$9/($K$9-$J$9-$I$9-$H$9)*-$H$17</f>
        <v>#REF!</v>
      </c>
      <c r="D17" s="1" t="e">
        <f>D$9/($K$9-$J$9-$I$9-$H$9)*-$H$17</f>
        <v>#REF!</v>
      </c>
      <c r="E17" s="1" t="e">
        <f>E$9/($K$9-$J$9-$I$9-$H$9)*-$H$17</f>
        <v>#REF!</v>
      </c>
      <c r="G17" s="1" t="e">
        <f>G$9/($K$9-$J$9-$I$9-$H$9)*-$H$17</f>
        <v>#REF!</v>
      </c>
      <c r="H17" s="1" t="e">
        <f>-H15</f>
        <v>#REF!</v>
      </c>
      <c r="K17" s="1">
        <v>0</v>
      </c>
    </row>
    <row r="18" spans="1:11" x14ac:dyDescent="0.2">
      <c r="A18" t="s">
        <v>4</v>
      </c>
      <c r="B18" s="1" t="e">
        <f>+B15+B17</f>
        <v>#REF!</v>
      </c>
      <c r="C18" s="1" t="e">
        <f>+C15+C17</f>
        <v>#REF!</v>
      </c>
      <c r="D18" s="1" t="e">
        <f>+D15+D17</f>
        <v>#REF!</v>
      </c>
      <c r="E18" s="1" t="e">
        <f>+E15+E17</f>
        <v>#REF!</v>
      </c>
      <c r="G18" s="1" t="e">
        <f>+G15+G17</f>
        <v>#REF!</v>
      </c>
      <c r="H18" s="1" t="e">
        <f>+H15+H17</f>
        <v>#REF!</v>
      </c>
      <c r="I18" s="1" t="e">
        <f>+I15+I17</f>
        <v>#REF!</v>
      </c>
      <c r="J18" s="1" t="e">
        <f>+J15+J17</f>
        <v>#REF!</v>
      </c>
      <c r="K18" s="1" t="e">
        <f>SUM(B18:J18)</f>
        <v>#REF!</v>
      </c>
    </row>
    <row r="20" spans="1:11" x14ac:dyDescent="0.2">
      <c r="A20" t="s">
        <v>7</v>
      </c>
      <c r="B20" s="1" t="e">
        <f>B$9/($K$9-$J$9-$I$9-$H$9-$G$9)*-$G$20</f>
        <v>#REF!</v>
      </c>
      <c r="C20" s="1" t="e">
        <f>C$9/($K$9-$J$9-$I$9-$H$9-$G$9)*-$G$20</f>
        <v>#REF!</v>
      </c>
      <c r="D20" s="1" t="e">
        <f>D$9/($K$9-$J$9-$I$9-$H$9-$G$9)*-$G$20</f>
        <v>#REF!</v>
      </c>
      <c r="E20" s="1" t="e">
        <f>E$9/($K$9-$J$9-$I$9-$H$9-$G$9)*-$G$20</f>
        <v>#REF!</v>
      </c>
      <c r="G20" s="1" t="e">
        <f>-G18</f>
        <v>#REF!</v>
      </c>
      <c r="K20" s="1" t="e">
        <f>SUM(B20:J20)</f>
        <v>#REF!</v>
      </c>
    </row>
    <row r="22" spans="1:11" x14ac:dyDescent="0.2">
      <c r="A22" t="s">
        <v>8</v>
      </c>
      <c r="B22" s="1" t="e">
        <f>+B20+B18</f>
        <v>#REF!</v>
      </c>
      <c r="C22" s="1" t="e">
        <f t="shared" ref="C22:K22" si="3">+C20+C18</f>
        <v>#REF!</v>
      </c>
      <c r="D22" s="1" t="e">
        <f t="shared" si="3"/>
        <v>#REF!</v>
      </c>
      <c r="E22" s="1" t="e">
        <f t="shared" si="3"/>
        <v>#REF!</v>
      </c>
      <c r="G22" s="1" t="e">
        <f t="shared" si="3"/>
        <v>#REF!</v>
      </c>
      <c r="H22" s="1" t="e">
        <f t="shared" si="3"/>
        <v>#REF!</v>
      </c>
      <c r="I22" s="1" t="e">
        <f t="shared" si="3"/>
        <v>#REF!</v>
      </c>
      <c r="J22" s="1" t="e">
        <f t="shared" si="3"/>
        <v>#REF!</v>
      </c>
      <c r="K22" s="1" t="e">
        <f t="shared" si="3"/>
        <v>#REF!</v>
      </c>
    </row>
    <row r="27" spans="1:11" x14ac:dyDescent="0.2">
      <c r="A27" t="s">
        <v>9</v>
      </c>
      <c r="B27" s="1" t="e">
        <f>+B9</f>
        <v>#REF!</v>
      </c>
    </row>
    <row r="28" spans="1:11" x14ac:dyDescent="0.2">
      <c r="A28" t="s">
        <v>10</v>
      </c>
      <c r="B28" s="1" t="e">
        <f>+B22-B27</f>
        <v>#REF!</v>
      </c>
    </row>
    <row r="29" spans="1:11" x14ac:dyDescent="0.2">
      <c r="A29" s="22" t="s">
        <v>103</v>
      </c>
      <c r="B29" s="1">
        <v>470</v>
      </c>
    </row>
    <row r="30" spans="1:11" x14ac:dyDescent="0.2">
      <c r="A30" t="s">
        <v>11</v>
      </c>
      <c r="B30" s="1" t="e">
        <f>+B28/B29</f>
        <v>#REF!</v>
      </c>
    </row>
  </sheetData>
  <phoneticPr fontId="0" type="noConversion"/>
  <pageMargins left="0.52" right="0.45" top="1" bottom="1" header="0.5" footer="0.5"/>
  <pageSetup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1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6.85546875" style="1" customWidth="1"/>
  </cols>
  <sheetData>
    <row r="1" spans="1:11" ht="15.75" x14ac:dyDescent="0.25">
      <c r="A1" s="4" t="str">
        <f>+System!$A$1</f>
        <v>MINNESOTA STATE - F.Y. 2023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93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Table'!B31</f>
        <v>12187670.970000001</v>
      </c>
      <c r="C9" s="1">
        <f>'Master Expend Table'!C31</f>
        <v>8657.59</v>
      </c>
      <c r="D9" s="1">
        <f>'Master Expend Table'!D31</f>
        <v>215415.11</v>
      </c>
      <c r="E9" s="1">
        <f>'Master Expend Table'!E31</f>
        <v>208888.56</v>
      </c>
      <c r="G9" s="1">
        <f>'Master Expend Table'!G31</f>
        <v>3761022.92</v>
      </c>
      <c r="H9" s="1">
        <f>'Master Expend Table'!H31</f>
        <v>3085942.26</v>
      </c>
      <c r="I9" s="1">
        <f>'Master Expend Table'!I31</f>
        <v>3300996</v>
      </c>
      <c r="J9" s="1">
        <f>'Master Expend Table'!J31</f>
        <v>2694136.25</v>
      </c>
      <c r="K9" s="1">
        <f>SUM(B9:J9)</f>
        <v>25462729.66</v>
      </c>
    </row>
    <row r="11" spans="1:11" x14ac:dyDescent="0.2">
      <c r="A11" t="s">
        <v>3</v>
      </c>
      <c r="B11" s="1">
        <f>(B9/($K9-$J9))*-$J$11</f>
        <v>1442128.8821877057</v>
      </c>
      <c r="C11" s="1">
        <f t="shared" ref="C11:I11" si="0">(C9/($K9-$J9))*-$J$11</f>
        <v>1024.42547225571</v>
      </c>
      <c r="D11" s="1">
        <f t="shared" si="0"/>
        <v>25489.394368729143</v>
      </c>
      <c r="E11" s="1">
        <f t="shared" si="0"/>
        <v>24717.128176180118</v>
      </c>
      <c r="G11" s="1">
        <f t="shared" si="0"/>
        <v>445030.04658173351</v>
      </c>
      <c r="H11" s="1">
        <f t="shared" si="0"/>
        <v>365149.86931170837</v>
      </c>
      <c r="I11" s="1">
        <f t="shared" si="0"/>
        <v>390596.50390168745</v>
      </c>
      <c r="J11" s="1">
        <f>-J9</f>
        <v>-2694136.25</v>
      </c>
      <c r="K11" s="1">
        <v>0</v>
      </c>
    </row>
    <row r="12" spans="1:11" x14ac:dyDescent="0.2">
      <c r="A12" t="s">
        <v>4</v>
      </c>
      <c r="B12" s="1">
        <f>+B9+B11</f>
        <v>13629799.852187706</v>
      </c>
      <c r="C12" s="1">
        <f t="shared" ref="C12:J12" si="1">+C9+C11</f>
        <v>9682.0154722557108</v>
      </c>
      <c r="D12" s="1">
        <f t="shared" si="1"/>
        <v>240904.50436872913</v>
      </c>
      <c r="E12" s="1">
        <f t="shared" si="1"/>
        <v>233605.68817618012</v>
      </c>
      <c r="G12" s="1">
        <f t="shared" si="1"/>
        <v>4206052.9665817339</v>
      </c>
      <c r="H12" s="1">
        <f t="shared" si="1"/>
        <v>3451092.1293117083</v>
      </c>
      <c r="I12" s="1">
        <f t="shared" si="1"/>
        <v>3691592.5039016875</v>
      </c>
      <c r="J12" s="1">
        <f t="shared" si="1"/>
        <v>0</v>
      </c>
      <c r="K12" s="1">
        <f>SUM(B12:J12)</f>
        <v>25462729.659999996</v>
      </c>
    </row>
    <row r="14" spans="1:11" x14ac:dyDescent="0.2">
      <c r="A14" t="s">
        <v>5</v>
      </c>
      <c r="B14" s="1">
        <f>B$9/($K$9-$J$9-$I$9)*-I14</f>
        <v>2311118.0000959458</v>
      </c>
      <c r="C14" s="1">
        <f t="shared" ref="C14:H14" si="2">C$9/($K$9-$J$9-$I$9)*-$I$14</f>
        <v>1641.7174483707495</v>
      </c>
      <c r="D14" s="1">
        <f t="shared" si="2"/>
        <v>40848.636252086821</v>
      </c>
      <c r="E14" s="1">
        <f t="shared" si="2"/>
        <v>39611.02266531912</v>
      </c>
      <c r="G14" s="1">
        <f t="shared" si="2"/>
        <v>713193.50436857191</v>
      </c>
      <c r="H14" s="1">
        <f t="shared" si="2"/>
        <v>585179.62307139323</v>
      </c>
      <c r="I14" s="1">
        <f>-I12</f>
        <v>-3691592.5039016875</v>
      </c>
      <c r="K14" s="1">
        <v>0</v>
      </c>
    </row>
    <row r="15" spans="1:11" x14ac:dyDescent="0.2">
      <c r="A15" t="s">
        <v>4</v>
      </c>
      <c r="B15" s="1">
        <f>+B12+B14</f>
        <v>15940917.852283653</v>
      </c>
      <c r="C15" s="1">
        <f>+C12+C14</f>
        <v>11323.73292062646</v>
      </c>
      <c r="D15" s="1">
        <f>+D12+D14</f>
        <v>281753.14062081598</v>
      </c>
      <c r="E15" s="1">
        <f>+E12+E14</f>
        <v>273216.71084149927</v>
      </c>
      <c r="G15" s="1">
        <f>+G12+G14</f>
        <v>4919246.4709503055</v>
      </c>
      <c r="H15" s="1">
        <f>+H12+H14</f>
        <v>4036271.7523831017</v>
      </c>
      <c r="I15" s="1">
        <f>+I12+I14</f>
        <v>0</v>
      </c>
      <c r="J15" s="1">
        <f>+J12+J14</f>
        <v>0</v>
      </c>
      <c r="K15" s="1">
        <f>SUM(B15:J15)</f>
        <v>25462729.66</v>
      </c>
    </row>
    <row r="17" spans="1:11" x14ac:dyDescent="0.2">
      <c r="A17" t="s">
        <v>6</v>
      </c>
      <c r="B17" s="1">
        <f>B$9/($K$9-$J$9-$I$9-$H$9)*-$H$17</f>
        <v>3002917.0809123376</v>
      </c>
      <c r="C17" s="1">
        <f>C$9/($K$9-$J$9-$I$9-$H$9)*-$H$17</f>
        <v>2133.1413487064165</v>
      </c>
      <c r="D17" s="1">
        <f>D$9/($K$9-$J$9-$I$9-$H$9)*-$H$17</f>
        <v>53076.072934516538</v>
      </c>
      <c r="E17" s="1">
        <f>E$9/($K$9-$J$9-$I$9-$H$9)*-$H$17</f>
        <v>51467.9979772363</v>
      </c>
      <c r="G17" s="1">
        <f>G$9/($K$9-$J$9-$I$9-$H$9)*-$H$17</f>
        <v>926677.45921030513</v>
      </c>
      <c r="H17" s="1">
        <f>-H15</f>
        <v>-4036271.7523831017</v>
      </c>
      <c r="K17" s="1">
        <v>0</v>
      </c>
    </row>
    <row r="18" spans="1:11" x14ac:dyDescent="0.2">
      <c r="A18" t="s">
        <v>4</v>
      </c>
      <c r="B18" s="1">
        <f>+B15+B17</f>
        <v>18943834.93319599</v>
      </c>
      <c r="C18" s="1">
        <f>+C15+C17</f>
        <v>13456.874269332877</v>
      </c>
      <c r="D18" s="1">
        <f>+D15+D17</f>
        <v>334829.21355533251</v>
      </c>
      <c r="E18" s="1">
        <f>+E15+E17</f>
        <v>324684.70881873555</v>
      </c>
      <c r="G18" s="1">
        <f>+G15+G17</f>
        <v>5845923.9301606109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25462729.660000004</v>
      </c>
    </row>
    <row r="20" spans="1:11" x14ac:dyDescent="0.2">
      <c r="A20" t="s">
        <v>7</v>
      </c>
      <c r="B20" s="1">
        <f>B$9/($K$9-$J$9-$I$9-$H$9-$G$9)*-$G$20</f>
        <v>5645374.6593681369</v>
      </c>
      <c r="C20" s="1">
        <f>C$9/($K$9-$J$9-$I$9-$H$9-$G$9)*-$G$20</f>
        <v>4010.2279851093645</v>
      </c>
      <c r="D20" s="1">
        <f>D$9/($K$9-$J$9-$I$9-$H$9-$G$9)*-$G$20</f>
        <v>99781.082557318136</v>
      </c>
      <c r="E20" s="1">
        <f>E$9/($K$9-$J$9-$I$9-$H$9-$G$9)*-$G$20</f>
        <v>96757.96025004609</v>
      </c>
      <c r="G20" s="1">
        <f>-G18</f>
        <v>-5845923.9301606109</v>
      </c>
      <c r="K20" s="1">
        <f>SUM(B20:J20)</f>
        <v>0</v>
      </c>
    </row>
    <row r="22" spans="1:11" x14ac:dyDescent="0.2">
      <c r="A22" t="s">
        <v>8</v>
      </c>
      <c r="B22" s="1">
        <f>+B20+B18</f>
        <v>24589209.592564128</v>
      </c>
      <c r="C22" s="1">
        <f t="shared" ref="C22:K22" si="3">+C20+C18</f>
        <v>17467.102254442241</v>
      </c>
      <c r="D22" s="1">
        <f t="shared" si="3"/>
        <v>434610.29611265066</v>
      </c>
      <c r="E22" s="1">
        <f t="shared" si="3"/>
        <v>421442.66906878166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25462729.660000004</v>
      </c>
    </row>
    <row r="27" spans="1:11" x14ac:dyDescent="0.2">
      <c r="A27" t="s">
        <v>9</v>
      </c>
      <c r="B27" s="1">
        <f>B9</f>
        <v>12187670.970000001</v>
      </c>
    </row>
    <row r="28" spans="1:11" x14ac:dyDescent="0.2">
      <c r="A28" t="s">
        <v>10</v>
      </c>
      <c r="B28" s="1">
        <f>+B22-B27</f>
        <v>12401538.622564128</v>
      </c>
    </row>
    <row r="29" spans="1:11" x14ac:dyDescent="0.2">
      <c r="A29" s="22" t="s">
        <v>105</v>
      </c>
      <c r="B29" s="1">
        <v>1450</v>
      </c>
    </row>
    <row r="30" spans="1:11" x14ac:dyDescent="0.2">
      <c r="A30" t="s">
        <v>11</v>
      </c>
      <c r="B30" s="1">
        <f>+B28/B29</f>
        <v>8552.7852569407769</v>
      </c>
    </row>
  </sheetData>
  <phoneticPr fontId="0" type="noConversion"/>
  <pageMargins left="0.51" right="0.55000000000000004" top="1" bottom="0.62" header="0.5" footer="0.5"/>
  <pageSetup scale="10" orientation="landscape" horizontalDpi="4294967294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2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4.140625" style="1" customWidth="1"/>
  </cols>
  <sheetData>
    <row r="1" spans="1:11" ht="15.75" x14ac:dyDescent="0.25">
      <c r="A1" s="4" t="str">
        <f>+System!$A$1</f>
        <v>MINNESOTA STATE - F.Y. 2023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94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Table'!B32</f>
        <v>4347397.1100000003</v>
      </c>
      <c r="C9" s="1">
        <f>'Master Expend Table'!C32</f>
        <v>0</v>
      </c>
      <c r="D9" s="1">
        <f>'Master Expend Table'!D32</f>
        <v>535849.25</v>
      </c>
      <c r="E9" s="1">
        <f>'Master Expend Table'!E32</f>
        <v>0</v>
      </c>
      <c r="G9" s="1">
        <f>'Master Expend Table'!G32</f>
        <v>1140216.03</v>
      </c>
      <c r="H9" s="1">
        <f>'Master Expend Table'!H32</f>
        <v>1568683.44</v>
      </c>
      <c r="I9" s="1">
        <f>'Master Expend Table'!I32</f>
        <v>1964091.04</v>
      </c>
      <c r="J9" s="1">
        <f>'Master Expend Table'!J32</f>
        <v>1150414.8700000001</v>
      </c>
      <c r="K9" s="1">
        <f>SUM(B9:J9)</f>
        <v>10706651.740000002</v>
      </c>
    </row>
    <row r="11" spans="1:11" x14ac:dyDescent="0.2">
      <c r="A11" t="s">
        <v>3</v>
      </c>
      <c r="B11" s="1">
        <f>(B9/($K9-$J9))*-$J$11</f>
        <v>523355.62095992977</v>
      </c>
      <c r="C11" s="1">
        <f t="shared" ref="C11:I11" si="0">(C9/($K9-$J9))*-$J$11</f>
        <v>0</v>
      </c>
      <c r="D11" s="1">
        <f t="shared" si="0"/>
        <v>64507.499517260025</v>
      </c>
      <c r="E11" s="1">
        <f t="shared" si="0"/>
        <v>0</v>
      </c>
      <c r="G11" s="1">
        <f t="shared" si="0"/>
        <v>137263.3907853695</v>
      </c>
      <c r="H11" s="1">
        <f t="shared" si="0"/>
        <v>188843.87026488103</v>
      </c>
      <c r="I11" s="1">
        <f t="shared" si="0"/>
        <v>236444.48847255969</v>
      </c>
      <c r="J11" s="1">
        <f>-J9</f>
        <v>-1150414.8700000001</v>
      </c>
      <c r="K11" s="1">
        <v>0</v>
      </c>
    </row>
    <row r="12" spans="1:11" x14ac:dyDescent="0.2">
      <c r="A12" t="s">
        <v>4</v>
      </c>
      <c r="B12" s="1">
        <f>+B9+B11</f>
        <v>4870752.7309599305</v>
      </c>
      <c r="C12" s="1">
        <f t="shared" ref="C12:J12" si="1">+C9+C11</f>
        <v>0</v>
      </c>
      <c r="D12" s="1">
        <f t="shared" si="1"/>
        <v>600356.74951726</v>
      </c>
      <c r="E12" s="1">
        <f t="shared" si="1"/>
        <v>0</v>
      </c>
      <c r="G12" s="1">
        <f t="shared" si="1"/>
        <v>1277479.4207853696</v>
      </c>
      <c r="H12" s="1">
        <f t="shared" si="1"/>
        <v>1757527.310264881</v>
      </c>
      <c r="I12" s="1">
        <f t="shared" si="1"/>
        <v>2200535.5284725595</v>
      </c>
      <c r="J12" s="1">
        <f t="shared" si="1"/>
        <v>0</v>
      </c>
      <c r="K12" s="1">
        <f>SUM(B12:J12)</f>
        <v>10706651.74</v>
      </c>
    </row>
    <row r="14" spans="1:11" x14ac:dyDescent="0.2">
      <c r="A14" t="s">
        <v>5</v>
      </c>
      <c r="B14" s="1">
        <f>B$9/($K$9-$J$9-$I$9)*-I14</f>
        <v>1260065.6008386929</v>
      </c>
      <c r="C14" s="1">
        <f t="shared" ref="C14:H14" si="2">C$9/($K$9-$J$9-$I$9)*-$I$14</f>
        <v>0</v>
      </c>
      <c r="D14" s="1">
        <f t="shared" si="2"/>
        <v>155312.52151019004</v>
      </c>
      <c r="E14" s="1">
        <f t="shared" si="2"/>
        <v>0</v>
      </c>
      <c r="G14" s="1">
        <f t="shared" si="2"/>
        <v>330484.41643921024</v>
      </c>
      <c r="H14" s="1">
        <f t="shared" si="2"/>
        <v>454672.9896844661</v>
      </c>
      <c r="I14" s="1">
        <f>-I12</f>
        <v>-2200535.5284725595</v>
      </c>
      <c r="K14" s="1">
        <v>0</v>
      </c>
    </row>
    <row r="15" spans="1:11" x14ac:dyDescent="0.2">
      <c r="A15" t="s">
        <v>4</v>
      </c>
      <c r="B15" s="1">
        <f>+B12+B14</f>
        <v>6130818.3317986233</v>
      </c>
      <c r="C15" s="1">
        <f>+C12+C14</f>
        <v>0</v>
      </c>
      <c r="D15" s="1">
        <f>+D12+D14</f>
        <v>755669.27102744998</v>
      </c>
      <c r="E15" s="1">
        <f>+E12+E14</f>
        <v>0</v>
      </c>
      <c r="G15" s="1">
        <f>+G12+G14</f>
        <v>1607963.8372245799</v>
      </c>
      <c r="H15" s="1">
        <f>+H12+H14</f>
        <v>2212200.299949347</v>
      </c>
      <c r="I15" s="1">
        <f>+I12+I14</f>
        <v>0</v>
      </c>
      <c r="J15" s="1">
        <f>+J12+J14</f>
        <v>0</v>
      </c>
      <c r="K15" s="1">
        <f>SUM(B15:J15)</f>
        <v>10706651.740000002</v>
      </c>
    </row>
    <row r="17" spans="1:11" x14ac:dyDescent="0.2">
      <c r="A17" t="s">
        <v>6</v>
      </c>
      <c r="B17" s="1">
        <f>B$9/($K$9-$J$9-$I$9-$H$9)*-$H$17</f>
        <v>1596642.0254748072</v>
      </c>
      <c r="C17" s="1">
        <f>C$9/($K$9-$J$9-$I$9-$H$9)*-$H$17</f>
        <v>0</v>
      </c>
      <c r="D17" s="1">
        <f>D$9/($K$9-$J$9-$I$9-$H$9)*-$H$17</f>
        <v>196798.08635405666</v>
      </c>
      <c r="E17" s="1">
        <f>E$9/($K$9-$J$9-$I$9-$H$9)*-$H$17</f>
        <v>0</v>
      </c>
      <c r="G17" s="1">
        <f>G$9/($K$9-$J$9-$I$9-$H$9)*-$H$17</f>
        <v>418760.1881204829</v>
      </c>
      <c r="H17" s="1">
        <f>-H15</f>
        <v>-2212200.299949347</v>
      </c>
      <c r="K17" s="1">
        <v>0</v>
      </c>
    </row>
    <row r="18" spans="1:11" x14ac:dyDescent="0.2">
      <c r="A18" t="s">
        <v>4</v>
      </c>
      <c r="B18" s="1">
        <f>+B15+B17</f>
        <v>7727460.3572734306</v>
      </c>
      <c r="C18" s="1">
        <f>+C15+C17</f>
        <v>0</v>
      </c>
      <c r="D18" s="1">
        <f>+D15+D17</f>
        <v>952467.35738150659</v>
      </c>
      <c r="E18" s="1">
        <f>+E15+E17</f>
        <v>0</v>
      </c>
      <c r="G18" s="1">
        <f>+G15+G17</f>
        <v>2026724.0253450628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10706651.74</v>
      </c>
    </row>
    <row r="20" spans="1:11" x14ac:dyDescent="0.2">
      <c r="A20" t="s">
        <v>7</v>
      </c>
      <c r="B20" s="1">
        <f>B$9/($K$9-$J$9-$I$9-$H$9-$G$9)*-$G$20</f>
        <v>1804327.1874885897</v>
      </c>
      <c r="C20" s="1">
        <f>C$9/($K$9-$J$9-$I$9-$H$9-$G$9)*-$G$20</f>
        <v>0</v>
      </c>
      <c r="D20" s="1">
        <f>D$9/($K$9-$J$9-$I$9-$H$9-$G$9)*-$G$20</f>
        <v>222396.83785647317</v>
      </c>
      <c r="E20" s="1">
        <f>E$9/($K$9-$J$9-$I$9-$H$9-$G$9)*-$G$20</f>
        <v>0</v>
      </c>
      <c r="G20" s="1">
        <f>-G18</f>
        <v>-2026724.0253450628</v>
      </c>
      <c r="K20" s="1">
        <f>SUM(B20:J20)</f>
        <v>0</v>
      </c>
    </row>
    <row r="22" spans="1:11" x14ac:dyDescent="0.2">
      <c r="A22" t="s">
        <v>8</v>
      </c>
      <c r="B22" s="1">
        <f>+B20+B18</f>
        <v>9531787.5447620209</v>
      </c>
      <c r="C22" s="1">
        <f t="shared" ref="C22:K22" si="3">+C20+C18</f>
        <v>0</v>
      </c>
      <c r="D22" s="1">
        <f t="shared" si="3"/>
        <v>1174864.1952379798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10706651.74</v>
      </c>
    </row>
    <row r="27" spans="1:11" x14ac:dyDescent="0.2">
      <c r="A27" t="s">
        <v>9</v>
      </c>
      <c r="B27" s="1">
        <f>+B9</f>
        <v>4347397.1100000003</v>
      </c>
    </row>
    <row r="28" spans="1:11" x14ac:dyDescent="0.2">
      <c r="A28" t="s">
        <v>10</v>
      </c>
      <c r="B28" s="1">
        <f>+B22-B27</f>
        <v>5184390.4347620206</v>
      </c>
    </row>
    <row r="29" spans="1:11" x14ac:dyDescent="0.2">
      <c r="A29" s="22" t="s">
        <v>105</v>
      </c>
      <c r="B29" s="1">
        <v>815</v>
      </c>
    </row>
    <row r="30" spans="1:11" x14ac:dyDescent="0.2">
      <c r="A30" t="s">
        <v>11</v>
      </c>
      <c r="B30" s="1">
        <f>+B28/B29</f>
        <v>6361.2152573767125</v>
      </c>
    </row>
  </sheetData>
  <phoneticPr fontId="0" type="noConversion"/>
  <pageMargins left="0.56000000000000005" right="0.55000000000000004" top="1" bottom="0.55000000000000004" header="0.5" footer="0.5"/>
  <pageSetup scale="10" orientation="landscape" horizontalDpi="4294967294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3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4.42578125" style="1" customWidth="1"/>
  </cols>
  <sheetData>
    <row r="1" spans="1:11" ht="15.75" x14ac:dyDescent="0.25">
      <c r="A1" s="4" t="str">
        <f>+System!$A$1</f>
        <v>MINNESOTA STATE - F.Y. 2023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31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Table'!B33</f>
        <v>16321159.029999999</v>
      </c>
      <c r="C9" s="1">
        <f>'Master Expend Table'!C33</f>
        <v>0</v>
      </c>
      <c r="D9" s="1">
        <f>'Master Expend Table'!D33</f>
        <v>2251657.66</v>
      </c>
      <c r="E9" s="1">
        <f>'Master Expend Table'!E33</f>
        <v>725.22</v>
      </c>
      <c r="G9" s="1">
        <f>'Master Expend Table'!G33</f>
        <v>2761743.88</v>
      </c>
      <c r="H9" s="1">
        <f>'Master Expend Table'!H33</f>
        <v>4379157.45</v>
      </c>
      <c r="I9" s="1">
        <f>'Master Expend Table'!I33</f>
        <v>4355290.67</v>
      </c>
      <c r="J9" s="1">
        <f>'Master Expend Table'!J33</f>
        <v>4097137.84</v>
      </c>
      <c r="K9" s="1">
        <f>SUM(B9:J9)</f>
        <v>34166871.75</v>
      </c>
    </row>
    <row r="11" spans="1:11" x14ac:dyDescent="0.2">
      <c r="A11" t="s">
        <v>3</v>
      </c>
      <c r="B11" s="1">
        <f>(B9/($K9-$J9))*-$J$11</f>
        <v>2223832.0583286691</v>
      </c>
      <c r="C11" s="1">
        <f t="shared" ref="C11:I11" si="0">(C9/($K9-$J9))*-$J$11</f>
        <v>0</v>
      </c>
      <c r="D11" s="1">
        <f t="shared" si="0"/>
        <v>306798.58455428062</v>
      </c>
      <c r="E11" s="1">
        <f t="shared" si="0"/>
        <v>98.814519384112501</v>
      </c>
      <c r="G11" s="1">
        <f t="shared" si="0"/>
        <v>376300.14914676105</v>
      </c>
      <c r="H11" s="1">
        <f t="shared" si="0"/>
        <v>596680.0953215654</v>
      </c>
      <c r="I11" s="1">
        <f t="shared" si="0"/>
        <v>593428.13812933909</v>
      </c>
      <c r="J11" s="1">
        <f>-J9</f>
        <v>-4097137.84</v>
      </c>
      <c r="K11" s="1">
        <v>0</v>
      </c>
    </row>
    <row r="12" spans="1:11" x14ac:dyDescent="0.2">
      <c r="A12" t="s">
        <v>4</v>
      </c>
      <c r="B12" s="1">
        <f>+B9+B11</f>
        <v>18544991.088328667</v>
      </c>
      <c r="C12" s="1">
        <f t="shared" ref="C12:J12" si="1">+C9+C11</f>
        <v>0</v>
      </c>
      <c r="D12" s="1">
        <f t="shared" si="1"/>
        <v>2558456.2445542808</v>
      </c>
      <c r="E12" s="1">
        <f t="shared" si="1"/>
        <v>824.03451938411251</v>
      </c>
      <c r="G12" s="1">
        <f t="shared" si="1"/>
        <v>3138044.0291467607</v>
      </c>
      <c r="H12" s="1">
        <f t="shared" si="1"/>
        <v>4975837.5453215651</v>
      </c>
      <c r="I12" s="1">
        <f t="shared" si="1"/>
        <v>4948718.8081293385</v>
      </c>
      <c r="J12" s="1">
        <f t="shared" si="1"/>
        <v>0</v>
      </c>
      <c r="K12" s="1">
        <f>SUM(B12:J12)</f>
        <v>34166871.75</v>
      </c>
    </row>
    <row r="14" spans="1:11" x14ac:dyDescent="0.2">
      <c r="A14" t="s">
        <v>5</v>
      </c>
      <c r="B14" s="1">
        <f>B$9/($K$9-$J$9-$I$9)*-I14</f>
        <v>3140990.6840444966</v>
      </c>
      <c r="C14" s="1">
        <f t="shared" ref="C14:H14" si="2">C$9/($K$9-$J$9-$I$9)*-$I$14</f>
        <v>0</v>
      </c>
      <c r="D14" s="1">
        <f t="shared" si="2"/>
        <v>433329.25809481752</v>
      </c>
      <c r="E14" s="1">
        <f t="shared" si="2"/>
        <v>139.56786155295185</v>
      </c>
      <c r="G14" s="1">
        <f t="shared" si="2"/>
        <v>531494.83948119474</v>
      </c>
      <c r="H14" s="1">
        <f t="shared" si="2"/>
        <v>842764.45864727627</v>
      </c>
      <c r="I14" s="1">
        <f>-I12</f>
        <v>-4948718.8081293385</v>
      </c>
      <c r="K14" s="1">
        <v>0</v>
      </c>
    </row>
    <row r="15" spans="1:11" x14ac:dyDescent="0.2">
      <c r="A15" t="s">
        <v>4</v>
      </c>
      <c r="B15" s="1">
        <f>+B12+B14</f>
        <v>21685981.772373162</v>
      </c>
      <c r="C15" s="1">
        <f>+C12+C14</f>
        <v>0</v>
      </c>
      <c r="D15" s="1">
        <f>+D12+D14</f>
        <v>2991785.5026490982</v>
      </c>
      <c r="E15" s="1">
        <f>+E12+E14</f>
        <v>963.60238093706437</v>
      </c>
      <c r="G15" s="1">
        <f>+G12+G14</f>
        <v>3669538.8686279552</v>
      </c>
      <c r="H15" s="1">
        <f>+H12+H14</f>
        <v>5818602.0039688414</v>
      </c>
      <c r="I15" s="1">
        <f>+I12+I14</f>
        <v>0</v>
      </c>
      <c r="J15" s="1">
        <f>+J12+J14</f>
        <v>0</v>
      </c>
      <c r="K15" s="1">
        <f>SUM(B15:J15)</f>
        <v>34166871.749999993</v>
      </c>
    </row>
    <row r="17" spans="1:11" x14ac:dyDescent="0.2">
      <c r="A17" t="s">
        <v>6</v>
      </c>
      <c r="B17" s="1">
        <f>B$9/($K$9-$J$9-$I$9-$H$9)*-$H$17</f>
        <v>4451139.2804292096</v>
      </c>
      <c r="C17" s="1">
        <f>C$9/($K$9-$J$9-$I$9-$H$9)*-$H$17</f>
        <v>0</v>
      </c>
      <c r="D17" s="1">
        <f>D$9/($K$9-$J$9-$I$9-$H$9)*-$H$17</f>
        <v>614076.60069257463</v>
      </c>
      <c r="E17" s="1">
        <f>E$9/($K$9-$J$9-$I$9-$H$9)*-$H$17</f>
        <v>197.78345539182405</v>
      </c>
      <c r="G17" s="1">
        <f>G$9/($K$9-$J$9-$I$9-$H$9)*-$H$17</f>
        <v>753188.3393916646</v>
      </c>
      <c r="H17" s="1">
        <f>-H15</f>
        <v>-5818602.0039688414</v>
      </c>
      <c r="K17" s="1">
        <v>0</v>
      </c>
    </row>
    <row r="18" spans="1:11" x14ac:dyDescent="0.2">
      <c r="A18" t="s">
        <v>4</v>
      </c>
      <c r="B18" s="1">
        <f>+B15+B17</f>
        <v>26137121.052802373</v>
      </c>
      <c r="C18" s="1">
        <f>+C15+C17</f>
        <v>0</v>
      </c>
      <c r="D18" s="1">
        <f>+D15+D17</f>
        <v>3605862.1033416726</v>
      </c>
      <c r="E18" s="1">
        <f>+E15+E17</f>
        <v>1161.3858363288884</v>
      </c>
      <c r="G18" s="1">
        <f>+G15+G17</f>
        <v>4422727.2080196198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34166871.749999993</v>
      </c>
    </row>
    <row r="20" spans="1:11" x14ac:dyDescent="0.2">
      <c r="A20" t="s">
        <v>7</v>
      </c>
      <c r="B20" s="1">
        <f>B$9/($K$9-$J$9-$I$9-$H$9-$G$9)*-$G$20</f>
        <v>3886390.3534485358</v>
      </c>
      <c r="C20" s="1">
        <f>C$9/($K$9-$J$9-$I$9-$H$9-$G$9)*-$G$20</f>
        <v>0</v>
      </c>
      <c r="D20" s="1">
        <f>D$9/($K$9-$J$9-$I$9-$H$9-$G$9)*-$G$20</f>
        <v>536164.16536396579</v>
      </c>
      <c r="E20" s="1">
        <f>E$9/($K$9-$J$9-$I$9-$H$9-$G$9)*-$G$20</f>
        <v>172.68920711741555</v>
      </c>
      <c r="G20" s="1">
        <f>-G18</f>
        <v>-4422727.2080196198</v>
      </c>
      <c r="K20" s="1">
        <f>SUM(B20:J20)</f>
        <v>0</v>
      </c>
    </row>
    <row r="22" spans="1:11" x14ac:dyDescent="0.2">
      <c r="A22" t="s">
        <v>8</v>
      </c>
      <c r="B22" s="1">
        <f>+B20+B18</f>
        <v>30023511.406250909</v>
      </c>
      <c r="C22" s="1">
        <f t="shared" ref="C22:K22" si="3">+C20+C18</f>
        <v>0</v>
      </c>
      <c r="D22" s="1">
        <f t="shared" si="3"/>
        <v>4142026.2687056381</v>
      </c>
      <c r="E22" s="1">
        <f t="shared" si="3"/>
        <v>1334.0750434463039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34166871.749999993</v>
      </c>
    </row>
    <row r="27" spans="1:11" x14ac:dyDescent="0.2">
      <c r="A27" t="s">
        <v>9</v>
      </c>
      <c r="B27" s="1">
        <f>+B9</f>
        <v>16321159.029999999</v>
      </c>
    </row>
    <row r="28" spans="1:11" x14ac:dyDescent="0.2">
      <c r="A28" t="s">
        <v>10</v>
      </c>
      <c r="B28" s="1">
        <f>+B22-B27</f>
        <v>13702352.37625091</v>
      </c>
    </row>
    <row r="29" spans="1:11" x14ac:dyDescent="0.2">
      <c r="A29" s="22" t="s">
        <v>105</v>
      </c>
      <c r="B29" s="1">
        <v>2140</v>
      </c>
    </row>
    <row r="30" spans="1:11" x14ac:dyDescent="0.2">
      <c r="A30" t="s">
        <v>11</v>
      </c>
      <c r="B30" s="1">
        <f>+B28/B29</f>
        <v>6402.9684001172473</v>
      </c>
    </row>
  </sheetData>
  <phoneticPr fontId="0" type="noConversion"/>
  <pageMargins left="0.59" right="0.55000000000000004" top="1" bottom="0.57999999999999996" header="0.5" footer="0.5"/>
  <pageSetup scale="10" orientation="landscape" horizontalDpi="4294967294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4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5.28515625" style="1" customWidth="1"/>
  </cols>
  <sheetData>
    <row r="1" spans="1:11" ht="15.75" x14ac:dyDescent="0.25">
      <c r="A1" s="4" t="str">
        <f>+System!$A$1</f>
        <v>MINNESOTA STATE - F.Y. 2023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95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Table'!B34</f>
        <v>11322385.689999999</v>
      </c>
      <c r="C9" s="1">
        <f>'Master Expend Table'!C34</f>
        <v>0</v>
      </c>
      <c r="D9" s="1">
        <f>'Master Expend Table'!D34</f>
        <v>620921.77</v>
      </c>
      <c r="E9" s="1">
        <f>'Master Expend Table'!E34</f>
        <v>93068.18</v>
      </c>
      <c r="G9" s="1">
        <f>'Master Expend Table'!G34</f>
        <v>3221500.66</v>
      </c>
      <c r="H9" s="1">
        <f>'Master Expend Table'!H34</f>
        <v>3881164.44</v>
      </c>
      <c r="I9" s="1">
        <f>'Master Expend Table'!I34</f>
        <v>5047998.47</v>
      </c>
      <c r="J9" s="1">
        <f>'Master Expend Table'!J34</f>
        <v>2925331.77</v>
      </c>
      <c r="K9" s="1">
        <f>SUM(B9:J9)</f>
        <v>27112370.979999997</v>
      </c>
    </row>
    <row r="11" spans="1:11" x14ac:dyDescent="0.2">
      <c r="A11" t="s">
        <v>3</v>
      </c>
      <c r="B11" s="1">
        <f>(B9/($K9-$J9))*-$J$11</f>
        <v>1369400.127215917</v>
      </c>
      <c r="C11" s="1">
        <f t="shared" ref="C11:I11" si="0">(C9/($K9-$J9))*-$J$11</f>
        <v>0</v>
      </c>
      <c r="D11" s="1">
        <f t="shared" si="0"/>
        <v>75098.161651577902</v>
      </c>
      <c r="E11" s="1">
        <f t="shared" si="0"/>
        <v>11256.247669103548</v>
      </c>
      <c r="G11" s="1">
        <f t="shared" si="0"/>
        <v>389628.43471464195</v>
      </c>
      <c r="H11" s="1">
        <f t="shared" si="0"/>
        <v>469412.2973196379</v>
      </c>
      <c r="I11" s="1">
        <f t="shared" si="0"/>
        <v>610536.50142912194</v>
      </c>
      <c r="J11" s="1">
        <f>-J9</f>
        <v>-2925331.77</v>
      </c>
      <c r="K11" s="1">
        <v>0</v>
      </c>
    </row>
    <row r="12" spans="1:11" x14ac:dyDescent="0.2">
      <c r="A12" t="s">
        <v>4</v>
      </c>
      <c r="B12" s="1">
        <f>+B9+B11</f>
        <v>12691785.817215916</v>
      </c>
      <c r="C12" s="1">
        <f t="shared" ref="C12:J12" si="1">+C9+C11</f>
        <v>0</v>
      </c>
      <c r="D12" s="1">
        <f t="shared" si="1"/>
        <v>696019.93165157794</v>
      </c>
      <c r="E12" s="1">
        <f t="shared" si="1"/>
        <v>104324.42766910355</v>
      </c>
      <c r="G12" s="1">
        <f t="shared" si="1"/>
        <v>3611129.094714642</v>
      </c>
      <c r="H12" s="1">
        <f t="shared" si="1"/>
        <v>4350576.737319638</v>
      </c>
      <c r="I12" s="1">
        <f t="shared" si="1"/>
        <v>5658534.9714291217</v>
      </c>
      <c r="J12" s="1">
        <f t="shared" si="1"/>
        <v>0</v>
      </c>
      <c r="K12" s="1">
        <f>SUM(B12:J12)</f>
        <v>27112370.979999997</v>
      </c>
    </row>
    <row r="14" spans="1:11" x14ac:dyDescent="0.2">
      <c r="A14" t="s">
        <v>5</v>
      </c>
      <c r="B14" s="1">
        <f>B$9/($K$9-$J$9-$I$9)*-I14</f>
        <v>3347509.2224958418</v>
      </c>
      <c r="C14" s="1">
        <f t="shared" ref="C14:H14" si="2">C$9/($K$9-$J$9-$I$9)*-$I$14</f>
        <v>0</v>
      </c>
      <c r="D14" s="1">
        <f t="shared" si="2"/>
        <v>183578.03809485334</v>
      </c>
      <c r="E14" s="1">
        <f t="shared" si="2"/>
        <v>27515.984652074072</v>
      </c>
      <c r="G14" s="1">
        <f t="shared" si="2"/>
        <v>952449.72790062614</v>
      </c>
      <c r="H14" s="1">
        <f t="shared" si="2"/>
        <v>1147481.9982857262</v>
      </c>
      <c r="I14" s="1">
        <f>-I12</f>
        <v>-5658534.9714291217</v>
      </c>
      <c r="K14" s="1">
        <v>0</v>
      </c>
    </row>
    <row r="15" spans="1:11" x14ac:dyDescent="0.2">
      <c r="A15" t="s">
        <v>4</v>
      </c>
      <c r="B15" s="1">
        <f>+B12+B14</f>
        <v>16039295.039711758</v>
      </c>
      <c r="C15" s="1">
        <f>+C12+C14</f>
        <v>0</v>
      </c>
      <c r="D15" s="1">
        <f>+D12+D14</f>
        <v>879597.96974643134</v>
      </c>
      <c r="E15" s="1">
        <f>+E12+E14</f>
        <v>131840.41232117763</v>
      </c>
      <c r="G15" s="1">
        <f>+G12+G14</f>
        <v>4563578.8226152677</v>
      </c>
      <c r="H15" s="1">
        <f>+H12+H14</f>
        <v>5498058.7356053647</v>
      </c>
      <c r="I15" s="1">
        <f>+I12+I14</f>
        <v>0</v>
      </c>
      <c r="J15" s="1">
        <f>+J12+J14</f>
        <v>0</v>
      </c>
      <c r="K15" s="1">
        <f>SUM(B15:J15)</f>
        <v>27112370.980000004</v>
      </c>
    </row>
    <row r="17" spans="1:11" x14ac:dyDescent="0.2">
      <c r="A17" t="s">
        <v>6</v>
      </c>
      <c r="B17" s="1">
        <f>B$9/($K$9-$J$9-$I$9-$H$9)*-$H$17</f>
        <v>4079934.8694941038</v>
      </c>
      <c r="C17" s="1">
        <f>C$9/($K$9-$J$9-$I$9-$H$9)*-$H$17</f>
        <v>0</v>
      </c>
      <c r="D17" s="1">
        <f>D$9/($K$9-$J$9-$I$9-$H$9)*-$H$17</f>
        <v>223744.39892896794</v>
      </c>
      <c r="E17" s="1">
        <f>E$9/($K$9-$J$9-$I$9-$H$9)*-$H$17</f>
        <v>33536.405066797699</v>
      </c>
      <c r="G17" s="1">
        <f>G$9/($K$9-$J$9-$I$9-$H$9)*-$H$17</f>
        <v>1160843.0621154956</v>
      </c>
      <c r="H17" s="1">
        <f>-H15</f>
        <v>-5498058.7356053647</v>
      </c>
      <c r="K17" s="1">
        <v>0</v>
      </c>
    </row>
    <row r="18" spans="1:11" x14ac:dyDescent="0.2">
      <c r="A18" t="s">
        <v>4</v>
      </c>
      <c r="B18" s="1">
        <f>+B15+B17</f>
        <v>20119229.909205861</v>
      </c>
      <c r="C18" s="1">
        <f>+C15+C17</f>
        <v>0</v>
      </c>
      <c r="D18" s="1">
        <f>+D15+D17</f>
        <v>1103342.3686753993</v>
      </c>
      <c r="E18" s="1">
        <f>+E15+E17</f>
        <v>165376.81738797534</v>
      </c>
      <c r="G18" s="1">
        <f>+G15+G17</f>
        <v>5724421.8847307637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27112370.98</v>
      </c>
    </row>
    <row r="20" spans="1:11" x14ac:dyDescent="0.2">
      <c r="A20" t="s">
        <v>7</v>
      </c>
      <c r="B20" s="1">
        <f>B$9/($K$9-$J$9-$I$9-$H$9-$G$9)*-$G$20</f>
        <v>5384852.9133474631</v>
      </c>
      <c r="C20" s="1">
        <f>C$9/($K$9-$J$9-$I$9-$H$9-$G$9)*-$G$20</f>
        <v>0</v>
      </c>
      <c r="D20" s="1">
        <f>D$9/($K$9-$J$9-$I$9-$H$9-$G$9)*-$G$20</f>
        <v>295306.3509484955</v>
      </c>
      <c r="E20" s="1">
        <f>E$9/($K$9-$J$9-$I$9-$H$9-$G$9)*-$G$20</f>
        <v>44262.620434805736</v>
      </c>
      <c r="G20" s="1">
        <f>-G18</f>
        <v>-5724421.8847307637</v>
      </c>
      <c r="K20" s="1">
        <f>SUM(B20:J20)</f>
        <v>0</v>
      </c>
    </row>
    <row r="22" spans="1:11" x14ac:dyDescent="0.2">
      <c r="A22" t="s">
        <v>8</v>
      </c>
      <c r="B22" s="1">
        <f>+B20+B18</f>
        <v>25504082.822553325</v>
      </c>
      <c r="C22" s="1">
        <f t="shared" ref="C22:K22" si="3">+C20+C18</f>
        <v>0</v>
      </c>
      <c r="D22" s="1">
        <f t="shared" si="3"/>
        <v>1398648.7196238949</v>
      </c>
      <c r="E22" s="1">
        <f t="shared" si="3"/>
        <v>209639.4378227811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27112370.98</v>
      </c>
    </row>
    <row r="27" spans="1:11" x14ac:dyDescent="0.2">
      <c r="A27" t="s">
        <v>9</v>
      </c>
      <c r="B27" s="1">
        <f>+B9</f>
        <v>11322385.689999999</v>
      </c>
    </row>
    <row r="28" spans="1:11" x14ac:dyDescent="0.2">
      <c r="A28" t="s">
        <v>10</v>
      </c>
      <c r="B28" s="1">
        <f>+B22-B27</f>
        <v>14181697.132553326</v>
      </c>
    </row>
    <row r="29" spans="1:11" x14ac:dyDescent="0.2">
      <c r="A29" s="22" t="s">
        <v>105</v>
      </c>
      <c r="B29" s="1">
        <v>1978</v>
      </c>
    </row>
    <row r="30" spans="1:11" x14ac:dyDescent="0.2">
      <c r="A30" t="s">
        <v>11</v>
      </c>
      <c r="B30" s="1">
        <f>+B28/B29</f>
        <v>7169.7154360734712</v>
      </c>
    </row>
  </sheetData>
  <phoneticPr fontId="0" type="noConversion"/>
  <pageMargins left="0.51" right="0.55000000000000004" top="1" bottom="0.56000000000000005" header="0.5" footer="0.5"/>
  <pageSetup scale="10" orientation="landscape" horizontalDpi="4294967294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5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4.5703125" style="1" customWidth="1"/>
  </cols>
  <sheetData>
    <row r="1" spans="1:11" ht="15.75" x14ac:dyDescent="0.25">
      <c r="A1" s="4" t="str">
        <f>+System!$A$1</f>
        <v>MINNESOTA STATE - F.Y. 2023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96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Table'!B35</f>
        <v>18226753.390000001</v>
      </c>
      <c r="C9" s="1">
        <f>'Master Expend Table'!C35</f>
        <v>0</v>
      </c>
      <c r="D9" s="1">
        <f>'Master Expend Table'!D35</f>
        <v>285150.03999999998</v>
      </c>
      <c r="E9" s="1">
        <f>'Master Expend Table'!E35</f>
        <v>211012.35</v>
      </c>
      <c r="G9" s="1">
        <f>'Master Expend Table'!G35</f>
        <v>6366257.6100000003</v>
      </c>
      <c r="H9" s="1">
        <f>'Master Expend Table'!H35</f>
        <v>3368641.4</v>
      </c>
      <c r="I9" s="1">
        <f>'Master Expend Table'!I35</f>
        <v>5812111.46</v>
      </c>
      <c r="J9" s="1">
        <f>'Master Expend Table'!J35</f>
        <v>6392196.8499999996</v>
      </c>
      <c r="K9" s="1">
        <f>SUM(B9:J9)</f>
        <v>40662123.100000001</v>
      </c>
    </row>
    <row r="11" spans="1:11" x14ac:dyDescent="0.2">
      <c r="A11" t="s">
        <v>3</v>
      </c>
      <c r="B11" s="1">
        <f>(B9/($K9-$J9))*-$J$11</f>
        <v>3399744.5677399095</v>
      </c>
      <c r="C11" s="1">
        <f t="shared" ref="C11:I11" si="0">(C9/($K9-$J9))*-$J$11</f>
        <v>0</v>
      </c>
      <c r="D11" s="1">
        <f t="shared" si="0"/>
        <v>53187.601693930512</v>
      </c>
      <c r="E11" s="1">
        <f t="shared" si="0"/>
        <v>39359.071541074511</v>
      </c>
      <c r="G11" s="1">
        <f t="shared" si="0"/>
        <v>1187465.9882272296</v>
      </c>
      <c r="H11" s="1">
        <f t="shared" si="0"/>
        <v>628335.72470438539</v>
      </c>
      <c r="I11" s="1">
        <f t="shared" si="0"/>
        <v>1084103.8960934705</v>
      </c>
      <c r="J11" s="1">
        <f>-J9</f>
        <v>-6392196.8499999996</v>
      </c>
      <c r="K11" s="1">
        <v>0</v>
      </c>
    </row>
    <row r="12" spans="1:11" x14ac:dyDescent="0.2">
      <c r="A12" t="s">
        <v>4</v>
      </c>
      <c r="B12" s="1">
        <f>+B9+B11</f>
        <v>21626497.957739912</v>
      </c>
      <c r="C12" s="1">
        <f t="shared" ref="C12:J12" si="1">+C9+C11</f>
        <v>0</v>
      </c>
      <c r="D12" s="1">
        <f t="shared" si="1"/>
        <v>338337.64169393049</v>
      </c>
      <c r="E12" s="1">
        <f t="shared" si="1"/>
        <v>250371.42154107452</v>
      </c>
      <c r="G12" s="1">
        <f t="shared" si="1"/>
        <v>7553723.5982272299</v>
      </c>
      <c r="H12" s="1">
        <f t="shared" si="1"/>
        <v>3996977.1247043852</v>
      </c>
      <c r="I12" s="1">
        <f t="shared" si="1"/>
        <v>6896215.35609347</v>
      </c>
      <c r="J12" s="1">
        <f t="shared" si="1"/>
        <v>0</v>
      </c>
      <c r="K12" s="1">
        <f>SUM(B12:J12)</f>
        <v>40662123.100000009</v>
      </c>
    </row>
    <row r="14" spans="1:11" x14ac:dyDescent="0.2">
      <c r="A14" t="s">
        <v>5</v>
      </c>
      <c r="B14" s="1">
        <f>B$9/($K$9-$J$9-$I$9)*-I14</f>
        <v>4416910.3477339316</v>
      </c>
      <c r="C14" s="1">
        <f t="shared" ref="C14:H14" si="2">C$9/($K$9-$J$9-$I$9)*-$I$14</f>
        <v>0</v>
      </c>
      <c r="D14" s="1">
        <f t="shared" si="2"/>
        <v>69100.740838670245</v>
      </c>
      <c r="E14" s="1">
        <f t="shared" si="2"/>
        <v>51134.86819468368</v>
      </c>
      <c r="G14" s="1">
        <f t="shared" si="2"/>
        <v>1542742.6109455298</v>
      </c>
      <c r="H14" s="1">
        <f t="shared" si="2"/>
        <v>816326.78838065499</v>
      </c>
      <c r="I14" s="1">
        <f>-I12</f>
        <v>-6896215.35609347</v>
      </c>
      <c r="K14" s="1">
        <v>0</v>
      </c>
    </row>
    <row r="15" spans="1:11" x14ac:dyDescent="0.2">
      <c r="A15" t="s">
        <v>4</v>
      </c>
      <c r="B15" s="1">
        <f>+B12+B14</f>
        <v>26043408.305473842</v>
      </c>
      <c r="C15" s="1">
        <f>+C12+C14</f>
        <v>0</v>
      </c>
      <c r="D15" s="1">
        <f>+D12+D14</f>
        <v>407438.38253260072</v>
      </c>
      <c r="E15" s="1">
        <f>+E12+E14</f>
        <v>301506.28973575821</v>
      </c>
      <c r="G15" s="1">
        <f>+G12+G14</f>
        <v>9096466.2091727592</v>
      </c>
      <c r="H15" s="1">
        <f>+H12+H14</f>
        <v>4813303.9130850397</v>
      </c>
      <c r="I15" s="1">
        <f>+I12+I14</f>
        <v>0</v>
      </c>
      <c r="J15" s="1">
        <f>+J12+J14</f>
        <v>0</v>
      </c>
      <c r="K15" s="1">
        <f>SUM(B15:J15)</f>
        <v>40662123.099999994</v>
      </c>
    </row>
    <row r="17" spans="1:11" x14ac:dyDescent="0.2">
      <c r="A17" t="s">
        <v>6</v>
      </c>
      <c r="B17" s="1">
        <f>B$9/($K$9-$J$9-$I$9-$H$9)*-$H$17</f>
        <v>3496763.4067167258</v>
      </c>
      <c r="C17" s="1">
        <f>C$9/($K$9-$J$9-$I$9-$H$9)*-$H$17</f>
        <v>0</v>
      </c>
      <c r="D17" s="1">
        <f>D$9/($K$9-$J$9-$I$9-$H$9)*-$H$17</f>
        <v>54705.421418762628</v>
      </c>
      <c r="E17" s="1">
        <f>E$9/($K$9-$J$9-$I$9-$H$9)*-$H$17</f>
        <v>40482.26516578233</v>
      </c>
      <c r="G17" s="1">
        <f>G$9/($K$9-$J$9-$I$9-$H$9)*-$H$17</f>
        <v>1221352.8197837693</v>
      </c>
      <c r="H17" s="1">
        <f>-H15</f>
        <v>-4813303.9130850397</v>
      </c>
      <c r="K17" s="1">
        <v>0</v>
      </c>
    </row>
    <row r="18" spans="1:11" x14ac:dyDescent="0.2">
      <c r="A18" t="s">
        <v>4</v>
      </c>
      <c r="B18" s="1">
        <f>+B15+B17</f>
        <v>29540171.712190568</v>
      </c>
      <c r="C18" s="1">
        <f>+C15+C17</f>
        <v>0</v>
      </c>
      <c r="D18" s="1">
        <f>+D15+D17</f>
        <v>462143.80395136337</v>
      </c>
      <c r="E18" s="1">
        <f>+E15+E17</f>
        <v>341988.55490154051</v>
      </c>
      <c r="G18" s="1">
        <f>+G15+G17</f>
        <v>10317819.028956529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40662123.100000001</v>
      </c>
    </row>
    <row r="20" spans="1:11" x14ac:dyDescent="0.2">
      <c r="A20" t="s">
        <v>7</v>
      </c>
      <c r="B20" s="1">
        <f>B$9/($K$9-$J$9-$I$9-$H$9-$G$9)*-$G$20</f>
        <v>10044394.002152581</v>
      </c>
      <c r="C20" s="1">
        <f>C$9/($K$9-$J$9-$I$9-$H$9-$G$9)*-$G$20</f>
        <v>0</v>
      </c>
      <c r="D20" s="1">
        <f>D$9/($K$9-$J$9-$I$9-$H$9-$G$9)*-$G$20</f>
        <v>157140.40181511274</v>
      </c>
      <c r="E20" s="1">
        <f>E$9/($K$9-$J$9-$I$9-$H$9-$G$9)*-$G$20</f>
        <v>116284.62498883466</v>
      </c>
      <c r="G20" s="1">
        <f>-G18</f>
        <v>-10317819.028956529</v>
      </c>
      <c r="K20" s="1">
        <f>SUM(B20:J20)</f>
        <v>0</v>
      </c>
    </row>
    <row r="22" spans="1:11" x14ac:dyDescent="0.2">
      <c r="A22" t="s">
        <v>8</v>
      </c>
      <c r="B22" s="1">
        <f>+B20+B18</f>
        <v>39584565.714343145</v>
      </c>
      <c r="C22" s="1">
        <f t="shared" ref="C22:K22" si="3">+C20+C18</f>
        <v>0</v>
      </c>
      <c r="D22" s="1">
        <f t="shared" si="3"/>
        <v>619284.20576647611</v>
      </c>
      <c r="E22" s="1">
        <f t="shared" si="3"/>
        <v>458273.17989037518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40662123.100000001</v>
      </c>
    </row>
    <row r="27" spans="1:11" x14ac:dyDescent="0.2">
      <c r="A27" t="s">
        <v>9</v>
      </c>
      <c r="B27" s="1">
        <f>+B9</f>
        <v>18226753.390000001</v>
      </c>
    </row>
    <row r="28" spans="1:11" x14ac:dyDescent="0.2">
      <c r="A28" t="s">
        <v>10</v>
      </c>
      <c r="B28" s="1">
        <f>+B22-B27</f>
        <v>21357812.324343145</v>
      </c>
    </row>
    <row r="29" spans="1:11" x14ac:dyDescent="0.2">
      <c r="A29" s="22" t="s">
        <v>105</v>
      </c>
      <c r="B29" s="1">
        <v>2981</v>
      </c>
    </row>
    <row r="30" spans="1:11" x14ac:dyDescent="0.2">
      <c r="A30" t="s">
        <v>11</v>
      </c>
      <c r="B30" s="1">
        <f>+B28/B29</f>
        <v>7164.6468716347354</v>
      </c>
    </row>
  </sheetData>
  <phoneticPr fontId="0" type="noConversion"/>
  <pageMargins left="0.63" right="0.55000000000000004" top="1" bottom="0.53" header="0.5" footer="0.5"/>
  <pageSetup scale="10" orientation="landscape" horizontalDpi="4294967294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6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4.28515625" style="1" customWidth="1"/>
  </cols>
  <sheetData>
    <row r="1" spans="1:11" ht="15.75" x14ac:dyDescent="0.25">
      <c r="A1" s="4" t="str">
        <f>+System!$A$1</f>
        <v>MINNESOTA STATE - F.Y. 2023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51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Table'!B36</f>
        <v>21226502.449999999</v>
      </c>
      <c r="C9" s="1">
        <f>'Master Expend Table'!C36</f>
        <v>0</v>
      </c>
      <c r="D9" s="1">
        <f>'Master Expend Table'!D36</f>
        <v>1340287.21</v>
      </c>
      <c r="E9" s="1">
        <f>'Master Expend Table'!E36</f>
        <v>0</v>
      </c>
      <c r="G9" s="1">
        <f>'Master Expend Table'!G36</f>
        <v>4913297.3499999996</v>
      </c>
      <c r="H9" s="1">
        <f>'Master Expend Table'!H36</f>
        <v>7200503.46</v>
      </c>
      <c r="I9" s="1">
        <f>'Master Expend Table'!I36</f>
        <v>9103344.4600000009</v>
      </c>
      <c r="J9" s="1">
        <f>'Master Expend Table'!J36</f>
        <v>4960151.49</v>
      </c>
      <c r="K9" s="1">
        <f>SUM(B9:J9)</f>
        <v>48744086.420000002</v>
      </c>
    </row>
    <row r="11" spans="1:11" x14ac:dyDescent="0.2">
      <c r="A11" t="s">
        <v>3</v>
      </c>
      <c r="B11" s="1">
        <f>(B9/($K9-$J9))*-$J$11</f>
        <v>2404687.196872192</v>
      </c>
      <c r="C11" s="1">
        <f t="shared" ref="C11:I11" si="0">(C9/($K9-$J9))*-$J$11</f>
        <v>0</v>
      </c>
      <c r="D11" s="1">
        <f t="shared" si="0"/>
        <v>151837.14328869808</v>
      </c>
      <c r="E11" s="1">
        <f t="shared" si="0"/>
        <v>0</v>
      </c>
      <c r="G11" s="1">
        <f t="shared" si="0"/>
        <v>556612.81267612078</v>
      </c>
      <c r="H11" s="1">
        <f t="shared" si="0"/>
        <v>815723.57584967662</v>
      </c>
      <c r="I11" s="1">
        <f t="shared" si="0"/>
        <v>1031290.7613133129</v>
      </c>
      <c r="J11" s="1">
        <f>-J9</f>
        <v>-4960151.49</v>
      </c>
      <c r="K11" s="1">
        <v>0</v>
      </c>
    </row>
    <row r="12" spans="1:11" x14ac:dyDescent="0.2">
      <c r="A12" t="s">
        <v>4</v>
      </c>
      <c r="B12" s="1">
        <f>+B9+B11</f>
        <v>23631189.646872193</v>
      </c>
      <c r="C12" s="1">
        <f t="shared" ref="C12:J12" si="1">+C9+C11</f>
        <v>0</v>
      </c>
      <c r="D12" s="1">
        <f t="shared" si="1"/>
        <v>1492124.353288698</v>
      </c>
      <c r="E12" s="1">
        <f t="shared" si="1"/>
        <v>0</v>
      </c>
      <c r="G12" s="1">
        <f t="shared" si="1"/>
        <v>5469910.1626761202</v>
      </c>
      <c r="H12" s="1">
        <f t="shared" si="1"/>
        <v>8016227.0358496765</v>
      </c>
      <c r="I12" s="1">
        <f t="shared" si="1"/>
        <v>10134635.221313315</v>
      </c>
      <c r="J12" s="1">
        <f t="shared" si="1"/>
        <v>0</v>
      </c>
      <c r="K12" s="1">
        <f>SUM(B12:J12)</f>
        <v>48744086.420000002</v>
      </c>
    </row>
    <row r="14" spans="1:11" x14ac:dyDescent="0.2">
      <c r="A14" t="s">
        <v>5</v>
      </c>
      <c r="B14" s="1">
        <f>B$9/($K$9-$J$9-$I$9)*-I14</f>
        <v>6202975.6829299852</v>
      </c>
      <c r="C14" s="1">
        <f t="shared" ref="C14:H14" si="2">C$9/($K$9-$J$9-$I$9)*-$I$14</f>
        <v>0</v>
      </c>
      <c r="D14" s="1">
        <f t="shared" si="2"/>
        <v>391669.28189679567</v>
      </c>
      <c r="E14" s="1">
        <f t="shared" si="2"/>
        <v>0</v>
      </c>
      <c r="G14" s="1">
        <f t="shared" si="2"/>
        <v>1435802.438807074</v>
      </c>
      <c r="H14" s="1">
        <f t="shared" si="2"/>
        <v>2104187.8176794606</v>
      </c>
      <c r="I14" s="1">
        <f>-I12</f>
        <v>-10134635.221313315</v>
      </c>
      <c r="K14" s="1">
        <v>0</v>
      </c>
    </row>
    <row r="15" spans="1:11" x14ac:dyDescent="0.2">
      <c r="A15" t="s">
        <v>4</v>
      </c>
      <c r="B15" s="1">
        <f>+B12+B14</f>
        <v>29834165.329802178</v>
      </c>
      <c r="C15" s="1">
        <f>+C12+C14</f>
        <v>0</v>
      </c>
      <c r="D15" s="1">
        <f>+D12+D14</f>
        <v>1883793.6351854936</v>
      </c>
      <c r="E15" s="1">
        <f>+E12+E14</f>
        <v>0</v>
      </c>
      <c r="G15" s="1">
        <f>+G12+G14</f>
        <v>6905712.6014831942</v>
      </c>
      <c r="H15" s="1">
        <f>+H12+H14</f>
        <v>10120414.853529137</v>
      </c>
      <c r="I15" s="1">
        <f>+I12+I14</f>
        <v>0</v>
      </c>
      <c r="J15" s="1">
        <f>+J12+J14</f>
        <v>0</v>
      </c>
      <c r="K15" s="1">
        <f>SUM(B15:J15)</f>
        <v>48744086.420000002</v>
      </c>
    </row>
    <row r="17" spans="1:11" x14ac:dyDescent="0.2">
      <c r="A17" t="s">
        <v>6</v>
      </c>
      <c r="B17" s="1">
        <f>B$9/($K$9-$J$9-$I$9-$H$9)*-$H$17</f>
        <v>7817333.7153291861</v>
      </c>
      <c r="C17" s="1">
        <f>C$9/($K$9-$J$9-$I$9-$H$9)*-$H$17</f>
        <v>0</v>
      </c>
      <c r="D17" s="1">
        <f>D$9/($K$9-$J$9-$I$9-$H$9)*-$H$17</f>
        <v>493603.33477630885</v>
      </c>
      <c r="E17" s="1">
        <f>E$9/($K$9-$J$9-$I$9-$H$9)*-$H$17</f>
        <v>0</v>
      </c>
      <c r="G17" s="1">
        <f>G$9/($K$9-$J$9-$I$9-$H$9)*-$H$17</f>
        <v>1809477.8034236415</v>
      </c>
      <c r="H17" s="1">
        <f>-H15</f>
        <v>-10120414.853529137</v>
      </c>
      <c r="K17" s="1">
        <v>0</v>
      </c>
    </row>
    <row r="18" spans="1:11" x14ac:dyDescent="0.2">
      <c r="A18" t="s">
        <v>4</v>
      </c>
      <c r="B18" s="1">
        <f>+B15+B17</f>
        <v>37651499.045131363</v>
      </c>
      <c r="C18" s="1">
        <f>+C15+C17</f>
        <v>0</v>
      </c>
      <c r="D18" s="1">
        <f>+D15+D17</f>
        <v>2377396.9699618025</v>
      </c>
      <c r="E18" s="1">
        <f>+E15+E17</f>
        <v>0</v>
      </c>
      <c r="G18" s="1">
        <f>+G15+G17</f>
        <v>8715190.4049068354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48744086.420000002</v>
      </c>
    </row>
    <row r="20" spans="1:11" x14ac:dyDescent="0.2">
      <c r="A20" t="s">
        <v>7</v>
      </c>
      <c r="B20" s="1">
        <f>B$9/($K$9-$J$9-$I$9-$H$9-$G$9)*-$G$20</f>
        <v>8197577.6470267978</v>
      </c>
      <c r="C20" s="1">
        <f>C$9/($K$9-$J$9-$I$9-$H$9-$G$9)*-$G$20</f>
        <v>0</v>
      </c>
      <c r="D20" s="1">
        <f>D$9/($K$9-$J$9-$I$9-$H$9-$G$9)*-$G$20</f>
        <v>517612.75788003928</v>
      </c>
      <c r="E20" s="1">
        <f>E$9/($K$9-$J$9-$I$9-$H$9-$G$9)*-$G$20</f>
        <v>0</v>
      </c>
      <c r="G20" s="1">
        <f>-G18</f>
        <v>-8715190.4049068354</v>
      </c>
      <c r="K20" s="1">
        <f>SUM(B20:J20)</f>
        <v>0</v>
      </c>
    </row>
    <row r="22" spans="1:11" x14ac:dyDescent="0.2">
      <c r="A22" t="s">
        <v>8</v>
      </c>
      <c r="B22" s="1">
        <f>+B20+B18</f>
        <v>45849076.692158163</v>
      </c>
      <c r="C22" s="1">
        <f t="shared" ref="C22:K22" si="3">+C20+C18</f>
        <v>0</v>
      </c>
      <c r="D22" s="1">
        <f t="shared" si="3"/>
        <v>2895009.727841842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48744086.420000002</v>
      </c>
    </row>
    <row r="27" spans="1:11" x14ac:dyDescent="0.2">
      <c r="A27" t="s">
        <v>9</v>
      </c>
      <c r="B27" s="1">
        <f>+B9</f>
        <v>21226502.449999999</v>
      </c>
    </row>
    <row r="28" spans="1:11" x14ac:dyDescent="0.2">
      <c r="A28" t="s">
        <v>10</v>
      </c>
      <c r="B28" s="1">
        <f>+B22-B27</f>
        <v>24622574.242158163</v>
      </c>
    </row>
    <row r="29" spans="1:11" x14ac:dyDescent="0.2">
      <c r="A29" s="22" t="s">
        <v>105</v>
      </c>
      <c r="B29" s="1">
        <v>3447</v>
      </c>
    </row>
    <row r="30" spans="1:11" x14ac:dyDescent="0.2">
      <c r="A30" t="s">
        <v>11</v>
      </c>
      <c r="B30" s="1">
        <f>+B28/B29</f>
        <v>7143.189510344695</v>
      </c>
    </row>
  </sheetData>
  <phoneticPr fontId="0" type="noConversion"/>
  <pageMargins left="0.56000000000000005" right="0.55000000000000004" top="1" bottom="0.53" header="0.5" footer="0.5"/>
  <pageSetup scale="10" orientation="landscape" horizontalDpi="4294967294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7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3.7109375" style="1" customWidth="1"/>
  </cols>
  <sheetData>
    <row r="1" spans="1:11" ht="15.75" x14ac:dyDescent="0.25">
      <c r="A1" s="4" t="str">
        <f>+System!$A$1</f>
        <v>MINNESOTA STATE - F.Y. 2023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59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Table'!B37</f>
        <v>12934007.23</v>
      </c>
      <c r="C9" s="1">
        <f>'Master Expend Table'!C37</f>
        <v>0</v>
      </c>
      <c r="D9" s="1">
        <f>'Master Expend Table'!D37</f>
        <v>1670053.82</v>
      </c>
      <c r="E9" s="1">
        <f>'Master Expend Table'!E37</f>
        <v>174453.62</v>
      </c>
      <c r="G9" s="1">
        <f>'Master Expend Table'!G37</f>
        <v>4581439.03</v>
      </c>
      <c r="H9" s="1">
        <f>'Master Expend Table'!H37</f>
        <v>4498699.05</v>
      </c>
      <c r="I9" s="1">
        <f>'Master Expend Table'!I37</f>
        <v>4321909.62</v>
      </c>
      <c r="J9" s="1">
        <f>'Master Expend Table'!J37</f>
        <v>2738089.59</v>
      </c>
      <c r="K9" s="1">
        <f>SUM(B9:J9)</f>
        <v>30918651.960000001</v>
      </c>
    </row>
    <row r="11" spans="1:11" x14ac:dyDescent="0.2">
      <c r="A11" t="s">
        <v>3</v>
      </c>
      <c r="B11" s="1">
        <f>(B9/($K9-$J9))*-$J$11</f>
        <v>1256698.5033325201</v>
      </c>
      <c r="C11" s="1">
        <f t="shared" ref="C11:I11" si="0">(C9/($K9-$J9))*-$J$11</f>
        <v>0</v>
      </c>
      <c r="D11" s="1">
        <f t="shared" si="0"/>
        <v>162266.34938093799</v>
      </c>
      <c r="E11" s="1">
        <f t="shared" si="0"/>
        <v>16950.323225924174</v>
      </c>
      <c r="G11" s="1">
        <f t="shared" si="0"/>
        <v>445143.37047499797</v>
      </c>
      <c r="H11" s="1">
        <f t="shared" si="0"/>
        <v>437104.15979707392</v>
      </c>
      <c r="I11" s="1">
        <f t="shared" si="0"/>
        <v>419926.88378854579</v>
      </c>
      <c r="J11" s="1">
        <f>-J9</f>
        <v>-2738089.59</v>
      </c>
      <c r="K11" s="1">
        <v>0</v>
      </c>
    </row>
    <row r="12" spans="1:11" x14ac:dyDescent="0.2">
      <c r="A12" t="s">
        <v>4</v>
      </c>
      <c r="B12" s="1">
        <f>+B9+B11</f>
        <v>14190705.73333252</v>
      </c>
      <c r="C12" s="1">
        <f t="shared" ref="C12:J12" si="1">+C9+C11</f>
        <v>0</v>
      </c>
      <c r="D12" s="1">
        <f t="shared" si="1"/>
        <v>1832320.1693809382</v>
      </c>
      <c r="E12" s="1">
        <f t="shared" si="1"/>
        <v>191403.94322592416</v>
      </c>
      <c r="G12" s="1">
        <f t="shared" si="1"/>
        <v>5026582.4004749982</v>
      </c>
      <c r="H12" s="1">
        <f t="shared" si="1"/>
        <v>4935803.2097970741</v>
      </c>
      <c r="I12" s="1">
        <f t="shared" si="1"/>
        <v>4741836.5037885457</v>
      </c>
      <c r="J12" s="1">
        <f t="shared" si="1"/>
        <v>0</v>
      </c>
      <c r="K12" s="1">
        <f>SUM(B12:J12)</f>
        <v>30918651.960000001</v>
      </c>
    </row>
    <row r="14" spans="1:11" x14ac:dyDescent="0.2">
      <c r="A14" t="s">
        <v>5</v>
      </c>
      <c r="B14" s="1">
        <f>B$9/($K$9-$J$9-$I$9)*-I14</f>
        <v>2570595.5933944751</v>
      </c>
      <c r="C14" s="1">
        <f t="shared" ref="C14:H14" si="2">C$9/($K$9-$J$9-$I$9)*-$I$14</f>
        <v>0</v>
      </c>
      <c r="D14" s="1">
        <f t="shared" si="2"/>
        <v>331918.24575960211</v>
      </c>
      <c r="E14" s="1">
        <f t="shared" si="2"/>
        <v>34672.13979775348</v>
      </c>
      <c r="G14" s="1">
        <f t="shared" si="2"/>
        <v>910547.42528727185</v>
      </c>
      <c r="H14" s="1">
        <f t="shared" si="2"/>
        <v>894103.09954944334</v>
      </c>
      <c r="I14" s="1">
        <f>-I12</f>
        <v>-4741836.5037885457</v>
      </c>
      <c r="K14" s="1">
        <v>0</v>
      </c>
    </row>
    <row r="15" spans="1:11" x14ac:dyDescent="0.2">
      <c r="A15" t="s">
        <v>4</v>
      </c>
      <c r="B15" s="1">
        <f>+B12+B14</f>
        <v>16761301.326726995</v>
      </c>
      <c r="C15" s="1">
        <f>+C12+C14</f>
        <v>0</v>
      </c>
      <c r="D15" s="1">
        <f>+D12+D14</f>
        <v>2164238.4151405403</v>
      </c>
      <c r="E15" s="1">
        <f>+E12+E14</f>
        <v>226076.08302367764</v>
      </c>
      <c r="G15" s="1">
        <f>+G12+G14</f>
        <v>5937129.82576227</v>
      </c>
      <c r="H15" s="1">
        <f>+H12+H14</f>
        <v>5829906.3093465175</v>
      </c>
      <c r="I15" s="1">
        <f>+I12+I14</f>
        <v>0</v>
      </c>
      <c r="J15" s="1">
        <f>+J12+J14</f>
        <v>0</v>
      </c>
      <c r="K15" s="1">
        <f>SUM(B15:J15)</f>
        <v>30918651.960000001</v>
      </c>
    </row>
    <row r="17" spans="1:11" x14ac:dyDescent="0.2">
      <c r="A17" t="s">
        <v>6</v>
      </c>
      <c r="B17" s="1">
        <f>B$9/($K$9-$J$9-$I$9-$H$9)*-$H$17</f>
        <v>3894846.6263796119</v>
      </c>
      <c r="C17" s="1">
        <f>C$9/($K$9-$J$9-$I$9-$H$9)*-$H$17</f>
        <v>0</v>
      </c>
      <c r="D17" s="1">
        <f>D$9/($K$9-$J$9-$I$9-$H$9)*-$H$17</f>
        <v>502907.05510138976</v>
      </c>
      <c r="E17" s="1">
        <f>E$9/($K$9-$J$9-$I$9-$H$9)*-$H$17</f>
        <v>52533.610135975679</v>
      </c>
      <c r="G17" s="1">
        <f>G$9/($K$9-$J$9-$I$9-$H$9)*-$H$17</f>
        <v>1379619.0177295411</v>
      </c>
      <c r="H17" s="1">
        <f>-H15</f>
        <v>-5829906.3093465175</v>
      </c>
      <c r="K17" s="1">
        <v>0</v>
      </c>
    </row>
    <row r="18" spans="1:11" x14ac:dyDescent="0.2">
      <c r="A18" t="s">
        <v>4</v>
      </c>
      <c r="B18" s="1">
        <f>+B15+B17</f>
        <v>20656147.953106608</v>
      </c>
      <c r="C18" s="1">
        <f>+C15+C17</f>
        <v>0</v>
      </c>
      <c r="D18" s="1">
        <f>+D15+D17</f>
        <v>2667145.4702419303</v>
      </c>
      <c r="E18" s="1">
        <f>+E15+E17</f>
        <v>278609.69315965334</v>
      </c>
      <c r="G18" s="1">
        <f>+G15+G17</f>
        <v>7316748.8434918113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30918651.960000005</v>
      </c>
    </row>
    <row r="20" spans="1:11" x14ac:dyDescent="0.2">
      <c r="A20" t="s">
        <v>7</v>
      </c>
      <c r="B20" s="1">
        <f>B$9/($K$9-$J$9-$I$9-$H$9-$G$9)*-$G$20</f>
        <v>6403544.9133412298</v>
      </c>
      <c r="C20" s="1">
        <f>C$9/($K$9-$J$9-$I$9-$H$9-$G$9)*-$G$20</f>
        <v>0</v>
      </c>
      <c r="D20" s="1">
        <f>D$9/($K$9-$J$9-$I$9-$H$9-$G$9)*-$G$20</f>
        <v>826833.04979620688</v>
      </c>
      <c r="E20" s="1">
        <f>E$9/($K$9-$J$9-$I$9-$H$9-$G$9)*-$G$20</f>
        <v>86370.880354375971</v>
      </c>
      <c r="G20" s="1">
        <f>-G18</f>
        <v>-7316748.8434918113</v>
      </c>
      <c r="K20" s="1">
        <f>SUM(B20:J20)</f>
        <v>0</v>
      </c>
    </row>
    <row r="22" spans="1:11" x14ac:dyDescent="0.2">
      <c r="A22" t="s">
        <v>8</v>
      </c>
      <c r="B22" s="1">
        <f>+B20+B18</f>
        <v>27059692.866447836</v>
      </c>
      <c r="C22" s="1">
        <f t="shared" ref="C22:K22" si="3">+C20+C18</f>
        <v>0</v>
      </c>
      <c r="D22" s="1">
        <f t="shared" si="3"/>
        <v>3493978.5200381372</v>
      </c>
      <c r="E22" s="1">
        <f t="shared" si="3"/>
        <v>364980.57351402933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30918651.960000005</v>
      </c>
    </row>
    <row r="27" spans="1:11" x14ac:dyDescent="0.2">
      <c r="A27" t="s">
        <v>9</v>
      </c>
      <c r="B27" s="1">
        <f>+B9</f>
        <v>12934007.23</v>
      </c>
    </row>
    <row r="28" spans="1:11" x14ac:dyDescent="0.2">
      <c r="A28" t="s">
        <v>10</v>
      </c>
      <c r="B28" s="1">
        <f>+B22-B27</f>
        <v>14125685.636447836</v>
      </c>
    </row>
    <row r="29" spans="1:11" x14ac:dyDescent="0.2">
      <c r="A29" s="22" t="s">
        <v>105</v>
      </c>
      <c r="B29" s="1">
        <v>1835</v>
      </c>
    </row>
    <row r="30" spans="1:11" x14ac:dyDescent="0.2">
      <c r="A30" t="s">
        <v>11</v>
      </c>
      <c r="B30" s="1">
        <f>+B28/B29</f>
        <v>7697.9213277644885</v>
      </c>
    </row>
  </sheetData>
  <phoneticPr fontId="0" type="noConversion"/>
  <pageMargins left="0.61" right="0.55000000000000004" top="1" bottom="0.56000000000000005" header="0.5" footer="0.5"/>
  <pageSetup scale="10" orientation="landscape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30"/>
  <sheetViews>
    <sheetView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9.28515625" style="1" customWidth="1"/>
    <col min="6" max="6" width="2.7109375" style="1" customWidth="1"/>
    <col min="7" max="7" width="11.28515625" style="1" bestFit="1" customWidth="1"/>
    <col min="8" max="8" width="10.28515625" style="1" customWidth="1"/>
    <col min="9" max="9" width="11.28515625" style="1" bestFit="1" customWidth="1"/>
    <col min="10" max="10" width="10.28515625" style="1" customWidth="1"/>
    <col min="11" max="11" width="10.7109375" style="1" customWidth="1"/>
  </cols>
  <sheetData>
    <row r="1" spans="1:11" ht="15.75" x14ac:dyDescent="0.25">
      <c r="A1" s="4" t="str">
        <f>+System!$A$1</f>
        <v>MINNESOTA STATE - F.Y. 2023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64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Table'!B7</f>
        <v>33179996.299999997</v>
      </c>
      <c r="C9" s="1">
        <f>'Master Expend Table'!C7</f>
        <v>44672.58</v>
      </c>
      <c r="D9" s="1">
        <f>'Master Expend Table'!D7</f>
        <v>1072729.44</v>
      </c>
      <c r="E9" s="1">
        <f>'Master Expend Table'!E7</f>
        <v>123751.43</v>
      </c>
      <c r="G9" s="1">
        <f>'Master Expend Table'!G7</f>
        <v>8739596.2200000007</v>
      </c>
      <c r="H9" s="1">
        <f>'Master Expend Table'!H7</f>
        <v>7411975.3200000003</v>
      </c>
      <c r="I9" s="1">
        <f>'Master Expend Table'!I7</f>
        <v>9617852.0500000007</v>
      </c>
      <c r="J9" s="1">
        <f>'Master Expend Table'!J7</f>
        <v>7455657.5700000003</v>
      </c>
      <c r="K9" s="1">
        <f>SUM(B9:J9)</f>
        <v>67646230.909999996</v>
      </c>
    </row>
    <row r="11" spans="1:11" x14ac:dyDescent="0.2">
      <c r="A11" t="s">
        <v>3</v>
      </c>
      <c r="B11" s="1">
        <f>(B9/($K9-$J9))*-$J$11</f>
        <v>4109924.1435912689</v>
      </c>
      <c r="C11" s="1">
        <f t="shared" ref="C11:I11" si="0">(C9/($K9-$J9))*-$J$11</f>
        <v>5533.4820847617902</v>
      </c>
      <c r="D11" s="1">
        <f t="shared" si="0"/>
        <v>132876.34468473832</v>
      </c>
      <c r="E11" s="1">
        <f t="shared" si="0"/>
        <v>15328.78380583017</v>
      </c>
      <c r="G11" s="1">
        <f t="shared" si="0"/>
        <v>1082552.1855111541</v>
      </c>
      <c r="H11" s="1">
        <f t="shared" si="0"/>
        <v>918103.06559228362</v>
      </c>
      <c r="I11" s="1">
        <f t="shared" si="0"/>
        <v>1191339.5647299632</v>
      </c>
      <c r="J11" s="1">
        <f>-J9</f>
        <v>-7455657.5700000003</v>
      </c>
      <c r="K11" s="1">
        <v>0</v>
      </c>
    </row>
    <row r="12" spans="1:11" x14ac:dyDescent="0.2">
      <c r="A12" t="s">
        <v>4</v>
      </c>
      <c r="B12" s="1">
        <f>+B9+B11</f>
        <v>37289920.443591267</v>
      </c>
      <c r="C12" s="1">
        <f t="shared" ref="C12:J12" si="1">+C9+C11</f>
        <v>50206.06208476179</v>
      </c>
      <c r="D12" s="1">
        <f t="shared" si="1"/>
        <v>1205605.7846847381</v>
      </c>
      <c r="E12" s="1">
        <f t="shared" si="1"/>
        <v>139080.21380583016</v>
      </c>
      <c r="G12" s="1">
        <f t="shared" si="1"/>
        <v>9822148.4055111557</v>
      </c>
      <c r="H12" s="1">
        <f t="shared" si="1"/>
        <v>8330078.3855922837</v>
      </c>
      <c r="I12" s="1">
        <f t="shared" si="1"/>
        <v>10809191.614729963</v>
      </c>
      <c r="J12" s="1">
        <f t="shared" si="1"/>
        <v>0</v>
      </c>
      <c r="K12" s="1">
        <f>SUM(B12:J12)</f>
        <v>67646230.909999996</v>
      </c>
    </row>
    <row r="14" spans="1:11" x14ac:dyDescent="0.2">
      <c r="A14" t="s">
        <v>5</v>
      </c>
      <c r="B14" s="1">
        <f>B$9/($K$9-$J$9-$I$9)*-I14</f>
        <v>7091746.8673699526</v>
      </c>
      <c r="C14" s="1">
        <f t="shared" ref="C14:H14" si="2">C$9/($K$9-$J$9-$I$9)*-$I$14</f>
        <v>9548.1212959729492</v>
      </c>
      <c r="D14" s="1">
        <f t="shared" si="2"/>
        <v>229280.48505103434</v>
      </c>
      <c r="E14" s="1">
        <f t="shared" si="2"/>
        <v>26450.087820987854</v>
      </c>
      <c r="G14" s="1">
        <f t="shared" si="2"/>
        <v>1867962.9604197179</v>
      </c>
      <c r="H14" s="1">
        <f t="shared" si="2"/>
        <v>1584203.0927722983</v>
      </c>
      <c r="I14" s="1">
        <f>-I12</f>
        <v>-10809191.614729963</v>
      </c>
      <c r="K14" s="1">
        <v>0</v>
      </c>
    </row>
    <row r="15" spans="1:11" x14ac:dyDescent="0.2">
      <c r="A15" t="s">
        <v>4</v>
      </c>
      <c r="B15" s="1">
        <f>+B12+B14</f>
        <v>44381667.310961217</v>
      </c>
      <c r="C15" s="1">
        <f>+C12+C14</f>
        <v>59754.183380734743</v>
      </c>
      <c r="D15" s="1">
        <f>+D12+D14</f>
        <v>1434886.2697357724</v>
      </c>
      <c r="E15" s="1">
        <f>+E12+E14</f>
        <v>165530.30162681802</v>
      </c>
      <c r="G15" s="1">
        <f>+G12+G14</f>
        <v>11690111.365930874</v>
      </c>
      <c r="H15" s="1">
        <f>+H12+H14</f>
        <v>9914281.4783645812</v>
      </c>
      <c r="I15" s="1">
        <f>+I12+I14</f>
        <v>0</v>
      </c>
      <c r="J15" s="1">
        <f>+J12+J14</f>
        <v>0</v>
      </c>
      <c r="K15" s="1">
        <f>SUM(B15:J15)</f>
        <v>67646230.910000011</v>
      </c>
    </row>
    <row r="17" spans="1:11" x14ac:dyDescent="0.2">
      <c r="A17" t="s">
        <v>6</v>
      </c>
      <c r="B17" s="1">
        <f>B$9/($K$9-$J$9-$I$9-$H$9)*-$H$17</f>
        <v>7621643.5878551463</v>
      </c>
      <c r="C17" s="1">
        <f>C$9/($K$9-$J$9-$I$9-$H$9)*-$H$17</f>
        <v>10261.558796796675</v>
      </c>
      <c r="D17" s="1">
        <f>D$9/($K$9-$J$9-$I$9-$H$9)*-$H$17</f>
        <v>246412.36798086812</v>
      </c>
      <c r="E17" s="1">
        <f>E$9/($K$9-$J$9-$I$9-$H$9)*-$H$17</f>
        <v>28426.443584244917</v>
      </c>
      <c r="G17" s="1">
        <f>G$9/($K$9-$J$9-$I$9-$H$9)*-$H$17</f>
        <v>2007537.5201475262</v>
      </c>
      <c r="H17" s="1">
        <f>-H15</f>
        <v>-9914281.4783645812</v>
      </c>
      <c r="K17" s="1">
        <v>0</v>
      </c>
    </row>
    <row r="18" spans="1:11" x14ac:dyDescent="0.2">
      <c r="A18" t="s">
        <v>4</v>
      </c>
      <c r="B18" s="1">
        <f>+B15+B17</f>
        <v>52003310.898816362</v>
      </c>
      <c r="C18" s="1">
        <f>+C15+C17</f>
        <v>70015.742177531414</v>
      </c>
      <c r="D18" s="1">
        <f>+D15+D17</f>
        <v>1681298.6377166405</v>
      </c>
      <c r="E18" s="1">
        <f>+E15+E17</f>
        <v>193956.74521106295</v>
      </c>
      <c r="G18" s="1">
        <f>+G15+G17</f>
        <v>13697648.886078401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67646230.909999996</v>
      </c>
    </row>
    <row r="20" spans="1:11" x14ac:dyDescent="0.2">
      <c r="A20" t="s">
        <v>7</v>
      </c>
      <c r="B20" s="1">
        <f>B$9/($K$9-$J$9-$I$9-$H$9-$G$9)*-$G$20</f>
        <v>13203740.800633207</v>
      </c>
      <c r="C20" s="1">
        <f>C$9/($K$9-$J$9-$I$9-$H$9-$G$9)*-$G$20</f>
        <v>17777.131795989713</v>
      </c>
      <c r="D20" s="1">
        <f>D$9/($K$9-$J$9-$I$9-$H$9-$G$9)*-$G$20</f>
        <v>426884.96246060199</v>
      </c>
      <c r="E20" s="1">
        <f>E$9/($K$9-$J$9-$I$9-$H$9-$G$9)*-$G$20</f>
        <v>49245.99118860373</v>
      </c>
      <c r="G20" s="1">
        <f>-G18</f>
        <v>-13697648.886078401</v>
      </c>
      <c r="K20" s="1">
        <f>SUM(B20:J20)</f>
        <v>0</v>
      </c>
    </row>
    <row r="22" spans="1:11" x14ac:dyDescent="0.2">
      <c r="A22" t="s">
        <v>8</v>
      </c>
      <c r="B22" s="1">
        <f>+B20+B18</f>
        <v>65207051.699449569</v>
      </c>
      <c r="C22" s="1">
        <f t="shared" ref="C22:K22" si="3">+C20+C18</f>
        <v>87792.873973521127</v>
      </c>
      <c r="D22" s="1">
        <f t="shared" si="3"/>
        <v>2108183.6001772424</v>
      </c>
      <c r="E22" s="1">
        <f t="shared" si="3"/>
        <v>243202.7363996667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67646230.909999996</v>
      </c>
    </row>
    <row r="27" spans="1:11" x14ac:dyDescent="0.2">
      <c r="A27" t="s">
        <v>9</v>
      </c>
      <c r="B27" s="1">
        <f>+B9</f>
        <v>33179996.299999997</v>
      </c>
    </row>
    <row r="28" spans="1:11" x14ac:dyDescent="0.2">
      <c r="A28" t="s">
        <v>10</v>
      </c>
      <c r="B28" s="1">
        <f>+B22-B27</f>
        <v>32027055.399449572</v>
      </c>
    </row>
    <row r="29" spans="1:11" x14ac:dyDescent="0.2">
      <c r="A29" s="22" t="s">
        <v>105</v>
      </c>
      <c r="B29" s="1">
        <f>'ANOKARAM CC'!B29+'ANOKA TC'!B29</f>
        <v>5698</v>
      </c>
    </row>
    <row r="30" spans="1:11" x14ac:dyDescent="0.2">
      <c r="A30" t="s">
        <v>11</v>
      </c>
      <c r="B30" s="1">
        <f>+B28/B29</f>
        <v>5620.7538433572436</v>
      </c>
    </row>
  </sheetData>
  <pageMargins left="0.7" right="0.7" top="0.75" bottom="0.75" header="0.3" footer="0.3"/>
  <pageSetup scale="97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38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3.7109375" style="1" customWidth="1"/>
  </cols>
  <sheetData>
    <row r="1" spans="1:11" ht="15.75" x14ac:dyDescent="0.25">
      <c r="A1" s="4" t="str">
        <f>+System!$A$1</f>
        <v>MINNESOTA STATE - F.Y. 2023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50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Table'!B38</f>
        <v>17695777.59</v>
      </c>
      <c r="C9" s="1">
        <f>'Master Expend Table'!C38</f>
        <v>86835.75</v>
      </c>
      <c r="D9" s="1">
        <f>'Master Expend Table'!D38</f>
        <v>106620.13</v>
      </c>
      <c r="E9" s="1">
        <f>'Master Expend Table'!E38</f>
        <v>3695824.72</v>
      </c>
      <c r="G9" s="1">
        <f>'Master Expend Table'!G38</f>
        <v>6266166.8600000003</v>
      </c>
      <c r="H9" s="1">
        <f>'Master Expend Table'!H38</f>
        <v>6842827.8399999999</v>
      </c>
      <c r="I9" s="1">
        <f>'Master Expend Table'!I38</f>
        <v>6594888.4800000004</v>
      </c>
      <c r="J9" s="1">
        <f>'Master Expend Table'!J38</f>
        <v>4458052.88</v>
      </c>
      <c r="K9" s="1">
        <f>SUM(B9:J9)</f>
        <v>45746994.250000007</v>
      </c>
    </row>
    <row r="11" spans="1:11" x14ac:dyDescent="0.2">
      <c r="A11" t="s">
        <v>3</v>
      </c>
      <c r="B11" s="1">
        <f>(B9/($K9-$J9))*-$J$11</f>
        <v>1910649.9133024137</v>
      </c>
      <c r="C11" s="1">
        <f t="shared" ref="C11:I11" si="0">(C9/($K9-$J9))*-$J$11</f>
        <v>9375.8365443521652</v>
      </c>
      <c r="D11" s="1">
        <f t="shared" si="0"/>
        <v>11511.997204119025</v>
      </c>
      <c r="E11" s="1">
        <f t="shared" si="0"/>
        <v>399045.88226964249</v>
      </c>
      <c r="G11" s="1">
        <f t="shared" si="0"/>
        <v>676571.0693924618</v>
      </c>
      <c r="H11" s="1">
        <f t="shared" si="0"/>
        <v>738834.35484788672</v>
      </c>
      <c r="I11" s="1">
        <f t="shared" si="0"/>
        <v>712063.82643912337</v>
      </c>
      <c r="J11" s="1">
        <f>-J9</f>
        <v>-4458052.88</v>
      </c>
      <c r="K11" s="1">
        <v>0</v>
      </c>
    </row>
    <row r="12" spans="1:11" x14ac:dyDescent="0.2">
      <c r="A12" t="s">
        <v>4</v>
      </c>
      <c r="B12" s="1">
        <f>+B9+B11</f>
        <v>19606427.503302414</v>
      </c>
      <c r="C12" s="1">
        <f t="shared" ref="C12:J12" si="1">+C9+C11</f>
        <v>96211.586544352162</v>
      </c>
      <c r="D12" s="1">
        <f t="shared" si="1"/>
        <v>118132.12720411902</v>
      </c>
      <c r="E12" s="1">
        <f t="shared" si="1"/>
        <v>4094870.6022696425</v>
      </c>
      <c r="G12" s="1">
        <f t="shared" si="1"/>
        <v>6942737.9293924626</v>
      </c>
      <c r="H12" s="1">
        <f t="shared" si="1"/>
        <v>7581662.1948478865</v>
      </c>
      <c r="I12" s="1">
        <f t="shared" si="1"/>
        <v>7306952.306439124</v>
      </c>
      <c r="J12" s="1">
        <f t="shared" si="1"/>
        <v>0</v>
      </c>
      <c r="K12" s="1">
        <f>SUM(B12:J12)</f>
        <v>45746994.250000007</v>
      </c>
    </row>
    <row r="14" spans="1:11" x14ac:dyDescent="0.2">
      <c r="A14" t="s">
        <v>5</v>
      </c>
      <c r="B14" s="1">
        <f>B$9/($K$9-$J$9-$I$9)*-I14</f>
        <v>3726927.0121149076</v>
      </c>
      <c r="C14" s="1">
        <f t="shared" ref="C14:H14" si="2">C$9/($K$9-$J$9-$I$9)*-$I$14</f>
        <v>18288.571985395134</v>
      </c>
      <c r="D14" s="1">
        <f t="shared" si="2"/>
        <v>22455.381828304442</v>
      </c>
      <c r="E14" s="1">
        <f t="shared" si="2"/>
        <v>778381.67387421452</v>
      </c>
      <c r="G14" s="1">
        <f t="shared" si="2"/>
        <v>1319724.2344496064</v>
      </c>
      <c r="H14" s="1">
        <f t="shared" si="2"/>
        <v>1441175.4321866962</v>
      </c>
      <c r="I14" s="1">
        <f>-I12</f>
        <v>-7306952.306439124</v>
      </c>
      <c r="K14" s="1">
        <v>0</v>
      </c>
    </row>
    <row r="15" spans="1:11" x14ac:dyDescent="0.2">
      <c r="A15" t="s">
        <v>4</v>
      </c>
      <c r="B15" s="1">
        <f>+B12+B14</f>
        <v>23333354.515417323</v>
      </c>
      <c r="C15" s="1">
        <f>+C12+C14</f>
        <v>114500.15852974729</v>
      </c>
      <c r="D15" s="1">
        <f>+D12+D14</f>
        <v>140587.50903242346</v>
      </c>
      <c r="E15" s="1">
        <f>+E12+E14</f>
        <v>4873252.2761438573</v>
      </c>
      <c r="G15" s="1">
        <f>+G12+G14</f>
        <v>8262462.163842069</v>
      </c>
      <c r="H15" s="1">
        <f>+H12+H14</f>
        <v>9022837.6270345822</v>
      </c>
      <c r="I15" s="1">
        <f>+I12+I14</f>
        <v>0</v>
      </c>
      <c r="J15" s="1">
        <f>+J12+J14</f>
        <v>0</v>
      </c>
      <c r="K15" s="1">
        <f>SUM(B15:J15)</f>
        <v>45746994.25</v>
      </c>
    </row>
    <row r="17" spans="1:11" x14ac:dyDescent="0.2">
      <c r="A17" t="s">
        <v>6</v>
      </c>
      <c r="B17" s="1">
        <f>B$9/($K$9-$J$9-$I$9-$H$9)*-$H$17</f>
        <v>5732822.4375066515</v>
      </c>
      <c r="C17" s="1">
        <f>C$9/($K$9-$J$9-$I$9-$H$9)*-$H$17</f>
        <v>28131.792086889483</v>
      </c>
      <c r="D17" s="1">
        <f>D$9/($K$9-$J$9-$I$9-$H$9)*-$H$17</f>
        <v>34541.249766796835</v>
      </c>
      <c r="E17" s="1">
        <f>E$9/($K$9-$J$9-$I$9-$H$9)*-$H$17</f>
        <v>1197319.9127390108</v>
      </c>
      <c r="G17" s="1">
        <f>G$9/($K$9-$J$9-$I$9-$H$9)*-$H$17</f>
        <v>2030022.2349352329</v>
      </c>
      <c r="H17" s="1">
        <f>-H15</f>
        <v>-9022837.6270345822</v>
      </c>
      <c r="K17" s="1">
        <v>0</v>
      </c>
    </row>
    <row r="18" spans="1:11" x14ac:dyDescent="0.2">
      <c r="A18" t="s">
        <v>4</v>
      </c>
      <c r="B18" s="1">
        <f>+B15+B17</f>
        <v>29066176.952923976</v>
      </c>
      <c r="C18" s="1">
        <f>+C15+C17</f>
        <v>142631.95061663678</v>
      </c>
      <c r="D18" s="1">
        <f>+D15+D17</f>
        <v>175128.75879922029</v>
      </c>
      <c r="E18" s="1">
        <f>+E15+E17</f>
        <v>6070572.1888828678</v>
      </c>
      <c r="G18" s="1">
        <f>+G15+G17</f>
        <v>10292484.398777302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45746994.25</v>
      </c>
    </row>
    <row r="20" spans="1:11" x14ac:dyDescent="0.2">
      <c r="A20" t="s">
        <v>7</v>
      </c>
      <c r="B20" s="1">
        <f>B$9/($K$9-$J$9-$I$9-$H$9-$G$9)*-$G$20</f>
        <v>8437944.1169951279</v>
      </c>
      <c r="C20" s="1">
        <f>C$9/($K$9-$J$9-$I$9-$H$9-$G$9)*-$G$20</f>
        <v>41406.216942476822</v>
      </c>
      <c r="D20" s="1">
        <f>D$9/($K$9-$J$9-$I$9-$H$9-$G$9)*-$G$20</f>
        <v>50840.07719418651</v>
      </c>
      <c r="E20" s="1">
        <f>E$9/($K$9-$J$9-$I$9-$H$9-$G$9)*-$G$20</f>
        <v>1762293.9876455108</v>
      </c>
      <c r="G20" s="1">
        <f>-G18</f>
        <v>-10292484.398777302</v>
      </c>
      <c r="K20" s="1">
        <f>SUM(B20:J20)</f>
        <v>0</v>
      </c>
    </row>
    <row r="22" spans="1:11" x14ac:dyDescent="0.2">
      <c r="A22" t="s">
        <v>8</v>
      </c>
      <c r="B22" s="1">
        <f>+B20+B18</f>
        <v>37504121.069919102</v>
      </c>
      <c r="C22" s="1">
        <f t="shared" ref="C22:K22" si="3">+C20+C18</f>
        <v>184038.16755911359</v>
      </c>
      <c r="D22" s="1">
        <f t="shared" si="3"/>
        <v>225968.8359934068</v>
      </c>
      <c r="E22" s="1">
        <f t="shared" si="3"/>
        <v>7832866.1765283784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45746994.25</v>
      </c>
    </row>
    <row r="27" spans="1:11" x14ac:dyDescent="0.2">
      <c r="A27" t="s">
        <v>9</v>
      </c>
      <c r="B27" s="1">
        <f>+B9</f>
        <v>17695777.59</v>
      </c>
    </row>
    <row r="28" spans="1:11" x14ac:dyDescent="0.2">
      <c r="A28" t="s">
        <v>10</v>
      </c>
      <c r="B28" s="1">
        <f>+B22-B27</f>
        <v>19808343.479919102</v>
      </c>
    </row>
    <row r="29" spans="1:11" x14ac:dyDescent="0.2">
      <c r="A29" s="22" t="s">
        <v>105</v>
      </c>
      <c r="B29" s="1">
        <v>3240</v>
      </c>
    </row>
    <row r="30" spans="1:11" x14ac:dyDescent="0.2">
      <c r="A30" t="s">
        <v>11</v>
      </c>
      <c r="B30" s="1">
        <f>+B28/B29</f>
        <v>6113.6862592342904</v>
      </c>
    </row>
  </sheetData>
  <phoneticPr fontId="0" type="noConversion"/>
  <pageMargins left="0.64" right="0.55000000000000004" top="1" bottom="0.51" header="0.5" footer="0.5"/>
  <pageSetup scale="10" orientation="landscape" horizontalDpi="4294967294" verticalDpi="3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39">
    <pageSetUpPr fitToPage="1"/>
  </sheetPr>
  <dimension ref="A1:K30"/>
  <sheetViews>
    <sheetView zoomScale="90" zoomScaleNormal="90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7" width="11.140625" style="1" customWidth="1"/>
    <col min="8" max="8" width="12.140625" style="1" customWidth="1"/>
    <col min="9" max="10" width="11" style="1" customWidth="1"/>
    <col min="11" max="11" width="14.42578125" style="1" customWidth="1"/>
  </cols>
  <sheetData>
    <row r="1" spans="1:11" ht="15.75" x14ac:dyDescent="0.25">
      <c r="A1" s="4" t="str">
        <f>+System!$A$1</f>
        <v>MINNESOTA STATE - F.Y. 2023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32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Table'!B39</f>
        <v>65213100.039999999</v>
      </c>
      <c r="C9" s="1">
        <f>'Master Expend Table'!C39</f>
        <v>698071.9</v>
      </c>
      <c r="D9" s="1">
        <f>'Master Expend Table'!D39</f>
        <v>2034594.14</v>
      </c>
      <c r="E9" s="1">
        <f>'Master Expend Table'!E39</f>
        <v>5679895.8300000001</v>
      </c>
      <c r="G9" s="1">
        <f>'Master Expend Table'!G39</f>
        <v>22423199.079999998</v>
      </c>
      <c r="H9" s="1">
        <f>'Master Expend Table'!H39</f>
        <v>10785445.470000001</v>
      </c>
      <c r="I9" s="1">
        <f>'Master Expend Table'!I39</f>
        <v>24226593.75</v>
      </c>
      <c r="J9" s="1">
        <f>'Master Expend Table'!J39</f>
        <v>14638363.560000001</v>
      </c>
      <c r="K9" s="1">
        <f>SUM(B9:J9)</f>
        <v>145699263.76999998</v>
      </c>
    </row>
    <row r="11" spans="1:11" x14ac:dyDescent="0.2">
      <c r="A11" t="s">
        <v>3</v>
      </c>
      <c r="B11" s="1">
        <f>(B9/($K9-$J9))*-$J$11</f>
        <v>7283736.5356913162</v>
      </c>
      <c r="C11" s="1">
        <f t="shared" ref="C11:I11" si="0">(C9/($K9-$J9))*-$J$11</f>
        <v>77968.564589794274</v>
      </c>
      <c r="D11" s="1">
        <f t="shared" si="0"/>
        <v>227246.48366250942</v>
      </c>
      <c r="E11" s="1">
        <f t="shared" si="0"/>
        <v>634395.00269908889</v>
      </c>
      <c r="G11" s="1">
        <f t="shared" si="0"/>
        <v>2504476.4669352761</v>
      </c>
      <c r="H11" s="1">
        <f t="shared" si="0"/>
        <v>1204640.5273688843</v>
      </c>
      <c r="I11" s="1">
        <f t="shared" si="0"/>
        <v>2705899.9790531336</v>
      </c>
      <c r="J11" s="1">
        <f>-J9</f>
        <v>-14638363.560000001</v>
      </c>
      <c r="K11" s="1">
        <v>0</v>
      </c>
    </row>
    <row r="12" spans="1:11" x14ac:dyDescent="0.2">
      <c r="A12" t="s">
        <v>4</v>
      </c>
      <c r="B12" s="1">
        <f>+B9+B11</f>
        <v>72496836.575691313</v>
      </c>
      <c r="C12" s="1">
        <f t="shared" ref="C12:J12" si="1">+C9+C11</f>
        <v>776040.46458979428</v>
      </c>
      <c r="D12" s="1">
        <f t="shared" si="1"/>
        <v>2261840.6236625095</v>
      </c>
      <c r="E12" s="1">
        <f t="shared" si="1"/>
        <v>6314290.8326990893</v>
      </c>
      <c r="G12" s="1">
        <f t="shared" si="1"/>
        <v>24927675.546935275</v>
      </c>
      <c r="H12" s="1">
        <f t="shared" si="1"/>
        <v>11990085.997368885</v>
      </c>
      <c r="I12" s="1">
        <f t="shared" si="1"/>
        <v>26932493.729053132</v>
      </c>
      <c r="J12" s="1">
        <f t="shared" si="1"/>
        <v>0</v>
      </c>
      <c r="K12" s="1">
        <f>SUM(B12:J12)</f>
        <v>145699263.77000001</v>
      </c>
    </row>
    <row r="14" spans="1:11" x14ac:dyDescent="0.2">
      <c r="A14" t="s">
        <v>5</v>
      </c>
      <c r="B14" s="1">
        <f>B$9/($K$9-$J$9-$I$9)*-I14</f>
        <v>16439957.033249551</v>
      </c>
      <c r="C14" s="1">
        <f t="shared" ref="C14:H14" si="2">C$9/($K$9-$J$9-$I$9)*-$I$14</f>
        <v>175981.08409322106</v>
      </c>
      <c r="D14" s="1">
        <f t="shared" si="2"/>
        <v>512912.89972696902</v>
      </c>
      <c r="E14" s="1">
        <f t="shared" si="2"/>
        <v>1431878.6155121925</v>
      </c>
      <c r="G14" s="1">
        <f t="shared" si="2"/>
        <v>5652797.2017445723</v>
      </c>
      <c r="H14" s="1">
        <f t="shared" si="2"/>
        <v>2718966.8947266322</v>
      </c>
      <c r="I14" s="1">
        <f>-I12</f>
        <v>-26932493.729053132</v>
      </c>
      <c r="K14" s="1">
        <v>0</v>
      </c>
    </row>
    <row r="15" spans="1:11" x14ac:dyDescent="0.2">
      <c r="A15" t="s">
        <v>4</v>
      </c>
      <c r="B15" s="1">
        <f>+B12+B14</f>
        <v>88936793.60894087</v>
      </c>
      <c r="C15" s="1">
        <f>+C12+C14</f>
        <v>952021.5486830154</v>
      </c>
      <c r="D15" s="1">
        <f>+D12+D14</f>
        <v>2774753.5233894787</v>
      </c>
      <c r="E15" s="1">
        <f>+E12+E14</f>
        <v>7746169.4482112816</v>
      </c>
      <c r="G15" s="1">
        <f>+G12+G14</f>
        <v>30580472.748679847</v>
      </c>
      <c r="H15" s="1">
        <f>+H12+H14</f>
        <v>14709052.892095517</v>
      </c>
      <c r="I15" s="1">
        <f>+I12+I14</f>
        <v>0</v>
      </c>
      <c r="J15" s="1">
        <f>+J12+J14</f>
        <v>0</v>
      </c>
      <c r="K15" s="1">
        <f>SUM(B15:J15)</f>
        <v>145699263.77000001</v>
      </c>
    </row>
    <row r="17" spans="1:11" x14ac:dyDescent="0.2">
      <c r="A17" t="s">
        <v>6</v>
      </c>
      <c r="B17" s="1">
        <f>B$9/($K$9-$J$9-$I$9-$H$9)*-$H$17</f>
        <v>9986822.6219334826</v>
      </c>
      <c r="C17" s="1">
        <f>C$9/($K$9-$J$9-$I$9-$H$9)*-$H$17</f>
        <v>106903.67791716606</v>
      </c>
      <c r="D17" s="1">
        <f>D$9/($K$9-$J$9-$I$9-$H$9)*-$H$17</f>
        <v>311580.50715794956</v>
      </c>
      <c r="E17" s="1">
        <f>E$9/($K$9-$J$9-$I$9-$H$9)*-$H$17</f>
        <v>869826.95394754398</v>
      </c>
      <c r="G17" s="1">
        <f>G$9/($K$9-$J$9-$I$9-$H$9)*-$H$17</f>
        <v>3433919.1311393767</v>
      </c>
      <c r="H17" s="1">
        <f>-H15</f>
        <v>-14709052.892095517</v>
      </c>
      <c r="K17" s="1">
        <v>0</v>
      </c>
    </row>
    <row r="18" spans="1:11" x14ac:dyDescent="0.2">
      <c r="A18" t="s">
        <v>4</v>
      </c>
      <c r="B18" s="1">
        <f>+B15+B17</f>
        <v>98923616.23087436</v>
      </c>
      <c r="C18" s="1">
        <f>+C15+C17</f>
        <v>1058925.2266001815</v>
      </c>
      <c r="D18" s="1">
        <f>+D15+D17</f>
        <v>3086334.0305474284</v>
      </c>
      <c r="E18" s="1">
        <f>+E15+E17</f>
        <v>8615996.4021588247</v>
      </c>
      <c r="G18" s="1">
        <f>+G15+G17</f>
        <v>34014391.879819222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145699263.77000001</v>
      </c>
    </row>
    <row r="20" spans="1:11" x14ac:dyDescent="0.2">
      <c r="A20" t="s">
        <v>7</v>
      </c>
      <c r="B20" s="1">
        <f>B$9/($K$9-$J$9-$I$9-$H$9-$G$9)*-$G$20</f>
        <v>30127864.156520899</v>
      </c>
      <c r="C20" s="1">
        <f>C$9/($K$9-$J$9-$I$9-$H$9-$G$9)*-$G$20</f>
        <v>322502.9229063536</v>
      </c>
      <c r="D20" s="1">
        <f>D$9/($K$9-$J$9-$I$9-$H$9-$G$9)*-$G$20</f>
        <v>939964.14563906484</v>
      </c>
      <c r="E20" s="1">
        <f>E$9/($K$9-$J$9-$I$9-$H$9-$G$9)*-$G$20</f>
        <v>2624060.6547529115</v>
      </c>
      <c r="G20" s="1">
        <f>-G18</f>
        <v>-34014391.879819222</v>
      </c>
      <c r="K20" s="1">
        <f>SUM(B20:J20)</f>
        <v>0</v>
      </c>
    </row>
    <row r="22" spans="1:11" x14ac:dyDescent="0.2">
      <c r="A22" t="s">
        <v>8</v>
      </c>
      <c r="B22" s="1">
        <f>+B20+B18</f>
        <v>129051480.38739526</v>
      </c>
      <c r="C22" s="1">
        <f t="shared" ref="C22:K22" si="3">+C20+C18</f>
        <v>1381428.1495065351</v>
      </c>
      <c r="D22" s="1">
        <f t="shared" si="3"/>
        <v>4026298.1761864931</v>
      </c>
      <c r="E22" s="1">
        <f t="shared" si="3"/>
        <v>11240057.056911737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145699263.77000001</v>
      </c>
    </row>
    <row r="27" spans="1:11" x14ac:dyDescent="0.2">
      <c r="A27" t="s">
        <v>9</v>
      </c>
      <c r="B27" s="1">
        <f>+B9</f>
        <v>65213100.039999999</v>
      </c>
    </row>
    <row r="28" spans="1:11" x14ac:dyDescent="0.2">
      <c r="A28" t="s">
        <v>10</v>
      </c>
      <c r="B28" s="1">
        <f>+B22-B27</f>
        <v>63838380.347395264</v>
      </c>
    </row>
    <row r="29" spans="1:11" x14ac:dyDescent="0.2">
      <c r="A29" s="22" t="s">
        <v>105</v>
      </c>
      <c r="B29" s="1">
        <v>7228</v>
      </c>
    </row>
    <row r="30" spans="1:11" x14ac:dyDescent="0.2">
      <c r="A30" t="s">
        <v>11</v>
      </c>
      <c r="B30" s="1">
        <f>+B28/B29</f>
        <v>8832.0946800491511</v>
      </c>
    </row>
  </sheetData>
  <phoneticPr fontId="0" type="noConversion"/>
  <pageMargins left="0.59" right="0.55000000000000004" top="1" bottom="0.56000000000000005" header="0.5" footer="0.5"/>
  <pageSetup scale="10" orientation="landscape" horizontalDpi="4294967294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0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4.140625" style="1" customWidth="1"/>
  </cols>
  <sheetData>
    <row r="1" spans="1:11" ht="15.75" x14ac:dyDescent="0.25">
      <c r="A1" s="4" t="str">
        <f>+System!$A$1</f>
        <v>MINNESOTA STATE - F.Y. 2023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62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Table'!B40</f>
        <v>16562619.65</v>
      </c>
      <c r="C9" s="1">
        <f>'Master Expend Table'!C40</f>
        <v>0</v>
      </c>
      <c r="D9" s="1">
        <f>'Master Expend Table'!D40</f>
        <v>908836.37</v>
      </c>
      <c r="E9" s="1">
        <f>'Master Expend Table'!E40</f>
        <v>994540.46</v>
      </c>
      <c r="G9" s="1">
        <f>'Master Expend Table'!G40</f>
        <v>3860615.89</v>
      </c>
      <c r="H9" s="1">
        <f>'Master Expend Table'!H40</f>
        <v>3910079.28</v>
      </c>
      <c r="I9" s="1">
        <f>'Master Expend Table'!I40</f>
        <v>5146494.1500000004</v>
      </c>
      <c r="J9" s="1">
        <f>'Master Expend Table'!J40</f>
        <v>5190677.01</v>
      </c>
      <c r="K9" s="1">
        <f>SUM(B9:J9)</f>
        <v>36573862.810000002</v>
      </c>
    </row>
    <row r="11" spans="1:11" x14ac:dyDescent="0.2">
      <c r="A11" t="s">
        <v>3</v>
      </c>
      <c r="B11" s="1">
        <f>(B9/($K9-$J9))*-$J$11</f>
        <v>2739403.5006678393</v>
      </c>
      <c r="C11" s="1">
        <f t="shared" ref="C11:I11" si="0">(C9/($K9-$J9))*-$J$11</f>
        <v>0</v>
      </c>
      <c r="D11" s="1">
        <f t="shared" si="0"/>
        <v>150318.58402376896</v>
      </c>
      <c r="E11" s="1">
        <f t="shared" si="0"/>
        <v>164493.76217365489</v>
      </c>
      <c r="G11" s="1">
        <f t="shared" si="0"/>
        <v>638533.33031166287</v>
      </c>
      <c r="H11" s="1">
        <f t="shared" si="0"/>
        <v>646714.41437833081</v>
      </c>
      <c r="I11" s="1">
        <f t="shared" si="0"/>
        <v>851213.4184447421</v>
      </c>
      <c r="J11" s="1">
        <f>-J9</f>
        <v>-5190677.01</v>
      </c>
      <c r="K11" s="1">
        <v>0</v>
      </c>
    </row>
    <row r="12" spans="1:11" x14ac:dyDescent="0.2">
      <c r="A12" t="s">
        <v>4</v>
      </c>
      <c r="B12" s="1">
        <f>+B9+B11</f>
        <v>19302023.150667839</v>
      </c>
      <c r="C12" s="1">
        <f t="shared" ref="C12:J12" si="1">+C9+C11</f>
        <v>0</v>
      </c>
      <c r="D12" s="1">
        <f t="shared" si="1"/>
        <v>1059154.9540237689</v>
      </c>
      <c r="E12" s="1">
        <f t="shared" si="1"/>
        <v>1159034.2221736549</v>
      </c>
      <c r="G12" s="1">
        <f t="shared" si="1"/>
        <v>4499149.2203116631</v>
      </c>
      <c r="H12" s="1">
        <f t="shared" si="1"/>
        <v>4556793.6943783304</v>
      </c>
      <c r="I12" s="1">
        <f t="shared" si="1"/>
        <v>5997707.5684447428</v>
      </c>
      <c r="J12" s="1">
        <f t="shared" si="1"/>
        <v>0</v>
      </c>
      <c r="K12" s="1">
        <f>SUM(B12:J12)</f>
        <v>36573862.809999995</v>
      </c>
    </row>
    <row r="14" spans="1:11" x14ac:dyDescent="0.2">
      <c r="A14" t="s">
        <v>5</v>
      </c>
      <c r="B14" s="1">
        <f>B$9/($K$9-$J$9-$I$9)*-I14</f>
        <v>3786214.7618782036</v>
      </c>
      <c r="C14" s="1">
        <f t="shared" ref="C14:H14" si="2">C$9/($K$9-$J$9-$I$9)*-$I$14</f>
        <v>0</v>
      </c>
      <c r="D14" s="1">
        <f t="shared" si="2"/>
        <v>207759.98923731854</v>
      </c>
      <c r="E14" s="1">
        <f t="shared" si="2"/>
        <v>227351.94374503061</v>
      </c>
      <c r="G14" s="1">
        <f t="shared" si="2"/>
        <v>882536.77144965157</v>
      </c>
      <c r="H14" s="1">
        <f t="shared" si="2"/>
        <v>893844.10213453742</v>
      </c>
      <c r="I14" s="1">
        <f>-I12</f>
        <v>-5997707.5684447428</v>
      </c>
      <c r="K14" s="1">
        <v>0</v>
      </c>
    </row>
    <row r="15" spans="1:11" x14ac:dyDescent="0.2">
      <c r="A15" t="s">
        <v>4</v>
      </c>
      <c r="B15" s="1">
        <f>+B12+B14</f>
        <v>23088237.912546042</v>
      </c>
      <c r="C15" s="1">
        <f>+C12+C14</f>
        <v>0</v>
      </c>
      <c r="D15" s="1">
        <f>+D12+D14</f>
        <v>1266914.9432610874</v>
      </c>
      <c r="E15" s="1">
        <f>+E12+E14</f>
        <v>1386386.1659186855</v>
      </c>
      <c r="G15" s="1">
        <f>+G12+G14</f>
        <v>5381685.9917613147</v>
      </c>
      <c r="H15" s="1">
        <f>+H12+H14</f>
        <v>5450637.7965128683</v>
      </c>
      <c r="I15" s="1">
        <f>+I12+I14</f>
        <v>0</v>
      </c>
      <c r="J15" s="1">
        <f>+J12+J14</f>
        <v>0</v>
      </c>
      <c r="K15" s="1">
        <f>SUM(B15:J15)</f>
        <v>36573862.810000002</v>
      </c>
    </row>
    <row r="17" spans="1:11" x14ac:dyDescent="0.2">
      <c r="A17" t="s">
        <v>6</v>
      </c>
      <c r="B17" s="1">
        <f>B$9/($K$9-$J$9-$I$9-$H$9)*-$H$17</f>
        <v>4043463.4317770759</v>
      </c>
      <c r="C17" s="1">
        <f>C$9/($K$9-$J$9-$I$9-$H$9)*-$H$17</f>
        <v>0</v>
      </c>
      <c r="D17" s="1">
        <f>D$9/($K$9-$J$9-$I$9-$H$9)*-$H$17</f>
        <v>221875.92936507604</v>
      </c>
      <c r="E17" s="1">
        <f>E$9/($K$9-$J$9-$I$9-$H$9)*-$H$17</f>
        <v>242799.02976777902</v>
      </c>
      <c r="G17" s="1">
        <f>G$9/($K$9-$J$9-$I$9-$H$9)*-$H$17</f>
        <v>942499.40560293617</v>
      </c>
      <c r="H17" s="1">
        <f>-H15</f>
        <v>-5450637.7965128683</v>
      </c>
      <c r="K17" s="1">
        <v>0</v>
      </c>
    </row>
    <row r="18" spans="1:11" x14ac:dyDescent="0.2">
      <c r="A18" t="s">
        <v>4</v>
      </c>
      <c r="B18" s="1">
        <f>+B15+B17</f>
        <v>27131701.344323117</v>
      </c>
      <c r="C18" s="1">
        <f>+C15+C17</f>
        <v>0</v>
      </c>
      <c r="D18" s="1">
        <f>+D15+D17</f>
        <v>1488790.8726261635</v>
      </c>
      <c r="E18" s="1">
        <f>+E15+E17</f>
        <v>1629185.1956864644</v>
      </c>
      <c r="G18" s="1">
        <f>+G15+G17</f>
        <v>6324185.3973642513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36573862.809999995</v>
      </c>
    </row>
    <row r="20" spans="1:11" x14ac:dyDescent="0.2">
      <c r="A20" t="s">
        <v>7</v>
      </c>
      <c r="B20" s="1">
        <f>B$9/($K$9-$J$9-$I$9-$H$9-$G$9)*-$G$20</f>
        <v>5672321.9592332654</v>
      </c>
      <c r="C20" s="1">
        <f>C$9/($K$9-$J$9-$I$9-$H$9-$G$9)*-$G$20</f>
        <v>0</v>
      </c>
      <c r="D20" s="1">
        <f>D$9/($K$9-$J$9-$I$9-$H$9-$G$9)*-$G$20</f>
        <v>311255.86458183557</v>
      </c>
      <c r="E20" s="1">
        <f>E$9/($K$9-$J$9-$I$9-$H$9-$G$9)*-$G$20</f>
        <v>340607.57354914886</v>
      </c>
      <c r="G20" s="1">
        <f>-G18</f>
        <v>-6324185.3973642513</v>
      </c>
      <c r="K20" s="1">
        <f>SUM(B20:J20)</f>
        <v>0</v>
      </c>
    </row>
    <row r="22" spans="1:11" x14ac:dyDescent="0.2">
      <c r="A22" t="s">
        <v>8</v>
      </c>
      <c r="B22" s="1">
        <f>+B20+B18</f>
        <v>32804023.303556383</v>
      </c>
      <c r="C22" s="1">
        <f t="shared" ref="C22:K22" si="3">+C20+C18</f>
        <v>0</v>
      </c>
      <c r="D22" s="1">
        <f t="shared" si="3"/>
        <v>1800046.737207999</v>
      </c>
      <c r="E22" s="1">
        <f t="shared" si="3"/>
        <v>1969792.7692356133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36573862.809999995</v>
      </c>
    </row>
    <row r="27" spans="1:11" x14ac:dyDescent="0.2">
      <c r="A27" t="s">
        <v>9</v>
      </c>
      <c r="B27" s="1">
        <f>+B9</f>
        <v>16562619.65</v>
      </c>
    </row>
    <row r="28" spans="1:11" x14ac:dyDescent="0.2">
      <c r="A28" t="s">
        <v>10</v>
      </c>
      <c r="B28" s="1">
        <f>+B22-B27</f>
        <v>16241403.653556382</v>
      </c>
    </row>
    <row r="29" spans="1:11" x14ac:dyDescent="0.2">
      <c r="A29" s="22" t="s">
        <v>105</v>
      </c>
      <c r="B29" s="1">
        <v>2464</v>
      </c>
    </row>
    <row r="30" spans="1:11" x14ac:dyDescent="0.2">
      <c r="A30" t="s">
        <v>11</v>
      </c>
      <c r="B30" s="1">
        <f>+B28/B29</f>
        <v>6591.4787555017783</v>
      </c>
    </row>
  </sheetData>
  <phoneticPr fontId="0" type="noConversion"/>
  <pageMargins left="0.57999999999999996" right="0.55000000000000004" top="1" bottom="0.5" header="0.5" footer="0.5"/>
  <pageSetup scale="10" orientation="landscape" horizontalDpi="4294967294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1">
    <pageSetUpPr fitToPage="1"/>
  </sheetPr>
  <dimension ref="A1:K30"/>
  <sheetViews>
    <sheetView zoomScale="75" workbookViewId="0">
      <selection activeCell="B30" sqref="B30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7" width="11.42578125" style="1" customWidth="1"/>
    <col min="8" max="8" width="10.5703125" style="1" customWidth="1"/>
    <col min="9" max="9" width="11" style="1" customWidth="1"/>
    <col min="10" max="10" width="10.28515625" style="1" customWidth="1"/>
    <col min="11" max="11" width="13.5703125" style="1" customWidth="1"/>
  </cols>
  <sheetData>
    <row r="1" spans="1:11" ht="15.75" x14ac:dyDescent="0.25">
      <c r="A1" s="4" t="str">
        <f>+System!$A$1</f>
        <v>MINNESOTA STATE - F.Y. 2023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33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Table'!B41</f>
        <v>47988296.560000002</v>
      </c>
      <c r="C9" s="1">
        <f>'Master Expend Table'!C41</f>
        <v>62204.81</v>
      </c>
      <c r="D9" s="1">
        <f>'Master Expend Table'!D41</f>
        <v>220801.6</v>
      </c>
      <c r="E9" s="1">
        <f>'Master Expend Table'!E41</f>
        <v>3434327.85</v>
      </c>
      <c r="G9" s="1">
        <f>'Master Expend Table'!G41</f>
        <v>13607265.77</v>
      </c>
      <c r="H9" s="1">
        <f>'Master Expend Table'!H41</f>
        <v>6912434.3700000001</v>
      </c>
      <c r="I9" s="1">
        <f>'Master Expend Table'!I41</f>
        <v>16635820.43</v>
      </c>
      <c r="J9" s="1">
        <f>'Master Expend Table'!J41</f>
        <v>9933798.4900000002</v>
      </c>
      <c r="K9" s="1">
        <f>SUM(B9:J9)</f>
        <v>98794949.88000001</v>
      </c>
    </row>
    <row r="11" spans="1:11" x14ac:dyDescent="0.2">
      <c r="A11" t="s">
        <v>3</v>
      </c>
      <c r="B11" s="1">
        <f>(B9/($K9-$J9))*-$J$11</f>
        <v>5364617.2759252181</v>
      </c>
      <c r="C11" s="1">
        <f t="shared" ref="C11:I11" si="0">(C9/($K9-$J9))*-$J$11</f>
        <v>6953.8829734123346</v>
      </c>
      <c r="D11" s="1">
        <f t="shared" si="0"/>
        <v>24683.436646494072</v>
      </c>
      <c r="E11" s="1">
        <f t="shared" si="0"/>
        <v>383923.91137004987</v>
      </c>
      <c r="G11" s="1">
        <f t="shared" si="0"/>
        <v>1521157.8293173707</v>
      </c>
      <c r="H11" s="1">
        <f t="shared" si="0"/>
        <v>772741.84537133412</v>
      </c>
      <c r="I11" s="1">
        <f t="shared" si="0"/>
        <v>1859720.3083961201</v>
      </c>
      <c r="J11" s="1">
        <f>-J9</f>
        <v>-9933798.4900000002</v>
      </c>
      <c r="K11" s="1">
        <v>0</v>
      </c>
    </row>
    <row r="12" spans="1:11" x14ac:dyDescent="0.2">
      <c r="A12" t="s">
        <v>4</v>
      </c>
      <c r="B12" s="1">
        <f>+B9+B11</f>
        <v>53352913.835925221</v>
      </c>
      <c r="C12" s="1">
        <f t="shared" ref="C12:J12" si="1">+C9+C11</f>
        <v>69158.692973412326</v>
      </c>
      <c r="D12" s="1">
        <f t="shared" si="1"/>
        <v>245485.03664649409</v>
      </c>
      <c r="E12" s="1">
        <f t="shared" si="1"/>
        <v>3818251.7613700498</v>
      </c>
      <c r="G12" s="1">
        <f t="shared" si="1"/>
        <v>15128423.59931737</v>
      </c>
      <c r="H12" s="1">
        <f t="shared" si="1"/>
        <v>7685176.215371334</v>
      </c>
      <c r="I12" s="1">
        <f t="shared" si="1"/>
        <v>18495540.738396119</v>
      </c>
      <c r="J12" s="1">
        <f t="shared" si="1"/>
        <v>0</v>
      </c>
      <c r="K12" s="1">
        <f>SUM(B12:J12)</f>
        <v>98794949.88000001</v>
      </c>
    </row>
    <row r="14" spans="1:11" x14ac:dyDescent="0.2">
      <c r="A14" t="s">
        <v>5</v>
      </c>
      <c r="B14" s="1">
        <f>B$9/($K$9-$J$9-$I$9)*-I14</f>
        <v>12288894.799018228</v>
      </c>
      <c r="C14" s="1">
        <f t="shared" ref="C14:H14" si="2">C$9/($K$9-$J$9-$I$9)*-$I$14</f>
        <v>15929.474911182742</v>
      </c>
      <c r="D14" s="1">
        <f t="shared" si="2"/>
        <v>56543.112141151258</v>
      </c>
      <c r="E14" s="1">
        <f t="shared" si="2"/>
        <v>879466.38408430421</v>
      </c>
      <c r="G14" s="1">
        <f t="shared" si="2"/>
        <v>3484563.3109885026</v>
      </c>
      <c r="H14" s="1">
        <f t="shared" si="2"/>
        <v>1770143.6572527476</v>
      </c>
      <c r="I14" s="1">
        <f>-I12</f>
        <v>-18495540.738396119</v>
      </c>
      <c r="K14" s="1">
        <v>0</v>
      </c>
    </row>
    <row r="15" spans="1:11" x14ac:dyDescent="0.2">
      <c r="A15" t="s">
        <v>4</v>
      </c>
      <c r="B15" s="1">
        <f>+B12+B14</f>
        <v>65641808.634943448</v>
      </c>
      <c r="C15" s="1">
        <f>+C12+C14</f>
        <v>85088.167884595066</v>
      </c>
      <c r="D15" s="1">
        <f>+D12+D14</f>
        <v>302028.14878764533</v>
      </c>
      <c r="E15" s="1">
        <f>+E12+E14</f>
        <v>4697718.1454543537</v>
      </c>
      <c r="G15" s="1">
        <f>+G12+G14</f>
        <v>18612986.910305873</v>
      </c>
      <c r="H15" s="1">
        <f>+H12+H14</f>
        <v>9455319.8726240806</v>
      </c>
      <c r="I15" s="1">
        <f>+I12+I14</f>
        <v>0</v>
      </c>
      <c r="J15" s="1">
        <f>+J12+J14</f>
        <v>0</v>
      </c>
      <c r="K15" s="1">
        <f>SUM(B15:J15)</f>
        <v>98794949.879999995</v>
      </c>
    </row>
    <row r="17" spans="1:11" x14ac:dyDescent="0.2">
      <c r="A17" t="s">
        <v>6</v>
      </c>
      <c r="B17" s="1">
        <f>B$9/($K$9-$J$9-$I$9-$H$9)*-$H$17</f>
        <v>6947244.9976536212</v>
      </c>
      <c r="C17" s="1">
        <f>C$9/($K$9-$J$9-$I$9-$H$9)*-$H$17</f>
        <v>9005.3635173770363</v>
      </c>
      <c r="D17" s="1">
        <f>D$9/($K$9-$J$9-$I$9-$H$9)*-$H$17</f>
        <v>31965.352409539992</v>
      </c>
      <c r="E17" s="1">
        <f>E$9/($K$9-$J$9-$I$9-$H$9)*-$H$17</f>
        <v>497186.16176308418</v>
      </c>
      <c r="G17" s="1">
        <f>G$9/($K$9-$J$9-$I$9-$H$9)*-$H$17</f>
        <v>1969917.9972804571</v>
      </c>
      <c r="H17" s="1">
        <f>-H15</f>
        <v>-9455319.8726240806</v>
      </c>
      <c r="K17" s="1">
        <v>0</v>
      </c>
    </row>
    <row r="18" spans="1:11" x14ac:dyDescent="0.2">
      <c r="A18" t="s">
        <v>4</v>
      </c>
      <c r="B18" s="1">
        <f>+B15+B17</f>
        <v>72589053.632597074</v>
      </c>
      <c r="C18" s="1">
        <f>+C15+C17</f>
        <v>94093.531401972097</v>
      </c>
      <c r="D18" s="1">
        <f>+D15+D17</f>
        <v>333993.50119718531</v>
      </c>
      <c r="E18" s="1">
        <f>+E15+E17</f>
        <v>5194904.3072174378</v>
      </c>
      <c r="G18" s="1">
        <f>+G15+G17</f>
        <v>20582904.907586329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98794949.879999995</v>
      </c>
    </row>
    <row r="20" spans="1:11" x14ac:dyDescent="0.2">
      <c r="A20" t="s">
        <v>7</v>
      </c>
      <c r="B20" s="1">
        <f>B$9/($K$9-$J$9-$I$9-$H$9-$G$9)*-$G$20</f>
        <v>19103113.705547709</v>
      </c>
      <c r="C20" s="1">
        <f>C$9/($K$9-$J$9-$I$9-$H$9-$G$9)*-$G$20</f>
        <v>24762.403411762007</v>
      </c>
      <c r="D20" s="1">
        <f>D$9/($K$9-$J$9-$I$9-$H$9-$G$9)*-$G$20</f>
        <v>87896.390860489904</v>
      </c>
      <c r="E20" s="1">
        <f>E$9/($K$9-$J$9-$I$9-$H$9-$G$9)*-$G$20</f>
        <v>1367132.4077663654</v>
      </c>
      <c r="G20" s="1">
        <f>-G18</f>
        <v>-20582904.907586329</v>
      </c>
      <c r="K20" s="1">
        <f>SUM(B20:J20)</f>
        <v>0</v>
      </c>
    </row>
    <row r="22" spans="1:11" x14ac:dyDescent="0.2">
      <c r="A22" t="s">
        <v>8</v>
      </c>
      <c r="B22" s="1">
        <f>+B20+B18</f>
        <v>91692167.338144779</v>
      </c>
      <c r="C22" s="1">
        <f t="shared" ref="C22:K22" si="3">+C20+C18</f>
        <v>118855.9348137341</v>
      </c>
      <c r="D22" s="1">
        <f t="shared" si="3"/>
        <v>421889.89205767523</v>
      </c>
      <c r="E22" s="1">
        <f t="shared" si="3"/>
        <v>6562036.7149838032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98794949.879999995</v>
      </c>
    </row>
    <row r="27" spans="1:11" x14ac:dyDescent="0.2">
      <c r="A27" t="s">
        <v>9</v>
      </c>
      <c r="B27" s="1">
        <f>+B9</f>
        <v>47988296.560000002</v>
      </c>
    </row>
    <row r="28" spans="1:11" x14ac:dyDescent="0.2">
      <c r="A28" t="s">
        <v>10</v>
      </c>
      <c r="B28" s="1">
        <f>+B22-B27</f>
        <v>43703870.778144777</v>
      </c>
    </row>
    <row r="29" spans="1:11" x14ac:dyDescent="0.2">
      <c r="A29" s="22" t="s">
        <v>105</v>
      </c>
      <c r="B29" s="1">
        <v>5678</v>
      </c>
    </row>
    <row r="30" spans="1:11" x14ac:dyDescent="0.2">
      <c r="A30" t="s">
        <v>11</v>
      </c>
      <c r="B30" s="1">
        <f>+B28/B29</f>
        <v>7697.0536770244407</v>
      </c>
    </row>
  </sheetData>
  <phoneticPr fontId="0" type="noConversion"/>
  <pageMargins left="0.61" right="0.55000000000000004" top="1" bottom="0.57999999999999996" header="0.5" footer="0.5"/>
  <pageSetup scale="10" orientation="landscape" horizontalDpi="4294967294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1" style="1" bestFit="1" customWidth="1"/>
    <col min="5" max="5" width="9.28515625" style="1" customWidth="1"/>
    <col min="6" max="6" width="2.7109375" style="1" customWidth="1"/>
    <col min="7" max="7" width="11.140625" style="1" bestFit="1" customWidth="1"/>
    <col min="8" max="8" width="11.5703125" style="1" bestFit="1" customWidth="1"/>
    <col min="9" max="9" width="11.140625" style="1" bestFit="1" customWidth="1"/>
    <col min="10" max="10" width="13.7109375" style="1" bestFit="1" customWidth="1"/>
    <col min="11" max="11" width="11.7109375" style="1" bestFit="1" customWidth="1"/>
  </cols>
  <sheetData>
    <row r="1" spans="1:11" ht="15.75" x14ac:dyDescent="0.25">
      <c r="A1" s="4" t="str">
        <f>+System!$A$1</f>
        <v>MINNESOTA STATE - F.Y. 2023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18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Table'!B8</f>
        <v>24098613.149999999</v>
      </c>
      <c r="C9" s="1">
        <f>'Master Expend Table'!C8</f>
        <v>44672.58</v>
      </c>
      <c r="D9" s="1">
        <f>'Master Expend Table'!D8</f>
        <v>1072729.44</v>
      </c>
      <c r="E9" s="1">
        <f>'Master Expend Table'!E8</f>
        <v>123751.43</v>
      </c>
      <c r="G9" s="1">
        <f>'Master Expend Table'!G8</f>
        <v>7077816.4400000004</v>
      </c>
      <c r="H9" s="1">
        <f>'Master Expend Table'!H8</f>
        <v>5725848.71</v>
      </c>
      <c r="I9" s="1">
        <f>'Master Expend Table'!I8</f>
        <v>6786753.21</v>
      </c>
      <c r="J9" s="1">
        <f>'Master Expend Table'!J8</f>
        <v>5905661.3600000003</v>
      </c>
      <c r="K9" s="1">
        <f>SUM(B9:J9)</f>
        <v>50835846.32</v>
      </c>
    </row>
    <row r="11" spans="1:11" x14ac:dyDescent="0.2">
      <c r="A11" t="s">
        <v>3</v>
      </c>
      <c r="B11" s="1">
        <f>(B9/($K9-$J9))*-$J$11</f>
        <v>3167542.012930607</v>
      </c>
      <c r="C11" s="1">
        <f t="shared" ref="C11:I11" si="0">(C9/($K9-$J9))*-$J$11</f>
        <v>5871.8015470530763</v>
      </c>
      <c r="D11" s="1">
        <f t="shared" si="0"/>
        <v>141000.46125299635</v>
      </c>
      <c r="E11" s="1">
        <f t="shared" si="0"/>
        <v>16265.992206495132</v>
      </c>
      <c r="G11" s="1">
        <f t="shared" si="0"/>
        <v>930314.15517415141</v>
      </c>
      <c r="H11" s="1">
        <f t="shared" si="0"/>
        <v>752610.37785527168</v>
      </c>
      <c r="I11" s="1">
        <f t="shared" si="0"/>
        <v>892056.55903342552</v>
      </c>
      <c r="J11" s="1">
        <f>-J9</f>
        <v>-5905661.3600000003</v>
      </c>
      <c r="K11" s="1">
        <v>0</v>
      </c>
    </row>
    <row r="12" spans="1:11" x14ac:dyDescent="0.2">
      <c r="A12" t="s">
        <v>4</v>
      </c>
      <c r="B12" s="1">
        <f>+B9+B11</f>
        <v>27266155.162930604</v>
      </c>
      <c r="C12" s="1">
        <f t="shared" ref="C12:J12" si="1">+C9+C11</f>
        <v>50544.381547053075</v>
      </c>
      <c r="D12" s="1">
        <f t="shared" si="1"/>
        <v>1213729.9012529962</v>
      </c>
      <c r="E12" s="1">
        <f t="shared" si="1"/>
        <v>140017.42220649513</v>
      </c>
      <c r="G12" s="1">
        <f t="shared" si="1"/>
        <v>8008130.5951741515</v>
      </c>
      <c r="H12" s="1">
        <f t="shared" si="1"/>
        <v>6478459.087855272</v>
      </c>
      <c r="I12" s="1">
        <f t="shared" si="1"/>
        <v>7678809.7690334255</v>
      </c>
      <c r="J12" s="1">
        <f t="shared" si="1"/>
        <v>0</v>
      </c>
      <c r="K12" s="1">
        <f>SUM(B12:J12)</f>
        <v>50835846.319999993</v>
      </c>
    </row>
    <row r="14" spans="1:11" x14ac:dyDescent="0.2">
      <c r="A14" t="s">
        <v>5</v>
      </c>
      <c r="B14" s="1">
        <f>B$9/($K$9-$J$9-$I$9)*-I14</f>
        <v>4851390.0712768808</v>
      </c>
      <c r="C14" s="1">
        <f t="shared" ref="C14:H14" si="2">C$9/($K$9-$J$9-$I$9)*-$I$14</f>
        <v>8993.2192247470557</v>
      </c>
      <c r="D14" s="1">
        <f t="shared" si="2"/>
        <v>215955.5374406435</v>
      </c>
      <c r="E14" s="1">
        <f t="shared" si="2"/>
        <v>24912.904948985248</v>
      </c>
      <c r="G14" s="1">
        <f t="shared" si="2"/>
        <v>1424864.0861449856</v>
      </c>
      <c r="H14" s="1">
        <f t="shared" si="2"/>
        <v>1152693.9499971822</v>
      </c>
      <c r="I14" s="1">
        <f>-I12</f>
        <v>-7678809.7690334255</v>
      </c>
      <c r="K14" s="1">
        <v>0</v>
      </c>
    </row>
    <row r="15" spans="1:11" x14ac:dyDescent="0.2">
      <c r="A15" t="s">
        <v>4</v>
      </c>
      <c r="B15" s="1">
        <f>+B12+B14</f>
        <v>32117545.234207485</v>
      </c>
      <c r="C15" s="1">
        <f>+C12+C14</f>
        <v>59537.600771800135</v>
      </c>
      <c r="D15" s="1">
        <f>+D12+D14</f>
        <v>1429685.4386936396</v>
      </c>
      <c r="E15" s="1">
        <f>+E12+E14</f>
        <v>164930.32715548039</v>
      </c>
      <c r="G15" s="1">
        <f>+G12+G14</f>
        <v>9432994.6813191362</v>
      </c>
      <c r="H15" s="1">
        <f>+H12+H14</f>
        <v>7631153.037852454</v>
      </c>
      <c r="I15" s="1">
        <f>+I12+I14</f>
        <v>0</v>
      </c>
      <c r="J15" s="1">
        <f>+J12+J14</f>
        <v>0</v>
      </c>
      <c r="K15" s="1">
        <f>SUM(B15:J15)</f>
        <v>50835846.319999993</v>
      </c>
    </row>
    <row r="17" spans="1:11" x14ac:dyDescent="0.2">
      <c r="A17" t="s">
        <v>6</v>
      </c>
      <c r="B17" s="1">
        <f>B$9/($K$9-$J$9-$I$9-$H$9)*-$H$17</f>
        <v>5672853.6708223885</v>
      </c>
      <c r="C17" s="1">
        <f>C$9/($K$9-$J$9-$I$9-$H$9)*-$H$17</f>
        <v>10515.999732462065</v>
      </c>
      <c r="D17" s="1">
        <f>D$9/($K$9-$J$9-$I$9-$H$9)*-$H$17</f>
        <v>252522.2967655815</v>
      </c>
      <c r="E17" s="1">
        <f>E$9/($K$9-$J$9-$I$9-$H$9)*-$H$17</f>
        <v>29131.29272524215</v>
      </c>
      <c r="G17" s="1">
        <f>G$9/($K$9-$J$9-$I$9-$H$9)*-$H$17</f>
        <v>1666129.7778067803</v>
      </c>
      <c r="H17" s="1">
        <f>-H15</f>
        <v>-7631153.037852454</v>
      </c>
      <c r="K17" s="1">
        <v>0</v>
      </c>
    </row>
    <row r="18" spans="1:11" x14ac:dyDescent="0.2">
      <c r="A18" t="s">
        <v>4</v>
      </c>
      <c r="B18" s="1">
        <f>+B15+B17</f>
        <v>37790398.905029871</v>
      </c>
      <c r="C18" s="1">
        <f>+C15+C17</f>
        <v>70053.600504262198</v>
      </c>
      <c r="D18" s="1">
        <f>+D15+D17</f>
        <v>1682207.7354592211</v>
      </c>
      <c r="E18" s="1">
        <f>+E15+E17</f>
        <v>194061.61988072254</v>
      </c>
      <c r="G18" s="1">
        <f>+G15+G17</f>
        <v>11099124.459125917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50835846.319999993</v>
      </c>
    </row>
    <row r="20" spans="1:11" x14ac:dyDescent="0.2">
      <c r="A20" t="s">
        <v>7</v>
      </c>
      <c r="B20" s="1">
        <f>B$9/($K$9-$J$9-$I$9-$H$9-$G$9)*-$G$20</f>
        <v>10555484.226290327</v>
      </c>
      <c r="C20" s="1">
        <f>C$9/($K$9-$J$9-$I$9-$H$9-$G$9)*-$G$20</f>
        <v>19567.130714229206</v>
      </c>
      <c r="D20" s="1">
        <f>D$9/($K$9-$J$9-$I$9-$H$9-$G$9)*-$G$20</f>
        <v>469868.47801228164</v>
      </c>
      <c r="E20" s="1">
        <f>E$9/($K$9-$J$9-$I$9-$H$9-$G$9)*-$G$20</f>
        <v>54204.624109079552</v>
      </c>
      <c r="G20" s="1">
        <f>-G18</f>
        <v>-11099124.459125917</v>
      </c>
      <c r="K20" s="1">
        <f>SUM(B20:J20)</f>
        <v>0</v>
      </c>
    </row>
    <row r="22" spans="1:11" x14ac:dyDescent="0.2">
      <c r="A22" t="s">
        <v>8</v>
      </c>
      <c r="B22" s="1">
        <f>+B20+B18</f>
        <v>48345883.131320193</v>
      </c>
      <c r="C22" s="1">
        <f t="shared" ref="C22:K22" si="3">+C20+C18</f>
        <v>89620.731218491404</v>
      </c>
      <c r="D22" s="1">
        <f t="shared" si="3"/>
        <v>2152076.2134715025</v>
      </c>
      <c r="E22" s="1">
        <f t="shared" si="3"/>
        <v>248266.24398980208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50835846.319999993</v>
      </c>
    </row>
    <row r="27" spans="1:11" x14ac:dyDescent="0.2">
      <c r="A27" t="s">
        <v>9</v>
      </c>
      <c r="B27" s="1">
        <f>+B9</f>
        <v>24098613.149999999</v>
      </c>
    </row>
    <row r="28" spans="1:11" x14ac:dyDescent="0.2">
      <c r="A28" t="s">
        <v>10</v>
      </c>
      <c r="B28" s="1">
        <f>+B22-B27</f>
        <v>24247269.981320195</v>
      </c>
    </row>
    <row r="29" spans="1:11" x14ac:dyDescent="0.2">
      <c r="A29" s="22" t="s">
        <v>105</v>
      </c>
      <c r="B29" s="1">
        <v>4540</v>
      </c>
    </row>
    <row r="30" spans="1:11" x14ac:dyDescent="0.2">
      <c r="A30" t="s">
        <v>11</v>
      </c>
      <c r="B30" s="1">
        <f>+B28/B29</f>
        <v>5340.808365929558</v>
      </c>
    </row>
  </sheetData>
  <phoneticPr fontId="0" type="noConversion"/>
  <pageMargins left="0.57999999999999996" right="0.55000000000000004" top="0.75" bottom="0.56000000000000005" header="0.5" footer="0.5"/>
  <pageSetup scale="97" orientation="landscape" horizontalDpi="4294967294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K30"/>
  <sheetViews>
    <sheetView zoomScale="75" workbookViewId="0">
      <selection activeCell="P57" sqref="P57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9.28515625" style="1" customWidth="1"/>
    <col min="6" max="6" width="2.7109375" style="1" customWidth="1"/>
    <col min="7" max="10" width="10.28515625" style="1" customWidth="1"/>
    <col min="11" max="11" width="10.7109375" style="1" customWidth="1"/>
  </cols>
  <sheetData>
    <row r="1" spans="1:11" ht="15.75" x14ac:dyDescent="0.25">
      <c r="A1" s="4" t="str">
        <f>+System!$A$1</f>
        <v>MINNESOTA STATE - F.Y. 2023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48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Table'!B9</f>
        <v>9081383.1500000004</v>
      </c>
      <c r="C9" s="1">
        <f>'Master Expend Table'!C9</f>
        <v>0</v>
      </c>
      <c r="D9" s="1">
        <f>'Master Expend Table'!D9</f>
        <v>0</v>
      </c>
      <c r="E9" s="1">
        <f>'Master Expend Table'!E9</f>
        <v>0</v>
      </c>
      <c r="G9" s="1">
        <f>'Master Expend Table'!G9</f>
        <v>1661779.78</v>
      </c>
      <c r="H9" s="1">
        <f>'Master Expend Table'!H9</f>
        <v>1686126.61</v>
      </c>
      <c r="I9" s="1">
        <f>'Master Expend Table'!I9</f>
        <v>2831098.84</v>
      </c>
      <c r="J9" s="1">
        <f>'Master Expend Table'!J9</f>
        <v>1549996.21</v>
      </c>
      <c r="K9" s="1">
        <f>SUM(B9:J9)</f>
        <v>16810384.59</v>
      </c>
    </row>
    <row r="11" spans="1:11" x14ac:dyDescent="0.2">
      <c r="A11" t="s">
        <v>3</v>
      </c>
      <c r="B11" s="1">
        <f>(B9/($K9-$J9))*-$J$11</f>
        <v>922395.23094351694</v>
      </c>
      <c r="C11" s="1">
        <f t="shared" ref="C11:I11" si="0">(C9/($K9-$J9))*-$J$11</f>
        <v>0</v>
      </c>
      <c r="D11" s="1">
        <f t="shared" si="0"/>
        <v>0</v>
      </c>
      <c r="E11" s="1">
        <f t="shared" si="0"/>
        <v>0</v>
      </c>
      <c r="G11" s="1">
        <f t="shared" si="0"/>
        <v>168786.81569011507</v>
      </c>
      <c r="H11" s="1">
        <f t="shared" si="0"/>
        <v>171259.72091937991</v>
      </c>
      <c r="I11" s="1">
        <f t="shared" si="0"/>
        <v>287554.44244698813</v>
      </c>
      <c r="J11" s="1">
        <f>-J9</f>
        <v>-1549996.21</v>
      </c>
      <c r="K11" s="1">
        <v>0</v>
      </c>
    </row>
    <row r="12" spans="1:11" x14ac:dyDescent="0.2">
      <c r="A12" t="s">
        <v>4</v>
      </c>
      <c r="B12" s="1">
        <f>+B9+B11</f>
        <v>10003778.380943518</v>
      </c>
      <c r="C12" s="1">
        <f t="shared" ref="C12:J12" si="1">+C9+C11</f>
        <v>0</v>
      </c>
      <c r="D12" s="1">
        <f t="shared" si="1"/>
        <v>0</v>
      </c>
      <c r="E12" s="1">
        <f t="shared" si="1"/>
        <v>0</v>
      </c>
      <c r="G12" s="1">
        <f t="shared" si="1"/>
        <v>1830566.5956901151</v>
      </c>
      <c r="H12" s="1">
        <f t="shared" si="1"/>
        <v>1857386.3309193801</v>
      </c>
      <c r="I12" s="1">
        <f t="shared" si="1"/>
        <v>3118653.2824469879</v>
      </c>
      <c r="J12" s="1">
        <f t="shared" si="1"/>
        <v>0</v>
      </c>
      <c r="K12" s="1">
        <f>SUM(B12:J12)</f>
        <v>16810384.59</v>
      </c>
    </row>
    <row r="14" spans="1:11" x14ac:dyDescent="0.2">
      <c r="A14" t="s">
        <v>5</v>
      </c>
      <c r="B14" s="1">
        <f>B$9/($K$9-$J$9-$I$9)*-I14</f>
        <v>2278624.6372941337</v>
      </c>
      <c r="C14" s="1">
        <f t="shared" ref="C14:H14" si="2">C$9/($K$9-$J$9-$I$9)*-$I$14</f>
        <v>0</v>
      </c>
      <c r="D14" s="1">
        <f t="shared" si="2"/>
        <v>0</v>
      </c>
      <c r="E14" s="1">
        <f t="shared" si="2"/>
        <v>0</v>
      </c>
      <c r="G14" s="1">
        <f t="shared" si="2"/>
        <v>416959.87119156239</v>
      </c>
      <c r="H14" s="1">
        <f t="shared" si="2"/>
        <v>423068.77396129211</v>
      </c>
      <c r="I14" s="1">
        <f>-I12</f>
        <v>-3118653.2824469879</v>
      </c>
      <c r="K14" s="1">
        <v>0</v>
      </c>
    </row>
    <row r="15" spans="1:11" x14ac:dyDescent="0.2">
      <c r="A15" t="s">
        <v>4</v>
      </c>
      <c r="B15" s="1">
        <f>+B12+B14</f>
        <v>12282403.018237652</v>
      </c>
      <c r="C15" s="1">
        <f>+C12+C14</f>
        <v>0</v>
      </c>
      <c r="D15" s="1">
        <f>+D12+D14</f>
        <v>0</v>
      </c>
      <c r="E15" s="1">
        <f>+E12+E14</f>
        <v>0</v>
      </c>
      <c r="G15" s="1">
        <f>+G12+G14</f>
        <v>2247526.4668816775</v>
      </c>
      <c r="H15" s="1">
        <f>+H12+H14</f>
        <v>2280455.1048806719</v>
      </c>
      <c r="I15" s="1">
        <f>+I12+I14</f>
        <v>0</v>
      </c>
      <c r="J15" s="1">
        <f>+J12+J14</f>
        <v>0</v>
      </c>
      <c r="K15" s="1">
        <f>SUM(B15:J15)</f>
        <v>16810384.590000004</v>
      </c>
    </row>
    <row r="17" spans="1:11" x14ac:dyDescent="0.2">
      <c r="A17" t="s">
        <v>6</v>
      </c>
      <c r="B17" s="1">
        <f>B$9/($K$9-$J$9-$I$9-$H$9)*-$H$17</f>
        <v>1927708.5062131528</v>
      </c>
      <c r="C17" s="1">
        <f>C$9/($K$9-$J$9-$I$9-$H$9)*-$H$17</f>
        <v>0</v>
      </c>
      <c r="D17" s="1">
        <f>D$9/($K$9-$J$9-$I$9-$H$9)*-$H$17</f>
        <v>0</v>
      </c>
      <c r="E17" s="1">
        <f>E$9/($K$9-$J$9-$I$9-$H$9)*-$H$17</f>
        <v>0</v>
      </c>
      <c r="G17" s="1">
        <f>G$9/($K$9-$J$9-$I$9-$H$9)*-$H$17</f>
        <v>352746.59866751928</v>
      </c>
      <c r="H17" s="1">
        <f>-H15</f>
        <v>-2280455.1048806719</v>
      </c>
      <c r="K17" s="1">
        <v>0</v>
      </c>
    </row>
    <row r="18" spans="1:11" x14ac:dyDescent="0.2">
      <c r="A18" t="s">
        <v>4</v>
      </c>
      <c r="B18" s="1">
        <f>+B15+B17</f>
        <v>14210111.524450805</v>
      </c>
      <c r="C18" s="1">
        <f>+C15+C17</f>
        <v>0</v>
      </c>
      <c r="D18" s="1">
        <f>+D15+D17</f>
        <v>0</v>
      </c>
      <c r="E18" s="1">
        <f>+E15+E17</f>
        <v>0</v>
      </c>
      <c r="G18" s="1">
        <f>+G15+G17</f>
        <v>2600273.0655491967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16810384.590000004</v>
      </c>
    </row>
    <row r="20" spans="1:11" x14ac:dyDescent="0.2">
      <c r="A20" t="s">
        <v>7</v>
      </c>
      <c r="B20" s="1">
        <f>B$9/($K$9-$J$9-$I$9-$H$9-$G$9)*-$G$20</f>
        <v>2600273.0655491967</v>
      </c>
      <c r="C20" s="1">
        <f>C$9/($K$9-$J$9-$I$9-$H$9-$G$9)*-$G$20</f>
        <v>0</v>
      </c>
      <c r="D20" s="1">
        <f>D$9/($K$9-$J$9-$I$9-$H$9-$G$9)*-$G$20</f>
        <v>0</v>
      </c>
      <c r="E20" s="1">
        <f>E$9/($K$9-$J$9-$I$9-$H$9-$G$9)*-$G$20</f>
        <v>0</v>
      </c>
      <c r="G20" s="1">
        <f>-G18</f>
        <v>-2600273.0655491967</v>
      </c>
      <c r="K20" s="1">
        <f>SUM(B20:J20)</f>
        <v>0</v>
      </c>
    </row>
    <row r="22" spans="1:11" x14ac:dyDescent="0.2">
      <c r="A22" t="s">
        <v>8</v>
      </c>
      <c r="B22" s="1">
        <f>+B20+B18</f>
        <v>16810384.590000004</v>
      </c>
      <c r="C22" s="1">
        <f t="shared" ref="C22:K22" si="3">+C20+C18</f>
        <v>0</v>
      </c>
      <c r="D22" s="1">
        <f t="shared" si="3"/>
        <v>0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16810384.590000004</v>
      </c>
    </row>
    <row r="27" spans="1:11" x14ac:dyDescent="0.2">
      <c r="A27" t="s">
        <v>9</v>
      </c>
      <c r="B27" s="1">
        <f>+B9</f>
        <v>9081383.1500000004</v>
      </c>
    </row>
    <row r="28" spans="1:11" x14ac:dyDescent="0.2">
      <c r="A28" t="s">
        <v>10</v>
      </c>
      <c r="B28" s="1">
        <f>+B22-B27</f>
        <v>7729001.4400000032</v>
      </c>
    </row>
    <row r="29" spans="1:11" x14ac:dyDescent="0.2">
      <c r="A29" s="22" t="s">
        <v>105</v>
      </c>
      <c r="B29" s="1">
        <v>1158</v>
      </c>
    </row>
    <row r="30" spans="1:11" x14ac:dyDescent="0.2">
      <c r="A30" t="s">
        <v>11</v>
      </c>
      <c r="B30" s="1">
        <f>+B28/B29</f>
        <v>6674.4399309153741</v>
      </c>
    </row>
  </sheetData>
  <phoneticPr fontId="0" type="noConversion"/>
  <pageMargins left="0.46" right="0.55000000000000004" top="0.59" bottom="0.57999999999999996" header="0.5" footer="0.5"/>
  <pageSetup orientation="landscape" horizontalDpi="4294967294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K30"/>
  <sheetViews>
    <sheetView zoomScale="90" zoomScaleNormal="90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7" width="11" style="1" customWidth="1"/>
    <col min="8" max="10" width="10.28515625" style="1" customWidth="1"/>
    <col min="11" max="11" width="10.7109375" style="1" customWidth="1"/>
  </cols>
  <sheetData>
    <row r="1" spans="1:11" ht="15.75" x14ac:dyDescent="0.25">
      <c r="A1" s="4" t="str">
        <f>+System!$A$1</f>
        <v>MINNESOTA STATE - F.Y. 2023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54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Table'!B10</f>
        <v>29706818.199999999</v>
      </c>
      <c r="C9" s="1">
        <f>'Master Expend Table'!C10</f>
        <v>0</v>
      </c>
      <c r="D9" s="1">
        <f>'Master Expend Table'!D10</f>
        <v>141138.96</v>
      </c>
      <c r="E9" s="1">
        <f>'Master Expend Table'!E10</f>
        <v>5740682.7000000002</v>
      </c>
      <c r="G9" s="1">
        <f>'Master Expend Table'!G10</f>
        <v>9883233.2100000009</v>
      </c>
      <c r="H9" s="1">
        <f>'Master Expend Table'!H10</f>
        <v>6346549.5599999996</v>
      </c>
      <c r="I9" s="1">
        <f>'Master Expend Table'!I10</f>
        <v>12862530.969999999</v>
      </c>
      <c r="J9" s="1">
        <f>'Master Expend Table'!J10</f>
        <v>8489804.4100000001</v>
      </c>
      <c r="K9" s="1">
        <f>SUM(B9:J9)</f>
        <v>73170758.010000005</v>
      </c>
    </row>
    <row r="11" spans="1:11" x14ac:dyDescent="0.2">
      <c r="A11" t="s">
        <v>3</v>
      </c>
      <c r="B11" s="1">
        <f>(B9/($K9-$J9))*-$J$11</f>
        <v>3899217.0356843383</v>
      </c>
      <c r="C11" s="1">
        <f t="shared" ref="C11:I11" si="0">(C9/($K9-$J9))*-$J$11</f>
        <v>0</v>
      </c>
      <c r="D11" s="1">
        <f t="shared" si="0"/>
        <v>18525.425157473459</v>
      </c>
      <c r="E11" s="1">
        <f t="shared" si="0"/>
        <v>753502.70195878344</v>
      </c>
      <c r="G11" s="1">
        <f t="shared" si="0"/>
        <v>1297239.9481029985</v>
      </c>
      <c r="H11" s="1">
        <f t="shared" si="0"/>
        <v>833026.74812097312</v>
      </c>
      <c r="I11" s="1">
        <f t="shared" si="0"/>
        <v>1688292.5509754322</v>
      </c>
      <c r="J11" s="1">
        <f>-J9</f>
        <v>-8489804.4100000001</v>
      </c>
      <c r="K11" s="1">
        <v>0</v>
      </c>
    </row>
    <row r="12" spans="1:11" x14ac:dyDescent="0.2">
      <c r="A12" t="s">
        <v>4</v>
      </c>
      <c r="B12" s="1">
        <f>+B9+B11</f>
        <v>33606035.235684335</v>
      </c>
      <c r="C12" s="1">
        <f t="shared" ref="C12:J12" si="1">+C9+C11</f>
        <v>0</v>
      </c>
      <c r="D12" s="1">
        <f t="shared" si="1"/>
        <v>159664.38515747344</v>
      </c>
      <c r="E12" s="1">
        <f t="shared" si="1"/>
        <v>6494185.4019587841</v>
      </c>
      <c r="G12" s="1">
        <f t="shared" si="1"/>
        <v>11180473.158103</v>
      </c>
      <c r="H12" s="1">
        <f t="shared" si="1"/>
        <v>7179576.3081209725</v>
      </c>
      <c r="I12" s="1">
        <f t="shared" si="1"/>
        <v>14550823.520975431</v>
      </c>
      <c r="J12" s="1">
        <f t="shared" si="1"/>
        <v>0</v>
      </c>
      <c r="K12" s="1">
        <f>SUM(B12:J12)</f>
        <v>73170758.010000005</v>
      </c>
    </row>
    <row r="14" spans="1:11" x14ac:dyDescent="0.2">
      <c r="A14" t="s">
        <v>5</v>
      </c>
      <c r="B14" s="1">
        <f>B$9/($K$9-$J$9-$I$9)*-I14</f>
        <v>8341795.1967462441</v>
      </c>
      <c r="C14" s="1">
        <f t="shared" ref="C14:H14" si="2">C$9/($K$9-$J$9-$I$9)*-$I$14</f>
        <v>0</v>
      </c>
      <c r="D14" s="1">
        <f t="shared" si="2"/>
        <v>39632.393165612077</v>
      </c>
      <c r="E14" s="1">
        <f t="shared" si="2"/>
        <v>1612007.0163860319</v>
      </c>
      <c r="G14" s="1">
        <f t="shared" si="2"/>
        <v>2775252.0234395545</v>
      </c>
      <c r="H14" s="1">
        <f t="shared" si="2"/>
        <v>1782136.8912379849</v>
      </c>
      <c r="I14" s="1">
        <f>-I12</f>
        <v>-14550823.520975431</v>
      </c>
      <c r="K14" s="1">
        <v>0</v>
      </c>
    </row>
    <row r="15" spans="1:11" x14ac:dyDescent="0.2">
      <c r="A15" t="s">
        <v>4</v>
      </c>
      <c r="B15" s="1">
        <f>+B12+B14</f>
        <v>41947830.43243058</v>
      </c>
      <c r="C15" s="1">
        <f>+C12+C14</f>
        <v>0</v>
      </c>
      <c r="D15" s="1">
        <f>+D12+D14</f>
        <v>199296.77832308551</v>
      </c>
      <c r="E15" s="1">
        <f>+E12+E14</f>
        <v>8106192.4183448162</v>
      </c>
      <c r="G15" s="1">
        <f>+G12+G14</f>
        <v>13955725.181542555</v>
      </c>
      <c r="H15" s="1">
        <f>+H12+H14</f>
        <v>8961713.1993589569</v>
      </c>
      <c r="I15" s="1">
        <f>+I12+I14</f>
        <v>0</v>
      </c>
      <c r="J15" s="1">
        <f>+J12+J14</f>
        <v>0</v>
      </c>
      <c r="K15" s="1">
        <f>SUM(B15:J15)</f>
        <v>73170758.00999999</v>
      </c>
    </row>
    <row r="17" spans="1:11" x14ac:dyDescent="0.2">
      <c r="A17" t="s">
        <v>6</v>
      </c>
      <c r="B17" s="1">
        <f>B$9/($K$9-$J$9-$I$9-$H$9)*-$H$17</f>
        <v>5854695.8108382327</v>
      </c>
      <c r="C17" s="1">
        <f>C$9/($K$9-$J$9-$I$9-$H$9)*-$H$17</f>
        <v>0</v>
      </c>
      <c r="D17" s="1">
        <f>D$9/($K$9-$J$9-$I$9-$H$9)*-$H$17</f>
        <v>27816.027697576337</v>
      </c>
      <c r="E17" s="1">
        <f>E$9/($K$9-$J$9-$I$9-$H$9)*-$H$17</f>
        <v>1131388.4485630142</v>
      </c>
      <c r="G17" s="1">
        <f>G$9/($K$9-$J$9-$I$9-$H$9)*-$H$17</f>
        <v>1947812.9122601324</v>
      </c>
      <c r="H17" s="1">
        <f>-H15</f>
        <v>-8961713.1993589569</v>
      </c>
      <c r="K17" s="1">
        <v>0</v>
      </c>
    </row>
    <row r="18" spans="1:11" x14ac:dyDescent="0.2">
      <c r="A18" t="s">
        <v>4</v>
      </c>
      <c r="B18" s="1">
        <f>+B15+B17</f>
        <v>47802526.24326881</v>
      </c>
      <c r="C18" s="1">
        <f>+C15+C17</f>
        <v>0</v>
      </c>
      <c r="D18" s="1">
        <f>+D15+D17</f>
        <v>227112.80602066184</v>
      </c>
      <c r="E18" s="1">
        <f>+E15+E17</f>
        <v>9237580.8669078313</v>
      </c>
      <c r="G18" s="1">
        <f>+G15+G17</f>
        <v>15903538.093802687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73170758.00999999</v>
      </c>
    </row>
    <row r="20" spans="1:11" x14ac:dyDescent="0.2">
      <c r="A20" t="s">
        <v>7</v>
      </c>
      <c r="B20" s="1">
        <f>B$9/($K$9-$J$9-$I$9-$H$9-$G$9)*-$G$20</f>
        <v>13275121.408064142</v>
      </c>
      <c r="C20" s="1">
        <f>C$9/($K$9-$J$9-$I$9-$H$9-$G$9)*-$G$20</f>
        <v>0</v>
      </c>
      <c r="D20" s="1">
        <f>D$9/($K$9-$J$9-$I$9-$H$9-$G$9)*-$G$20</f>
        <v>63070.935998386682</v>
      </c>
      <c r="E20" s="1">
        <f>E$9/($K$9-$J$9-$I$9-$H$9-$G$9)*-$G$20</f>
        <v>2565345.7497401545</v>
      </c>
      <c r="G20" s="1">
        <f>-G18</f>
        <v>-15903538.093802687</v>
      </c>
      <c r="K20" s="1">
        <f>SUM(B20:J20)</f>
        <v>0</v>
      </c>
    </row>
    <row r="22" spans="1:11" x14ac:dyDescent="0.2">
      <c r="A22" t="s">
        <v>8</v>
      </c>
      <c r="B22" s="1">
        <f>+B20+B18</f>
        <v>61077647.651332952</v>
      </c>
      <c r="C22" s="1">
        <f t="shared" ref="C22:K22" si="3">+C20+C18</f>
        <v>0</v>
      </c>
      <c r="D22" s="1">
        <f t="shared" si="3"/>
        <v>290183.74201904854</v>
      </c>
      <c r="E22" s="1">
        <f t="shared" si="3"/>
        <v>11802926.616647985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73170758.00999999</v>
      </c>
    </row>
    <row r="27" spans="1:11" x14ac:dyDescent="0.2">
      <c r="A27" t="s">
        <v>9</v>
      </c>
      <c r="B27" s="1">
        <f>+B9</f>
        <v>29706818.199999999</v>
      </c>
    </row>
    <row r="28" spans="1:11" x14ac:dyDescent="0.2">
      <c r="A28" t="s">
        <v>10</v>
      </c>
      <c r="B28" s="1">
        <f>+B22-B27</f>
        <v>31370829.451332953</v>
      </c>
    </row>
    <row r="29" spans="1:11" x14ac:dyDescent="0.2">
      <c r="A29" s="22" t="s">
        <v>105</v>
      </c>
      <c r="B29" s="1">
        <f>'BEMIDJI SU'!B29+'NTC-Bemidji'!B29</f>
        <v>3739</v>
      </c>
    </row>
    <row r="30" spans="1:11" x14ac:dyDescent="0.2">
      <c r="A30" t="s">
        <v>11</v>
      </c>
      <c r="B30" s="1">
        <f>+B28/B29</f>
        <v>8390.1656729962433</v>
      </c>
    </row>
  </sheetData>
  <phoneticPr fontId="11" type="noConversion"/>
  <pageMargins left="0.66" right="0.35" top="0.89" bottom="0.69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K30"/>
  <sheetViews>
    <sheetView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7" width="11.140625" style="1" customWidth="1"/>
    <col min="8" max="10" width="10.28515625" style="1" customWidth="1"/>
    <col min="11" max="11" width="10.7109375" style="1" customWidth="1"/>
  </cols>
  <sheetData>
    <row r="1" spans="1:11" ht="15.75" x14ac:dyDescent="0.25">
      <c r="A1" s="4" t="str">
        <f>+System!$A$1</f>
        <v>MINNESOTA STATE - F.Y. 2023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19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Table'!B11</f>
        <v>25674625.489999998</v>
      </c>
      <c r="C9" s="1">
        <f>'Master Expend Table'!C11</f>
        <v>0</v>
      </c>
      <c r="D9" s="1">
        <f>'Master Expend Table'!D11</f>
        <v>88782.94</v>
      </c>
      <c r="E9" s="1">
        <f>'Master Expend Table'!E11</f>
        <v>5740682.7000000002</v>
      </c>
      <c r="G9" s="1">
        <f>'Master Expend Table'!G11</f>
        <v>8975763.9000000004</v>
      </c>
      <c r="H9" s="1">
        <f>'Master Expend Table'!H11</f>
        <v>5699605.4699999997</v>
      </c>
      <c r="I9" s="1">
        <f>'Master Expend Table'!I11</f>
        <v>10414220.1</v>
      </c>
      <c r="J9" s="1">
        <f>'Master Expend Table'!J11</f>
        <v>7842502.1100000003</v>
      </c>
      <c r="K9" s="1">
        <f>SUM(B9:J9)</f>
        <v>64436182.710000001</v>
      </c>
    </row>
    <row r="11" spans="1:11" x14ac:dyDescent="0.2">
      <c r="A11" t="s">
        <v>3</v>
      </c>
      <c r="B11" s="1">
        <f>(B9/($K9-$J9))*-$J$11</f>
        <v>3557876.1169808907</v>
      </c>
      <c r="C11" s="1">
        <f t="shared" ref="C11:I11" si="0">(C9/($K9-$J9))*-$J$11</f>
        <v>0</v>
      </c>
      <c r="D11" s="1">
        <f t="shared" si="0"/>
        <v>12303.147399146248</v>
      </c>
      <c r="E11" s="1">
        <f t="shared" si="0"/>
        <v>795518.43439549149</v>
      </c>
      <c r="G11" s="1">
        <f t="shared" si="0"/>
        <v>1243821.6878336738</v>
      </c>
      <c r="H11" s="1">
        <f t="shared" si="0"/>
        <v>789826.13342597371</v>
      </c>
      <c r="I11" s="1">
        <f t="shared" si="0"/>
        <v>1443156.5899648238</v>
      </c>
      <c r="J11" s="1">
        <f>-J9</f>
        <v>-7842502.1100000003</v>
      </c>
      <c r="K11" s="1">
        <v>0</v>
      </c>
    </row>
    <row r="12" spans="1:11" x14ac:dyDescent="0.2">
      <c r="A12" t="s">
        <v>4</v>
      </c>
      <c r="B12" s="1">
        <f>+B9+B11</f>
        <v>29232501.60698089</v>
      </c>
      <c r="C12" s="1">
        <f t="shared" ref="C12:J12" si="1">+C9+C11</f>
        <v>0</v>
      </c>
      <c r="D12" s="1">
        <f t="shared" si="1"/>
        <v>101086.08739914626</v>
      </c>
      <c r="E12" s="1">
        <f t="shared" si="1"/>
        <v>6536201.1343954913</v>
      </c>
      <c r="G12" s="1">
        <f t="shared" si="1"/>
        <v>10219585.587833675</v>
      </c>
      <c r="H12" s="1">
        <f t="shared" si="1"/>
        <v>6489431.6034259731</v>
      </c>
      <c r="I12" s="1">
        <f t="shared" si="1"/>
        <v>11857376.689964823</v>
      </c>
      <c r="J12" s="1">
        <f t="shared" si="1"/>
        <v>0</v>
      </c>
      <c r="K12" s="1">
        <f>SUM(B12:J12)</f>
        <v>64436182.709999993</v>
      </c>
    </row>
    <row r="14" spans="1:11" x14ac:dyDescent="0.2">
      <c r="A14" t="s">
        <v>5</v>
      </c>
      <c r="B14" s="1">
        <f>B$9/($K$9-$J$9-$I$9)*-I14</f>
        <v>6592404.9894152116</v>
      </c>
      <c r="C14" s="1">
        <f t="shared" ref="C14:H14" si="2">C$9/($K$9-$J$9-$I$9)*-$I$14</f>
        <v>0</v>
      </c>
      <c r="D14" s="1">
        <f t="shared" si="2"/>
        <v>22796.558292891827</v>
      </c>
      <c r="E14" s="1">
        <f t="shared" si="2"/>
        <v>1474019.7588809927</v>
      </c>
      <c r="G14" s="1">
        <f t="shared" si="2"/>
        <v>2304682.9150913912</v>
      </c>
      <c r="H14" s="1">
        <f t="shared" si="2"/>
        <v>1463472.4682843362</v>
      </c>
      <c r="I14" s="1">
        <f>-I12</f>
        <v>-11857376.689964823</v>
      </c>
      <c r="K14" s="1">
        <v>0</v>
      </c>
    </row>
    <row r="15" spans="1:11" x14ac:dyDescent="0.2">
      <c r="A15" t="s">
        <v>4</v>
      </c>
      <c r="B15" s="1">
        <f>+B12+B14</f>
        <v>35824906.596396104</v>
      </c>
      <c r="C15" s="1">
        <f>+C12+C14</f>
        <v>0</v>
      </c>
      <c r="D15" s="1">
        <f>+D12+D14</f>
        <v>123882.64569203809</v>
      </c>
      <c r="E15" s="1">
        <f>+E12+E14</f>
        <v>8010220.8932764838</v>
      </c>
      <c r="G15" s="1">
        <f>+G12+G14</f>
        <v>12524268.502925066</v>
      </c>
      <c r="H15" s="1">
        <f>+H12+H14</f>
        <v>7952904.071710309</v>
      </c>
      <c r="I15" s="1">
        <f>+I12+I14</f>
        <v>0</v>
      </c>
      <c r="J15" s="1">
        <f>+J12+J14</f>
        <v>0</v>
      </c>
      <c r="K15" s="1">
        <f>SUM(B15:J15)</f>
        <v>64436182.710000001</v>
      </c>
    </row>
    <row r="17" spans="1:11" x14ac:dyDescent="0.2">
      <c r="A17" t="s">
        <v>6</v>
      </c>
      <c r="B17" s="1">
        <f>B$9/($K$9-$J$9-$I$9-$H$9)*-$H$17</f>
        <v>5044183.9143873602</v>
      </c>
      <c r="C17" s="1">
        <f>C$9/($K$9-$J$9-$I$9-$H$9)*-$H$17</f>
        <v>0</v>
      </c>
      <c r="D17" s="1">
        <f>D$9/($K$9-$J$9-$I$9-$H$9)*-$H$17</f>
        <v>17442.804686457694</v>
      </c>
      <c r="E17" s="1">
        <f>E$9/($K$9-$J$9-$I$9-$H$9)*-$H$17</f>
        <v>1127847.3894086701</v>
      </c>
      <c r="G17" s="1">
        <f>G$9/($K$9-$J$9-$I$9-$H$9)*-$H$17</f>
        <v>1763429.9632278206</v>
      </c>
      <c r="H17" s="1">
        <f>-H15</f>
        <v>-7952904.071710309</v>
      </c>
      <c r="K17" s="1">
        <v>0</v>
      </c>
    </row>
    <row r="18" spans="1:11" x14ac:dyDescent="0.2">
      <c r="A18" t="s">
        <v>4</v>
      </c>
      <c r="B18" s="1">
        <f>+B15+B17</f>
        <v>40869090.510783464</v>
      </c>
      <c r="C18" s="1">
        <f>+C15+C17</f>
        <v>0</v>
      </c>
      <c r="D18" s="1">
        <f>+D15+D17</f>
        <v>141325.45037849579</v>
      </c>
      <c r="E18" s="1">
        <f>+E15+E17</f>
        <v>9138068.2826851532</v>
      </c>
      <c r="G18" s="1">
        <f>+G15+G17</f>
        <v>14287698.466152888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64436182.709999993</v>
      </c>
    </row>
    <row r="20" spans="1:11" x14ac:dyDescent="0.2">
      <c r="A20" t="s">
        <v>7</v>
      </c>
      <c r="B20" s="1">
        <f>B$9/($K$9-$J$9-$I$9-$H$9-$G$9)*-$G$20</f>
        <v>11643926.044995628</v>
      </c>
      <c r="C20" s="1">
        <f>C$9/($K$9-$J$9-$I$9-$H$9-$G$9)*-$G$20</f>
        <v>0</v>
      </c>
      <c r="D20" s="1">
        <f>D$9/($K$9-$J$9-$I$9-$H$9-$G$9)*-$G$20</f>
        <v>40264.734837901793</v>
      </c>
      <c r="E20" s="1">
        <f>E$9/($K$9-$J$9-$I$9-$H$9-$G$9)*-$G$20</f>
        <v>2603507.6863193549</v>
      </c>
      <c r="G20" s="1">
        <f>-G18</f>
        <v>-14287698.466152888</v>
      </c>
      <c r="K20" s="1">
        <f>SUM(B20:J20)</f>
        <v>0</v>
      </c>
    </row>
    <row r="22" spans="1:11" x14ac:dyDescent="0.2">
      <c r="A22" t="s">
        <v>8</v>
      </c>
      <c r="B22" s="1">
        <f>+B20+B18</f>
        <v>52513016.555779092</v>
      </c>
      <c r="C22" s="1">
        <f t="shared" ref="C22:K22" si="3">+C20+C18</f>
        <v>0</v>
      </c>
      <c r="D22" s="1">
        <f t="shared" si="3"/>
        <v>181590.18521639757</v>
      </c>
      <c r="E22" s="1">
        <f t="shared" si="3"/>
        <v>11741575.969004508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64436182.709999993</v>
      </c>
    </row>
    <row r="27" spans="1:11" x14ac:dyDescent="0.2">
      <c r="A27" t="s">
        <v>9</v>
      </c>
      <c r="B27" s="1">
        <f>+B9</f>
        <v>25674625.489999998</v>
      </c>
    </row>
    <row r="28" spans="1:11" x14ac:dyDescent="0.2">
      <c r="A28" t="s">
        <v>10</v>
      </c>
      <c r="B28" s="1">
        <f>+B22-B27</f>
        <v>26838391.065779094</v>
      </c>
    </row>
    <row r="29" spans="1:11" x14ac:dyDescent="0.2">
      <c r="A29" s="22" t="s">
        <v>105</v>
      </c>
      <c r="B29" s="1">
        <v>3234</v>
      </c>
    </row>
    <row r="30" spans="1:11" x14ac:dyDescent="0.2">
      <c r="A30" t="s">
        <v>11</v>
      </c>
      <c r="B30" s="1">
        <f>+B28/B29</f>
        <v>8298.8222219477721</v>
      </c>
    </row>
  </sheetData>
  <phoneticPr fontId="0" type="noConversion"/>
  <pageMargins left="0.52" right="0.55000000000000004" top="1" bottom="0.55000000000000004" header="0.5" footer="0.5"/>
  <pageSetup orientation="landscape" horizontalDpi="4294967294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K30"/>
  <sheetViews>
    <sheetView zoomScale="80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1" customWidth="1"/>
    <col min="7" max="7" width="10.85546875" style="1" customWidth="1"/>
    <col min="8" max="8" width="11.42578125" style="1" customWidth="1"/>
    <col min="9" max="10" width="10.28515625" style="1" customWidth="1"/>
    <col min="11" max="11" width="10.7109375" style="1" customWidth="1"/>
  </cols>
  <sheetData>
    <row r="1" spans="1:11" ht="15.75" x14ac:dyDescent="0.25">
      <c r="A1" s="4" t="str">
        <f>+System!$A$1</f>
        <v>MINNESOTA STATE - F.Y. 2023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1"/>
    </row>
    <row r="3" spans="1:11" x14ac:dyDescent="0.2">
      <c r="A3" s="5" t="s">
        <v>53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8" t="s">
        <v>16</v>
      </c>
      <c r="C5" s="8"/>
      <c r="D5" s="8"/>
      <c r="E5" s="8"/>
      <c r="F5" s="3"/>
      <c r="G5" s="8" t="s">
        <v>17</v>
      </c>
      <c r="H5" s="9"/>
      <c r="I5" s="9"/>
      <c r="J5" s="9"/>
    </row>
    <row r="6" spans="1:11" ht="40.5" customHeight="1" x14ac:dyDescent="0.2">
      <c r="B6" s="6" t="s">
        <v>12</v>
      </c>
      <c r="C6" s="6" t="s">
        <v>13</v>
      </c>
      <c r="D6" s="6" t="s">
        <v>14</v>
      </c>
      <c r="E6" s="6" t="s">
        <v>0</v>
      </c>
      <c r="F6" s="7"/>
      <c r="G6" s="6" t="s">
        <v>7</v>
      </c>
      <c r="H6" s="6" t="s">
        <v>6</v>
      </c>
      <c r="I6" s="6" t="s">
        <v>15</v>
      </c>
      <c r="J6" s="6" t="s">
        <v>3</v>
      </c>
      <c r="K6" s="6" t="s">
        <v>1</v>
      </c>
    </row>
    <row r="9" spans="1:11" x14ac:dyDescent="0.2">
      <c r="A9" t="s">
        <v>2</v>
      </c>
      <c r="B9" s="1">
        <f>'Master Expend Table'!B12</f>
        <v>4032192.71</v>
      </c>
      <c r="C9" s="1">
        <f>'Master Expend Table'!C12</f>
        <v>0</v>
      </c>
      <c r="D9" s="1">
        <f>'Master Expend Table'!D12</f>
        <v>52356.02</v>
      </c>
      <c r="E9" s="1">
        <f>'Master Expend Table'!E12</f>
        <v>0</v>
      </c>
      <c r="G9" s="1">
        <f>'Master Expend Table'!G12</f>
        <v>907469.31</v>
      </c>
      <c r="H9" s="1">
        <f>'Master Expend Table'!H12</f>
        <v>646944.09</v>
      </c>
      <c r="I9" s="1">
        <f>'Master Expend Table'!I12</f>
        <v>2448310.87</v>
      </c>
      <c r="J9" s="1">
        <f>'Master Expend Table'!J12</f>
        <v>647302.30000000005</v>
      </c>
      <c r="K9" s="1">
        <f>SUM(B9:J9)</f>
        <v>8734575.3000000007</v>
      </c>
    </row>
    <row r="11" spans="1:11" x14ac:dyDescent="0.2">
      <c r="A11" t="s">
        <v>3</v>
      </c>
      <c r="B11" s="1">
        <f>(B9/($K9-$J9))*-$J$11</f>
        <v>322735.19333726371</v>
      </c>
      <c r="C11" s="1">
        <f t="shared" ref="C11:I11" si="0">(C9/($K9-$J9))*-$J$11</f>
        <v>0</v>
      </c>
      <c r="D11" s="1">
        <f t="shared" si="0"/>
        <v>4190.5562189932252</v>
      </c>
      <c r="E11" s="1">
        <f t="shared" si="0"/>
        <v>0</v>
      </c>
      <c r="G11" s="1">
        <f t="shared" si="0"/>
        <v>72633.503474213503</v>
      </c>
      <c r="H11" s="1">
        <f t="shared" si="0"/>
        <v>51781.162504147811</v>
      </c>
      <c r="I11" s="1">
        <f t="shared" si="0"/>
        <v>195961.88446538171</v>
      </c>
      <c r="J11" s="1">
        <f>-J9</f>
        <v>-647302.30000000005</v>
      </c>
      <c r="K11" s="1">
        <v>0</v>
      </c>
    </row>
    <row r="12" spans="1:11" x14ac:dyDescent="0.2">
      <c r="A12" t="s">
        <v>4</v>
      </c>
      <c r="B12" s="1">
        <f>+B9+B11</f>
        <v>4354927.9033372635</v>
      </c>
      <c r="C12" s="1">
        <f t="shared" ref="C12:J12" si="1">+C9+C11</f>
        <v>0</v>
      </c>
      <c r="D12" s="1">
        <f t="shared" si="1"/>
        <v>56546.576218993221</v>
      </c>
      <c r="E12" s="1">
        <f t="shared" si="1"/>
        <v>0</v>
      </c>
      <c r="G12" s="1">
        <f t="shared" si="1"/>
        <v>980102.81347421359</v>
      </c>
      <c r="H12" s="1">
        <f t="shared" si="1"/>
        <v>698725.25250414782</v>
      </c>
      <c r="I12" s="1">
        <f t="shared" si="1"/>
        <v>2644272.7544653816</v>
      </c>
      <c r="J12" s="1">
        <f t="shared" si="1"/>
        <v>0</v>
      </c>
      <c r="K12" s="1">
        <f>SUM(B12:J12)</f>
        <v>8734575.3000000007</v>
      </c>
    </row>
    <row r="14" spans="1:11" x14ac:dyDescent="0.2">
      <c r="A14" t="s">
        <v>5</v>
      </c>
      <c r="B14" s="1">
        <f>B$9/($K$9-$J$9-$I$9)*-I14</f>
        <v>1890812.0107922999</v>
      </c>
      <c r="C14" s="1">
        <f t="shared" ref="C14:H14" si="2">C$9/($K$9-$J$9-$I$9)*-$I$14</f>
        <v>0</v>
      </c>
      <c r="D14" s="1">
        <f t="shared" si="2"/>
        <v>24551.255005190924</v>
      </c>
      <c r="E14" s="1">
        <f t="shared" si="2"/>
        <v>0</v>
      </c>
      <c r="G14" s="1">
        <f t="shared" si="2"/>
        <v>425538.65704831382</v>
      </c>
      <c r="H14" s="1">
        <f t="shared" si="2"/>
        <v>303370.83161957667</v>
      </c>
      <c r="I14" s="1">
        <f>-I12</f>
        <v>-2644272.7544653816</v>
      </c>
      <c r="K14" s="1">
        <v>0</v>
      </c>
    </row>
    <row r="15" spans="1:11" x14ac:dyDescent="0.2">
      <c r="A15" t="s">
        <v>4</v>
      </c>
      <c r="B15" s="1">
        <f>+B12+B14</f>
        <v>6245739.9141295636</v>
      </c>
      <c r="C15" s="1">
        <f>+C12+C14</f>
        <v>0</v>
      </c>
      <c r="D15" s="1">
        <f>+D12+D14</f>
        <v>81097.831224184149</v>
      </c>
      <c r="E15" s="1">
        <f>+E12+E14</f>
        <v>0</v>
      </c>
      <c r="G15" s="1">
        <f>+G12+G14</f>
        <v>1405641.4705225274</v>
      </c>
      <c r="H15" s="1">
        <f>+H12+H14</f>
        <v>1002096.0841237245</v>
      </c>
      <c r="I15" s="1">
        <f>+I12+I14</f>
        <v>0</v>
      </c>
      <c r="J15" s="1">
        <f>+J12+J14</f>
        <v>0</v>
      </c>
      <c r="K15" s="1">
        <f>SUM(B15:J15)</f>
        <v>8734575.3000000007</v>
      </c>
    </row>
    <row r="17" spans="1:11" x14ac:dyDescent="0.2">
      <c r="A17" t="s">
        <v>6</v>
      </c>
      <c r="B17" s="1">
        <f>B$9/($K$9-$J$9-$I$9-$H$9)*-$H$17</f>
        <v>809421.05832678999</v>
      </c>
      <c r="C17" s="1">
        <f>C$9/($K$9-$J$9-$I$9-$H$9)*-$H$17</f>
        <v>0</v>
      </c>
      <c r="D17" s="1">
        <f>D$9/($K$9-$J$9-$I$9-$H$9)*-$H$17</f>
        <v>10509.93049342093</v>
      </c>
      <c r="E17" s="1">
        <f>E$9/($K$9-$J$9-$I$9-$H$9)*-$H$17</f>
        <v>0</v>
      </c>
      <c r="G17" s="1">
        <f>G$9/($K$9-$J$9-$I$9-$H$9)*-$H$17</f>
        <v>182165.09530351337</v>
      </c>
      <c r="H17" s="1">
        <f>-H15</f>
        <v>-1002096.0841237245</v>
      </c>
      <c r="K17" s="1">
        <v>0</v>
      </c>
    </row>
    <row r="18" spans="1:11" x14ac:dyDescent="0.2">
      <c r="A18" t="s">
        <v>4</v>
      </c>
      <c r="B18" s="1">
        <f>+B15+B17</f>
        <v>7055160.9724563537</v>
      </c>
      <c r="C18" s="1">
        <f>+C15+C17</f>
        <v>0</v>
      </c>
      <c r="D18" s="1">
        <f>+D15+D17</f>
        <v>91607.761717605084</v>
      </c>
      <c r="E18" s="1">
        <f>+E15+E17</f>
        <v>0</v>
      </c>
      <c r="G18" s="1">
        <f>+G15+G17</f>
        <v>1587806.5658260407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8734575.3000000007</v>
      </c>
    </row>
    <row r="20" spans="1:11" x14ac:dyDescent="0.2">
      <c r="A20" t="s">
        <v>7</v>
      </c>
      <c r="B20" s="1">
        <f>B$9/($K$9-$J$9-$I$9-$H$9-$G$9)*-$G$20</f>
        <v>1567453.9546046485</v>
      </c>
      <c r="C20" s="1">
        <f>C$9/($K$9-$J$9-$I$9-$H$9-$G$9)*-$G$20</f>
        <v>0</v>
      </c>
      <c r="D20" s="1">
        <f>D$9/($K$9-$J$9-$I$9-$H$9-$G$9)*-$G$20</f>
        <v>20352.611221391762</v>
      </c>
      <c r="E20" s="1">
        <f>E$9/($K$9-$J$9-$I$9-$H$9-$G$9)*-$G$20</f>
        <v>0</v>
      </c>
      <c r="G20" s="1">
        <f>-G18</f>
        <v>-1587806.5658260407</v>
      </c>
      <c r="K20" s="1">
        <f>SUM(B20:J20)</f>
        <v>0</v>
      </c>
    </row>
    <row r="22" spans="1:11" x14ac:dyDescent="0.2">
      <c r="A22" t="s">
        <v>8</v>
      </c>
      <c r="B22" s="1">
        <f>+B20+B18</f>
        <v>8622614.9270610027</v>
      </c>
      <c r="C22" s="1">
        <f t="shared" ref="C22:K22" si="3">+C20+C18</f>
        <v>0</v>
      </c>
      <c r="D22" s="1">
        <f t="shared" si="3"/>
        <v>111960.37293899685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8734575.3000000007</v>
      </c>
    </row>
    <row r="27" spans="1:11" x14ac:dyDescent="0.2">
      <c r="A27" t="s">
        <v>9</v>
      </c>
      <c r="B27" s="1">
        <f>+B9</f>
        <v>4032192.71</v>
      </c>
    </row>
    <row r="28" spans="1:11" x14ac:dyDescent="0.2">
      <c r="A28" t="s">
        <v>10</v>
      </c>
      <c r="B28" s="1">
        <f>+B22-B27</f>
        <v>4590422.2170610027</v>
      </c>
    </row>
    <row r="29" spans="1:11" x14ac:dyDescent="0.2">
      <c r="A29" s="22" t="s">
        <v>105</v>
      </c>
      <c r="B29" s="1">
        <v>505</v>
      </c>
    </row>
    <row r="30" spans="1:11" x14ac:dyDescent="0.2">
      <c r="A30" t="s">
        <v>11</v>
      </c>
      <c r="B30" s="1">
        <f>+B28/B29</f>
        <v>9089.9449842792128</v>
      </c>
    </row>
  </sheetData>
  <phoneticPr fontId="11" type="noConversion"/>
  <pageMargins left="0.75" right="0.75" top="1" bottom="1" header="0.5" footer="0.5"/>
  <pageSetup scale="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43</vt:i4>
      </vt:variant>
    </vt:vector>
  </HeadingPairs>
  <TitlesOfParts>
    <vt:vector size="43" baseType="lpstr">
      <vt:lpstr>Master Expend Table</vt:lpstr>
      <vt:lpstr>System</vt:lpstr>
      <vt:lpstr>ALEX TC</vt:lpstr>
      <vt:lpstr>ARCCATC</vt:lpstr>
      <vt:lpstr>ANOKARAM CC</vt:lpstr>
      <vt:lpstr>ANOKA TC</vt:lpstr>
      <vt:lpstr>BSU &amp; TC</vt:lpstr>
      <vt:lpstr>BEMIDJI SU</vt:lpstr>
      <vt:lpstr>NTC-Bemidji</vt:lpstr>
      <vt:lpstr>CENTRAL LAKES</vt:lpstr>
      <vt:lpstr>CENTURY</vt:lpstr>
      <vt:lpstr>Sheet2</vt:lpstr>
      <vt:lpstr>DAKCTY TC</vt:lpstr>
      <vt:lpstr>INVER HILLS</vt:lpstr>
      <vt:lpstr>FDL CC</vt:lpstr>
      <vt:lpstr>HENN TC</vt:lpstr>
      <vt:lpstr>LAKE SUPERIOR</vt:lpstr>
      <vt:lpstr>METRO SU</vt:lpstr>
      <vt:lpstr>MPLS COLLEGE</vt:lpstr>
      <vt:lpstr>MN SC-SOUTHEAST</vt:lpstr>
      <vt:lpstr>MINNESOTA STATE COLLEGE</vt:lpstr>
      <vt:lpstr>MSU MOORHEAD</vt:lpstr>
      <vt:lpstr>MSU MANKATO</vt:lpstr>
      <vt:lpstr>MN WEST</vt:lpstr>
      <vt:lpstr>NORMANDALE</vt:lpstr>
      <vt:lpstr>NO HENN CC</vt:lpstr>
      <vt:lpstr>MN North</vt:lpstr>
      <vt:lpstr>HIBBING</vt:lpstr>
      <vt:lpstr>ITASCA CC</vt:lpstr>
      <vt:lpstr>MESABI RANGE</vt:lpstr>
      <vt:lpstr>RAINY RIVER</vt:lpstr>
      <vt:lpstr>VERMILION</vt:lpstr>
      <vt:lpstr>NORTHLAND</vt:lpstr>
      <vt:lpstr>PINE TC</vt:lpstr>
      <vt:lpstr>RIDGEWATER</vt:lpstr>
      <vt:lpstr>RIVERLAND</vt:lpstr>
      <vt:lpstr>ROCHESTER</vt:lpstr>
      <vt:lpstr>SAINT PAUL</vt:lpstr>
      <vt:lpstr>SOUTH CENTRAL</vt:lpstr>
      <vt:lpstr>SOUTHWEST MN SU</vt:lpstr>
      <vt:lpstr>ST CLOUD SU</vt:lpstr>
      <vt:lpstr>ST CLOUD TCC</vt:lpstr>
      <vt:lpstr>WINONA SU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Kedrowski</dc:creator>
  <cp:lastModifiedBy>Anderson, Susan S</cp:lastModifiedBy>
  <cp:lastPrinted>2014-04-15T15:36:16Z</cp:lastPrinted>
  <dcterms:created xsi:type="dcterms:W3CDTF">2000-03-31T14:58:40Z</dcterms:created>
  <dcterms:modified xsi:type="dcterms:W3CDTF">2024-04-18T17:58:03Z</dcterms:modified>
</cp:coreProperties>
</file>