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Cost Studies\FY2018\"/>
    </mc:Choice>
  </mc:AlternateContent>
  <bookViews>
    <workbookView xWindow="345" yWindow="-135" windowWidth="11340" windowHeight="6270" firstSheet="4"/>
  </bookViews>
  <sheets>
    <sheet name="Master Expend Table" sheetId="43" r:id="rId1"/>
    <sheet name="System" sheetId="38" r:id="rId2"/>
    <sheet name="ALEX TC" sheetId="1" r:id="rId3"/>
    <sheet name="ARCCATC" sheetId="48" r:id="rId4"/>
    <sheet name="ANOKARAM CC" sheetId="11" r:id="rId5"/>
    <sheet name="ANOKA TC" sheetId="12" r:id="rId6"/>
    <sheet name="BSU &amp; TC" sheetId="44" r:id="rId7"/>
    <sheet name="BEMIDJI SU" sheetId="37" r:id="rId8"/>
    <sheet name="NTC-Bemidji" sheetId="45" r:id="rId9"/>
    <sheet name="CENTRAL LAKES" sheetId="36" r:id="rId10"/>
    <sheet name="CENTURY" sheetId="35" r:id="rId11"/>
    <sheet name="Sheet2" sheetId="49" r:id="rId12"/>
    <sheet name="DAKCTY TC" sheetId="34" r:id="rId13"/>
    <sheet name="INVER HILLS" sheetId="29" r:id="rId14"/>
    <sheet name="FDL CC" sheetId="32" r:id="rId15"/>
    <sheet name="HENN TC" sheetId="31" r:id="rId16"/>
    <sheet name="LAKE SUPERIOR" sheetId="27" r:id="rId17"/>
    <sheet name="METRO SU" sheetId="25" r:id="rId18"/>
    <sheet name="MPLS COLLEGE" sheetId="24" r:id="rId19"/>
    <sheet name="MN SC-SOUTHEAST" sheetId="23" r:id="rId20"/>
    <sheet name="MINNESOTA STATE COLLEGE" sheetId="46" r:id="rId21"/>
    <sheet name="MSU MOORHEAD" sheetId="20" r:id="rId22"/>
    <sheet name="MSU MANKATO" sheetId="22" r:id="rId23"/>
    <sheet name="MN WEST" sheetId="21" r:id="rId24"/>
    <sheet name="NORMANDALE" sheetId="19" r:id="rId25"/>
    <sheet name="NO HENN CC" sheetId="18" r:id="rId26"/>
    <sheet name="NHED" sheetId="39" r:id="rId27"/>
    <sheet name="HIBBING" sheetId="30" r:id="rId28"/>
    <sheet name="ITASCA CC" sheetId="28" r:id="rId29"/>
    <sheet name="MESABI RANGE" sheetId="40" r:id="rId30"/>
    <sheet name="RAINY RIVER" sheetId="14" r:id="rId31"/>
    <sheet name="VERMILION" sheetId="41" r:id="rId32"/>
    <sheet name="NORTHLAND" sheetId="17" r:id="rId33"/>
    <sheet name="PINE TC" sheetId="15" r:id="rId34"/>
    <sheet name="RIDGEWATER" sheetId="13" r:id="rId35"/>
    <sheet name="RIVERLAND" sheetId="10" r:id="rId36"/>
    <sheet name="ROCHESTER" sheetId="9" r:id="rId37"/>
    <sheet name="SAINT PAUL" sheetId="4" r:id="rId38"/>
    <sheet name="SOUTH CENTRAL" sheetId="8" r:id="rId39"/>
    <sheet name="SOUTHWEST MN SU" sheetId="7" r:id="rId40"/>
    <sheet name="ST CLOUD SU" sheetId="6" r:id="rId41"/>
    <sheet name="ST CLOUD TCC" sheetId="5" r:id="rId42"/>
    <sheet name="WINONA SU" sheetId="2" r:id="rId43"/>
    <sheet name="Sheet1" sheetId="47" r:id="rId44"/>
    <sheet name="Indirect Combine" sheetId="50" r:id="rId45"/>
    <sheet name="Indirect SPlit" sheetId="51" r:id="rId46"/>
  </sheets>
  <calcPr calcId="162913"/>
</workbook>
</file>

<file path=xl/calcChain.xml><?xml version="1.0" encoding="utf-8"?>
<calcChain xmlns="http://schemas.openxmlformats.org/spreadsheetml/2006/main">
  <c r="K48" i="43" l="1"/>
  <c r="A1" i="1" l="1"/>
  <c r="E46" i="43" l="1"/>
  <c r="E45" i="43"/>
  <c r="E32" i="43"/>
  <c r="E26" i="43"/>
  <c r="E8" i="43" l="1"/>
  <c r="I31" i="43" l="1"/>
  <c r="B29" i="49" l="1"/>
  <c r="C9" i="49"/>
  <c r="A1" i="49"/>
  <c r="J15" i="43"/>
  <c r="J9" i="49" s="1"/>
  <c r="I15" i="43"/>
  <c r="I9" i="49" s="1"/>
  <c r="H15" i="43"/>
  <c r="H9" i="49" s="1"/>
  <c r="G15" i="43"/>
  <c r="G9" i="49" s="1"/>
  <c r="E15" i="43"/>
  <c r="E9" i="49" s="1"/>
  <c r="D15" i="43"/>
  <c r="D9" i="49" s="1"/>
  <c r="C15" i="43"/>
  <c r="B15" i="43"/>
  <c r="B9" i="49" s="1"/>
  <c r="K9" i="49" l="1"/>
  <c r="J11" i="49"/>
  <c r="J12" i="49" s="1"/>
  <c r="J15" i="49" s="1"/>
  <c r="J18" i="49" s="1"/>
  <c r="J22" i="49" s="1"/>
  <c r="B27" i="49"/>
  <c r="B29" i="48"/>
  <c r="A1" i="48"/>
  <c r="J7" i="43"/>
  <c r="I7" i="43"/>
  <c r="H7" i="43"/>
  <c r="G7" i="43"/>
  <c r="E7" i="43"/>
  <c r="D7" i="43"/>
  <c r="C7" i="43"/>
  <c r="B7" i="43"/>
  <c r="B11" i="49" l="1"/>
  <c r="B12" i="49" s="1"/>
  <c r="I9" i="48"/>
  <c r="B9" i="48"/>
  <c r="B27" i="48" s="1"/>
  <c r="G9" i="48"/>
  <c r="J9" i="48"/>
  <c r="J11" i="48" s="1"/>
  <c r="C9" i="48"/>
  <c r="D9" i="48"/>
  <c r="E9" i="48"/>
  <c r="H9" i="48"/>
  <c r="D11" i="49"/>
  <c r="D12" i="49" s="1"/>
  <c r="C11" i="49"/>
  <c r="C12" i="49" s="1"/>
  <c r="E11" i="49"/>
  <c r="E12" i="49" s="1"/>
  <c r="I11" i="49"/>
  <c r="I12" i="49" s="1"/>
  <c r="H11" i="49"/>
  <c r="H12" i="49" s="1"/>
  <c r="G11" i="49"/>
  <c r="G12" i="49" s="1"/>
  <c r="K7" i="43"/>
  <c r="K25" i="43"/>
  <c r="K9" i="48" l="1"/>
  <c r="B11" i="48" s="1"/>
  <c r="B12" i="48" s="1"/>
  <c r="K12" i="49"/>
  <c r="I14" i="49"/>
  <c r="I15" i="49" s="1"/>
  <c r="I18" i="49" s="1"/>
  <c r="I22" i="49" s="1"/>
  <c r="J12" i="48"/>
  <c r="J15" i="48" s="1"/>
  <c r="J18" i="48" s="1"/>
  <c r="J22" i="48" s="1"/>
  <c r="B9" i="45"/>
  <c r="B27" i="45" s="1"/>
  <c r="C9" i="45"/>
  <c r="D9" i="45"/>
  <c r="E9" i="45"/>
  <c r="G9" i="45"/>
  <c r="H9" i="45"/>
  <c r="I9" i="45"/>
  <c r="J9" i="45"/>
  <c r="J11" i="45" s="1"/>
  <c r="B10" i="43"/>
  <c r="B9" i="37"/>
  <c r="B27" i="37" s="1"/>
  <c r="C9" i="37"/>
  <c r="D9" i="37"/>
  <c r="E9" i="37"/>
  <c r="G9" i="37"/>
  <c r="H9" i="37"/>
  <c r="I9" i="37"/>
  <c r="J9" i="37"/>
  <c r="J11" i="37" s="1"/>
  <c r="J12" i="37" s="1"/>
  <c r="J15" i="37" s="1"/>
  <c r="J18" i="37" s="1"/>
  <c r="J22" i="37" s="1"/>
  <c r="I9" i="2"/>
  <c r="G9" i="2"/>
  <c r="I9" i="5"/>
  <c r="G9" i="5"/>
  <c r="I9" i="6"/>
  <c r="G9" i="6"/>
  <c r="I9" i="7"/>
  <c r="G9" i="7"/>
  <c r="I9" i="8"/>
  <c r="G9" i="8"/>
  <c r="I9" i="4"/>
  <c r="G9" i="4"/>
  <c r="I9" i="9"/>
  <c r="G9" i="9"/>
  <c r="I9" i="10"/>
  <c r="G9" i="10"/>
  <c r="I9" i="13"/>
  <c r="G9" i="13"/>
  <c r="I9" i="15"/>
  <c r="G9" i="15"/>
  <c r="I9" i="17"/>
  <c r="G9" i="17"/>
  <c r="I9" i="41"/>
  <c r="G9" i="41"/>
  <c r="I9" i="14"/>
  <c r="G9" i="14"/>
  <c r="I9" i="40"/>
  <c r="G9" i="40"/>
  <c r="I9" i="28"/>
  <c r="G9" i="28"/>
  <c r="I9" i="30"/>
  <c r="G9" i="30"/>
  <c r="I9" i="18"/>
  <c r="G9" i="18"/>
  <c r="I9" i="19"/>
  <c r="G9" i="19"/>
  <c r="I9" i="21"/>
  <c r="G9" i="21"/>
  <c r="I9" i="22"/>
  <c r="G9" i="22"/>
  <c r="I9" i="20"/>
  <c r="G9" i="20"/>
  <c r="I9" i="46"/>
  <c r="G9" i="46"/>
  <c r="I9" i="23"/>
  <c r="G9" i="23"/>
  <c r="I9" i="24"/>
  <c r="G9" i="24"/>
  <c r="I9" i="25"/>
  <c r="G9" i="25"/>
  <c r="I9" i="27"/>
  <c r="G9" i="27"/>
  <c r="I9" i="29"/>
  <c r="G9" i="29"/>
  <c r="I9" i="31"/>
  <c r="G9" i="31"/>
  <c r="I9" i="32"/>
  <c r="G9" i="32"/>
  <c r="I9" i="34"/>
  <c r="G9" i="34"/>
  <c r="I9" i="35"/>
  <c r="G9" i="35"/>
  <c r="I9" i="36"/>
  <c r="G9" i="36"/>
  <c r="I9" i="12"/>
  <c r="G9" i="12"/>
  <c r="I9" i="11"/>
  <c r="G9" i="11"/>
  <c r="I9" i="1"/>
  <c r="G9" i="1"/>
  <c r="G10" i="43"/>
  <c r="G31" i="43"/>
  <c r="I10" i="43"/>
  <c r="E10" i="43"/>
  <c r="D10" i="43"/>
  <c r="C10" i="43"/>
  <c r="J10" i="43"/>
  <c r="H10" i="43"/>
  <c r="K6" i="43"/>
  <c r="K8" i="43"/>
  <c r="K9" i="43"/>
  <c r="K11" i="43"/>
  <c r="K12" i="43"/>
  <c r="K13" i="43"/>
  <c r="K14" i="43"/>
  <c r="K16" i="43"/>
  <c r="K18" i="43"/>
  <c r="K19" i="43"/>
  <c r="K17" i="43"/>
  <c r="K20" i="43"/>
  <c r="K21" i="43"/>
  <c r="K22" i="43"/>
  <c r="K23" i="43"/>
  <c r="K24" i="43"/>
  <c r="K26" i="43"/>
  <c r="K27" i="43"/>
  <c r="K28" i="43"/>
  <c r="K29" i="43"/>
  <c r="K30" i="43"/>
  <c r="B31" i="43"/>
  <c r="C31" i="43"/>
  <c r="C9" i="39" s="1"/>
  <c r="D31" i="43"/>
  <c r="E31" i="43"/>
  <c r="H31" i="43"/>
  <c r="J31" i="43"/>
  <c r="J9" i="39" s="1"/>
  <c r="K32" i="43"/>
  <c r="K33" i="43"/>
  <c r="K34" i="43"/>
  <c r="K35" i="43"/>
  <c r="K36" i="43"/>
  <c r="K37" i="43"/>
  <c r="K38" i="43"/>
  <c r="K39" i="43"/>
  <c r="K40" i="43"/>
  <c r="K41" i="43"/>
  <c r="K42" i="43"/>
  <c r="K43" i="43"/>
  <c r="K44" i="43"/>
  <c r="K45" i="43"/>
  <c r="K46" i="43"/>
  <c r="K47" i="43"/>
  <c r="B29" i="39"/>
  <c r="B29" i="44"/>
  <c r="J9" i="46"/>
  <c r="J11" i="46" s="1"/>
  <c r="H9" i="46"/>
  <c r="E9" i="46"/>
  <c r="D9" i="46"/>
  <c r="C9" i="46"/>
  <c r="B9" i="46"/>
  <c r="A1" i="46"/>
  <c r="A1" i="45"/>
  <c r="A1" i="44"/>
  <c r="J9" i="2"/>
  <c r="J11" i="2" s="1"/>
  <c r="J12" i="2" s="1"/>
  <c r="J15" i="2" s="1"/>
  <c r="J18" i="2" s="1"/>
  <c r="J22" i="2" s="1"/>
  <c r="H9" i="2"/>
  <c r="E9" i="2"/>
  <c r="D9" i="2"/>
  <c r="C9" i="2"/>
  <c r="B9" i="2"/>
  <c r="B27" i="2" s="1"/>
  <c r="J9" i="5"/>
  <c r="J11" i="5" s="1"/>
  <c r="J12" i="5" s="1"/>
  <c r="J15" i="5" s="1"/>
  <c r="J18" i="5" s="1"/>
  <c r="J22" i="5" s="1"/>
  <c r="H9" i="5"/>
  <c r="E9" i="5"/>
  <c r="D9" i="5"/>
  <c r="C9" i="5"/>
  <c r="B9" i="5"/>
  <c r="B27" i="5" s="1"/>
  <c r="J9" i="6"/>
  <c r="J11" i="6" s="1"/>
  <c r="J12" i="6" s="1"/>
  <c r="J15" i="6" s="1"/>
  <c r="J18" i="6" s="1"/>
  <c r="J22" i="6" s="1"/>
  <c r="H9" i="6"/>
  <c r="E9" i="6"/>
  <c r="D9" i="6"/>
  <c r="C9" i="6"/>
  <c r="B9" i="6"/>
  <c r="B27" i="6" s="1"/>
  <c r="J9" i="7"/>
  <c r="J11" i="7" s="1"/>
  <c r="J12" i="7" s="1"/>
  <c r="J15" i="7" s="1"/>
  <c r="J18" i="7" s="1"/>
  <c r="J22" i="7" s="1"/>
  <c r="H9" i="7"/>
  <c r="E9" i="7"/>
  <c r="D9" i="7"/>
  <c r="C9" i="7"/>
  <c r="B9" i="7"/>
  <c r="B27" i="7" s="1"/>
  <c r="J9" i="8"/>
  <c r="J11" i="8" s="1"/>
  <c r="J12" i="8" s="1"/>
  <c r="J15" i="8" s="1"/>
  <c r="J18" i="8" s="1"/>
  <c r="J22" i="8" s="1"/>
  <c r="H9" i="8"/>
  <c r="E9" i="8"/>
  <c r="D9" i="8"/>
  <c r="C9" i="8"/>
  <c r="B9" i="8"/>
  <c r="B27" i="8" s="1"/>
  <c r="J9" i="4"/>
  <c r="J11" i="4" s="1"/>
  <c r="J12" i="4" s="1"/>
  <c r="J15" i="4" s="1"/>
  <c r="J18" i="4" s="1"/>
  <c r="J22" i="4" s="1"/>
  <c r="H9" i="4"/>
  <c r="E9" i="4"/>
  <c r="D9" i="4"/>
  <c r="C9" i="4"/>
  <c r="B9" i="4"/>
  <c r="B27" i="4" s="1"/>
  <c r="J9" i="9"/>
  <c r="J11" i="9" s="1"/>
  <c r="J12" i="9" s="1"/>
  <c r="J15" i="9" s="1"/>
  <c r="J18" i="9" s="1"/>
  <c r="J22" i="9" s="1"/>
  <c r="H9" i="9"/>
  <c r="E9" i="9"/>
  <c r="D9" i="9"/>
  <c r="C9" i="9"/>
  <c r="B9" i="9"/>
  <c r="B27" i="9" s="1"/>
  <c r="J9" i="10"/>
  <c r="J11" i="10" s="1"/>
  <c r="J12" i="10" s="1"/>
  <c r="J15" i="10" s="1"/>
  <c r="J18" i="10" s="1"/>
  <c r="J22" i="10" s="1"/>
  <c r="H9" i="10"/>
  <c r="E9" i="10"/>
  <c r="D9" i="10"/>
  <c r="C9" i="10"/>
  <c r="B9" i="10"/>
  <c r="B27" i="10" s="1"/>
  <c r="J9" i="13"/>
  <c r="J11" i="13" s="1"/>
  <c r="J12" i="13" s="1"/>
  <c r="J15" i="13" s="1"/>
  <c r="J18" i="13" s="1"/>
  <c r="J22" i="13" s="1"/>
  <c r="H9" i="13"/>
  <c r="E9" i="13"/>
  <c r="D9" i="13"/>
  <c r="C9" i="13"/>
  <c r="B9" i="13"/>
  <c r="B27" i="13" s="1"/>
  <c r="J9" i="15"/>
  <c r="J11" i="15" s="1"/>
  <c r="J12" i="15" s="1"/>
  <c r="J15" i="15" s="1"/>
  <c r="J18" i="15" s="1"/>
  <c r="J22" i="15" s="1"/>
  <c r="H9" i="15"/>
  <c r="E9" i="15"/>
  <c r="D9" i="15"/>
  <c r="C9" i="15"/>
  <c r="B9" i="15"/>
  <c r="B27" i="15" s="1"/>
  <c r="J9" i="17"/>
  <c r="J11" i="17" s="1"/>
  <c r="J12" i="17" s="1"/>
  <c r="J15" i="17" s="1"/>
  <c r="J18" i="17" s="1"/>
  <c r="J22" i="17" s="1"/>
  <c r="H9" i="17"/>
  <c r="E9" i="17"/>
  <c r="D9" i="17"/>
  <c r="C9" i="17"/>
  <c r="B9" i="17"/>
  <c r="B27" i="17" s="1"/>
  <c r="J9" i="41"/>
  <c r="J11" i="41" s="1"/>
  <c r="H9" i="41"/>
  <c r="E9" i="41"/>
  <c r="D9" i="41"/>
  <c r="C9" i="41"/>
  <c r="B9" i="41"/>
  <c r="B27" i="41" s="1"/>
  <c r="J9" i="14"/>
  <c r="H9" i="14"/>
  <c r="E9" i="14"/>
  <c r="D9" i="14"/>
  <c r="C9" i="14"/>
  <c r="B9" i="14"/>
  <c r="B27" i="14" s="1"/>
  <c r="J9" i="40"/>
  <c r="H9" i="40"/>
  <c r="E9" i="40"/>
  <c r="D9" i="40"/>
  <c r="C9" i="40"/>
  <c r="B9" i="40"/>
  <c r="B27" i="40" s="1"/>
  <c r="J9" i="28"/>
  <c r="H9" i="28"/>
  <c r="E9" i="28"/>
  <c r="D9" i="28"/>
  <c r="C9" i="28"/>
  <c r="B9" i="28"/>
  <c r="B27" i="28" s="1"/>
  <c r="J9" i="30"/>
  <c r="J11" i="30" s="1"/>
  <c r="J12" i="30" s="1"/>
  <c r="J15" i="30" s="1"/>
  <c r="J18" i="30" s="1"/>
  <c r="J22" i="30" s="1"/>
  <c r="H9" i="30"/>
  <c r="E9" i="30"/>
  <c r="D9" i="30"/>
  <c r="C9" i="30"/>
  <c r="B9" i="30"/>
  <c r="B27" i="30" s="1"/>
  <c r="J9" i="18"/>
  <c r="J11" i="18" s="1"/>
  <c r="J12" i="18" s="1"/>
  <c r="J15" i="18" s="1"/>
  <c r="J18" i="18" s="1"/>
  <c r="J22" i="18" s="1"/>
  <c r="H9" i="18"/>
  <c r="E9" i="18"/>
  <c r="D9" i="18"/>
  <c r="C9" i="18"/>
  <c r="B9" i="18"/>
  <c r="J9" i="19"/>
  <c r="J11" i="19" s="1"/>
  <c r="H9" i="19"/>
  <c r="E9" i="19"/>
  <c r="D9" i="19"/>
  <c r="C9" i="19"/>
  <c r="B9" i="19"/>
  <c r="B27" i="19" s="1"/>
  <c r="J9" i="21"/>
  <c r="J11" i="21" s="1"/>
  <c r="J12" i="21" s="1"/>
  <c r="J15" i="21" s="1"/>
  <c r="J18" i="21" s="1"/>
  <c r="J22" i="21" s="1"/>
  <c r="H9" i="21"/>
  <c r="E9" i="21"/>
  <c r="D9" i="21"/>
  <c r="C9" i="21"/>
  <c r="B9" i="21"/>
  <c r="B27" i="21" s="1"/>
  <c r="J9" i="22"/>
  <c r="J11" i="22" s="1"/>
  <c r="J12" i="22" s="1"/>
  <c r="J15" i="22" s="1"/>
  <c r="J18" i="22" s="1"/>
  <c r="J22" i="22" s="1"/>
  <c r="H9" i="22"/>
  <c r="E9" i="22"/>
  <c r="D9" i="22"/>
  <c r="C9" i="22"/>
  <c r="B9" i="22"/>
  <c r="J9" i="20"/>
  <c r="J11" i="20" s="1"/>
  <c r="J12" i="20" s="1"/>
  <c r="J15" i="20" s="1"/>
  <c r="J18" i="20" s="1"/>
  <c r="J22" i="20" s="1"/>
  <c r="H9" i="20"/>
  <c r="E9" i="20"/>
  <c r="D9" i="20"/>
  <c r="C9" i="20"/>
  <c r="B9" i="20"/>
  <c r="B27" i="20" s="1"/>
  <c r="J9" i="23"/>
  <c r="J11" i="23" s="1"/>
  <c r="J12" i="23" s="1"/>
  <c r="J15" i="23" s="1"/>
  <c r="J18" i="23" s="1"/>
  <c r="J22" i="23" s="1"/>
  <c r="H9" i="23"/>
  <c r="E9" i="23"/>
  <c r="D9" i="23"/>
  <c r="C9" i="23"/>
  <c r="B9" i="23"/>
  <c r="J9" i="24"/>
  <c r="J11" i="24" s="1"/>
  <c r="J12" i="24" s="1"/>
  <c r="J15" i="24" s="1"/>
  <c r="J18" i="24" s="1"/>
  <c r="J22" i="24" s="1"/>
  <c r="H9" i="24"/>
  <c r="E9" i="24"/>
  <c r="D9" i="24"/>
  <c r="C9" i="24"/>
  <c r="B9" i="24"/>
  <c r="J9" i="25"/>
  <c r="J11" i="25" s="1"/>
  <c r="J12" i="25" s="1"/>
  <c r="J15" i="25" s="1"/>
  <c r="J18" i="25" s="1"/>
  <c r="J22" i="25" s="1"/>
  <c r="H9" i="25"/>
  <c r="E9" i="25"/>
  <c r="D9" i="25"/>
  <c r="C9" i="25"/>
  <c r="B9" i="25"/>
  <c r="B27" i="25" s="1"/>
  <c r="J9" i="27"/>
  <c r="J11" i="27" s="1"/>
  <c r="J12" i="27" s="1"/>
  <c r="J15" i="27" s="1"/>
  <c r="J18" i="27" s="1"/>
  <c r="J22" i="27" s="1"/>
  <c r="H9" i="27"/>
  <c r="E9" i="27"/>
  <c r="D9" i="27"/>
  <c r="C9" i="27"/>
  <c r="B9" i="27"/>
  <c r="J9" i="29"/>
  <c r="J11" i="29" s="1"/>
  <c r="J12" i="29" s="1"/>
  <c r="J15" i="29" s="1"/>
  <c r="J18" i="29" s="1"/>
  <c r="J22" i="29" s="1"/>
  <c r="H9" i="29"/>
  <c r="E9" i="29"/>
  <c r="D9" i="29"/>
  <c r="C9" i="29"/>
  <c r="B9" i="29"/>
  <c r="J9" i="31"/>
  <c r="H9" i="31"/>
  <c r="E9" i="31"/>
  <c r="D9" i="31"/>
  <c r="C9" i="31"/>
  <c r="B9" i="31"/>
  <c r="B27" i="31" s="1"/>
  <c r="J9" i="32"/>
  <c r="J11" i="32" s="1"/>
  <c r="H9" i="32"/>
  <c r="E9" i="32"/>
  <c r="D9" i="32"/>
  <c r="C9" i="32"/>
  <c r="B9" i="32"/>
  <c r="B27" i="32" s="1"/>
  <c r="J9" i="34"/>
  <c r="J11" i="34" s="1"/>
  <c r="H9" i="34"/>
  <c r="E9" i="34"/>
  <c r="D9" i="34"/>
  <c r="C9" i="34"/>
  <c r="B9" i="34"/>
  <c r="B27" i="34" s="1"/>
  <c r="J9" i="35"/>
  <c r="J11" i="35" s="1"/>
  <c r="H9" i="35"/>
  <c r="E9" i="35"/>
  <c r="D9" i="35"/>
  <c r="C9" i="35"/>
  <c r="B9" i="35"/>
  <c r="B27" i="35" s="1"/>
  <c r="J9" i="36"/>
  <c r="J11" i="36" s="1"/>
  <c r="H9" i="36"/>
  <c r="E9" i="36"/>
  <c r="D9" i="36"/>
  <c r="C9" i="36"/>
  <c r="B9" i="36"/>
  <c r="B27" i="36" s="1"/>
  <c r="J9" i="12"/>
  <c r="J11" i="12" s="1"/>
  <c r="H9" i="12"/>
  <c r="E9" i="12"/>
  <c r="D9" i="12"/>
  <c r="C9" i="12"/>
  <c r="B9" i="12"/>
  <c r="B27" i="12" s="1"/>
  <c r="J9" i="11"/>
  <c r="J11" i="11" s="1"/>
  <c r="J12" i="11" s="1"/>
  <c r="J15" i="11" s="1"/>
  <c r="J18" i="11" s="1"/>
  <c r="J22" i="11" s="1"/>
  <c r="H9" i="11"/>
  <c r="E9" i="11"/>
  <c r="D9" i="11"/>
  <c r="C9" i="11"/>
  <c r="B9" i="11"/>
  <c r="B27" i="11" s="1"/>
  <c r="C9" i="1"/>
  <c r="J9" i="1"/>
  <c r="J11" i="1" s="1"/>
  <c r="H9" i="1"/>
  <c r="E9" i="1"/>
  <c r="D9" i="1"/>
  <c r="B9" i="1"/>
  <c r="A1" i="2"/>
  <c r="A1" i="4"/>
  <c r="A1" i="5"/>
  <c r="A1" i="6"/>
  <c r="A1" i="7"/>
  <c r="A1" i="8"/>
  <c r="A1" i="9"/>
  <c r="A1" i="10"/>
  <c r="A1" i="13"/>
  <c r="A1" i="15"/>
  <c r="A1" i="17"/>
  <c r="A1" i="41"/>
  <c r="A1" i="14"/>
  <c r="A1" i="40"/>
  <c r="A1" i="28"/>
  <c r="A1" i="39"/>
  <c r="A1" i="18"/>
  <c r="A1" i="19"/>
  <c r="A1" i="21"/>
  <c r="A1" i="22"/>
  <c r="A1" i="20"/>
  <c r="A1" i="23"/>
  <c r="A1" i="24"/>
  <c r="A1" i="25"/>
  <c r="A1" i="27"/>
  <c r="A1" i="29"/>
  <c r="A1" i="30"/>
  <c r="A1" i="31"/>
  <c r="A1" i="32"/>
  <c r="A1" i="34"/>
  <c r="A1" i="35"/>
  <c r="A1" i="36"/>
  <c r="A1" i="37"/>
  <c r="A1" i="11"/>
  <c r="A1" i="12"/>
  <c r="H11" i="48" l="1"/>
  <c r="H12" i="48" s="1"/>
  <c r="I11" i="48"/>
  <c r="I12" i="48" s="1"/>
  <c r="I14" i="48" s="1"/>
  <c r="C14" i="48" s="1"/>
  <c r="C11" i="48"/>
  <c r="C12" i="48" s="1"/>
  <c r="D11" i="48"/>
  <c r="D12" i="48" s="1"/>
  <c r="D50" i="43"/>
  <c r="D9" i="38" s="1"/>
  <c r="C50" i="43"/>
  <c r="C9" i="38" s="1"/>
  <c r="G11" i="48"/>
  <c r="G12" i="48" s="1"/>
  <c r="E11" i="48"/>
  <c r="E12" i="48" s="1"/>
  <c r="E50" i="43"/>
  <c r="E9" i="38" s="1"/>
  <c r="I50" i="43"/>
  <c r="I9" i="38" s="1"/>
  <c r="B50" i="43"/>
  <c r="B9" i="38" s="1"/>
  <c r="B27" i="38" s="1"/>
  <c r="K15" i="43"/>
  <c r="H50" i="43"/>
  <c r="H9" i="38" s="1"/>
  <c r="G50" i="43"/>
  <c r="G9" i="38" s="1"/>
  <c r="J50" i="43"/>
  <c r="J9" i="38" s="1"/>
  <c r="J11" i="38" s="1"/>
  <c r="J12" i="38" s="1"/>
  <c r="J15" i="38" s="1"/>
  <c r="J18" i="38" s="1"/>
  <c r="J22" i="38" s="1"/>
  <c r="D14" i="49"/>
  <c r="D15" i="49" s="1"/>
  <c r="E14" i="49"/>
  <c r="E15" i="49" s="1"/>
  <c r="B14" i="49"/>
  <c r="B15" i="49" s="1"/>
  <c r="G14" i="49"/>
  <c r="G15" i="49" s="1"/>
  <c r="C14" i="49"/>
  <c r="C15" i="49" s="1"/>
  <c r="H14" i="49"/>
  <c r="H15" i="49" s="1"/>
  <c r="J11" i="39"/>
  <c r="J12" i="39" s="1"/>
  <c r="J15" i="39" s="1"/>
  <c r="J18" i="39" s="1"/>
  <c r="J22" i="39" s="1"/>
  <c r="J12" i="45"/>
  <c r="J15" i="45" s="1"/>
  <c r="J18" i="45" s="1"/>
  <c r="J22" i="45" s="1"/>
  <c r="J12" i="12"/>
  <c r="J15" i="12" s="1"/>
  <c r="J18" i="12" s="1"/>
  <c r="J22" i="12" s="1"/>
  <c r="I9" i="39"/>
  <c r="K9" i="28"/>
  <c r="H9" i="39"/>
  <c r="G9" i="39"/>
  <c r="D9" i="39"/>
  <c r="B9" i="39"/>
  <c r="B27" i="39" s="1"/>
  <c r="K9" i="45"/>
  <c r="I11" i="45" s="1"/>
  <c r="I12" i="45" s="1"/>
  <c r="J9" i="44"/>
  <c r="J11" i="44" s="1"/>
  <c r="J12" i="44" s="1"/>
  <c r="J15" i="44" s="1"/>
  <c r="J18" i="44" s="1"/>
  <c r="J22" i="44" s="1"/>
  <c r="I9" i="44"/>
  <c r="H9" i="44"/>
  <c r="G9" i="44"/>
  <c r="E9" i="44"/>
  <c r="D9" i="44"/>
  <c r="C9" i="44"/>
  <c r="B9" i="44"/>
  <c r="B27" i="44" s="1"/>
  <c r="K9" i="5"/>
  <c r="C11" i="5" s="1"/>
  <c r="C12" i="5" s="1"/>
  <c r="K9" i="34"/>
  <c r="H11" i="34" s="1"/>
  <c r="H12" i="34" s="1"/>
  <c r="K9" i="10"/>
  <c r="D11" i="10" s="1"/>
  <c r="D12" i="10" s="1"/>
  <c r="K9" i="7"/>
  <c r="B11" i="7" s="1"/>
  <c r="B12" i="7" s="1"/>
  <c r="K9" i="2"/>
  <c r="C11" i="2" s="1"/>
  <c r="C12" i="2" s="1"/>
  <c r="K9" i="14"/>
  <c r="K10" i="43"/>
  <c r="J12" i="32"/>
  <c r="J15" i="32" s="1"/>
  <c r="J18" i="32" s="1"/>
  <c r="J22" i="32" s="1"/>
  <c r="K9" i="12"/>
  <c r="B11" i="12" s="1"/>
  <c r="B12" i="12" s="1"/>
  <c r="J12" i="19"/>
  <c r="J15" i="19" s="1"/>
  <c r="J18" i="19" s="1"/>
  <c r="J22" i="19" s="1"/>
  <c r="K31" i="43"/>
  <c r="E9" i="39"/>
  <c r="J12" i="46"/>
  <c r="J15" i="46" s="1"/>
  <c r="J18" i="46" s="1"/>
  <c r="J22" i="46" s="1"/>
  <c r="K9" i="36"/>
  <c r="G11" i="36" s="1"/>
  <c r="G12" i="36" s="1"/>
  <c r="K9" i="32"/>
  <c r="G11" i="32" s="1"/>
  <c r="G12" i="32" s="1"/>
  <c r="K9" i="17"/>
  <c r="K9" i="9"/>
  <c r="K9" i="4"/>
  <c r="H11" i="4" s="1"/>
  <c r="H12" i="4" s="1"/>
  <c r="K9" i="6"/>
  <c r="K9" i="29"/>
  <c r="D11" i="29" s="1"/>
  <c r="D12" i="29" s="1"/>
  <c r="B27" i="29"/>
  <c r="K9" i="27"/>
  <c r="D11" i="27" s="1"/>
  <c r="D12" i="27" s="1"/>
  <c r="B27" i="27"/>
  <c r="K9" i="25"/>
  <c r="B11" i="25" s="1"/>
  <c r="B12" i="25" s="1"/>
  <c r="B27" i="24"/>
  <c r="K9" i="24"/>
  <c r="B11" i="24" s="1"/>
  <c r="B12" i="24" s="1"/>
  <c r="B27" i="23"/>
  <c r="K9" i="23"/>
  <c r="G11" i="23" s="1"/>
  <c r="G12" i="23" s="1"/>
  <c r="K9" i="20"/>
  <c r="B11" i="20" s="1"/>
  <c r="B12" i="20" s="1"/>
  <c r="K9" i="22"/>
  <c r="B11" i="22" s="1"/>
  <c r="B12" i="22" s="1"/>
  <c r="B27" i="22"/>
  <c r="K9" i="21"/>
  <c r="B11" i="21" s="1"/>
  <c r="B12" i="21" s="1"/>
  <c r="K9" i="19"/>
  <c r="B11" i="19" s="1"/>
  <c r="B12" i="19" s="1"/>
  <c r="B27" i="18"/>
  <c r="K9" i="18"/>
  <c r="K9" i="30"/>
  <c r="C11" i="30" s="1"/>
  <c r="C12" i="30" s="1"/>
  <c r="J11" i="28"/>
  <c r="J12" i="28" s="1"/>
  <c r="J15" i="28" s="1"/>
  <c r="J18" i="28" s="1"/>
  <c r="J22" i="28" s="1"/>
  <c r="K9" i="40"/>
  <c r="J11" i="40"/>
  <c r="J12" i="40" s="1"/>
  <c r="J15" i="40" s="1"/>
  <c r="J18" i="40" s="1"/>
  <c r="J22" i="40" s="1"/>
  <c r="J11" i="14"/>
  <c r="K9" i="41"/>
  <c r="C11" i="41" s="1"/>
  <c r="C12" i="41" s="1"/>
  <c r="B27" i="46"/>
  <c r="K9" i="46"/>
  <c r="J12" i="41"/>
  <c r="J15" i="41" s="1"/>
  <c r="J18" i="41" s="1"/>
  <c r="J22" i="41" s="1"/>
  <c r="K9" i="1"/>
  <c r="B27" i="1"/>
  <c r="K9" i="11"/>
  <c r="K9" i="35"/>
  <c r="J11" i="31"/>
  <c r="J12" i="31" s="1"/>
  <c r="J15" i="31" s="1"/>
  <c r="J18" i="31" s="1"/>
  <c r="J22" i="31" s="1"/>
  <c r="J12" i="1"/>
  <c r="J15" i="1" s="1"/>
  <c r="J18" i="1" s="1"/>
  <c r="J22" i="1" s="1"/>
  <c r="J12" i="36"/>
  <c r="J15" i="36" s="1"/>
  <c r="J18" i="36" s="1"/>
  <c r="J22" i="36" s="1"/>
  <c r="J12" i="35"/>
  <c r="J15" i="35" s="1"/>
  <c r="J18" i="35" s="1"/>
  <c r="J22" i="35" s="1"/>
  <c r="J12" i="34"/>
  <c r="J15" i="34" s="1"/>
  <c r="J18" i="34" s="1"/>
  <c r="J22" i="34" s="1"/>
  <c r="K9" i="31"/>
  <c r="K9" i="15"/>
  <c r="H11" i="15" s="1"/>
  <c r="H12" i="15" s="1"/>
  <c r="K9" i="13"/>
  <c r="K9" i="8"/>
  <c r="K9" i="37"/>
  <c r="D11" i="37" s="1"/>
  <c r="D12" i="37" s="1"/>
  <c r="C15" i="48" l="1"/>
  <c r="I15" i="48"/>
  <c r="I18" i="48" s="1"/>
  <c r="I22" i="48" s="1"/>
  <c r="H14" i="48"/>
  <c r="H15" i="48" s="1"/>
  <c r="H17" i="48" s="1"/>
  <c r="H18" i="48" s="1"/>
  <c r="H22" i="48" s="1"/>
  <c r="D14" i="48"/>
  <c r="D15" i="48" s="1"/>
  <c r="G14" i="48"/>
  <c r="G15" i="48" s="1"/>
  <c r="E14" i="48"/>
  <c r="E15" i="48" s="1"/>
  <c r="B14" i="48"/>
  <c r="B15" i="48" s="1"/>
  <c r="K12" i="48"/>
  <c r="K50" i="43"/>
  <c r="K15" i="49"/>
  <c r="H17" i="49"/>
  <c r="H18" i="49" s="1"/>
  <c r="H22" i="49" s="1"/>
  <c r="E11" i="10"/>
  <c r="E12" i="10" s="1"/>
  <c r="H11" i="7"/>
  <c r="H12" i="7" s="1"/>
  <c r="H11" i="45"/>
  <c r="H12" i="45" s="1"/>
  <c r="H11" i="10"/>
  <c r="H12" i="10" s="1"/>
  <c r="I11" i="5"/>
  <c r="I12" i="5" s="1"/>
  <c r="I14" i="5" s="1"/>
  <c r="C14" i="5" s="1"/>
  <c r="C15" i="5" s="1"/>
  <c r="D11" i="45"/>
  <c r="D12" i="45" s="1"/>
  <c r="G11" i="45"/>
  <c r="G12" i="45" s="1"/>
  <c r="B11" i="45"/>
  <c r="B12" i="45" s="1"/>
  <c r="E11" i="45"/>
  <c r="E12" i="45" s="1"/>
  <c r="G11" i="2"/>
  <c r="G12" i="2" s="1"/>
  <c r="B11" i="2"/>
  <c r="B12" i="2" s="1"/>
  <c r="E11" i="5"/>
  <c r="E12" i="5" s="1"/>
  <c r="B11" i="5"/>
  <c r="B12" i="5" s="1"/>
  <c r="H11" i="5"/>
  <c r="H12" i="5" s="1"/>
  <c r="E11" i="7"/>
  <c r="E12" i="7" s="1"/>
  <c r="D11" i="7"/>
  <c r="D12" i="7" s="1"/>
  <c r="I11" i="7"/>
  <c r="I12" i="7" s="1"/>
  <c r="I14" i="7" s="1"/>
  <c r="C11" i="7"/>
  <c r="C12" i="7" s="1"/>
  <c r="G11" i="7"/>
  <c r="G12" i="7" s="1"/>
  <c r="K9" i="39"/>
  <c r="D11" i="39" s="1"/>
  <c r="D12" i="39" s="1"/>
  <c r="C11" i="34"/>
  <c r="C12" i="34" s="1"/>
  <c r="D11" i="34"/>
  <c r="D12" i="34" s="1"/>
  <c r="E11" i="34"/>
  <c r="E12" i="34" s="1"/>
  <c r="C11" i="45"/>
  <c r="C12" i="45" s="1"/>
  <c r="K9" i="44"/>
  <c r="D11" i="44" s="1"/>
  <c r="D12" i="44" s="1"/>
  <c r="C11" i="12"/>
  <c r="C12" i="12" s="1"/>
  <c r="E11" i="12"/>
  <c r="E12" i="12" s="1"/>
  <c r="G11" i="12"/>
  <c r="G12" i="12" s="1"/>
  <c r="G11" i="5"/>
  <c r="G12" i="5" s="1"/>
  <c r="D11" i="5"/>
  <c r="D12" i="5" s="1"/>
  <c r="G11" i="10"/>
  <c r="G12" i="10" s="1"/>
  <c r="B11" i="10"/>
  <c r="B12" i="10" s="1"/>
  <c r="C11" i="32"/>
  <c r="C12" i="32" s="1"/>
  <c r="B11" i="34"/>
  <c r="B12" i="34" s="1"/>
  <c r="G11" i="34"/>
  <c r="G12" i="34" s="1"/>
  <c r="I11" i="34"/>
  <c r="I12" i="34" s="1"/>
  <c r="I14" i="34" s="1"/>
  <c r="D11" i="12"/>
  <c r="D12" i="12" s="1"/>
  <c r="I11" i="12"/>
  <c r="I12" i="12" s="1"/>
  <c r="I14" i="12" s="1"/>
  <c r="H11" i="25"/>
  <c r="H12" i="25" s="1"/>
  <c r="I11" i="14"/>
  <c r="I12" i="14" s="1"/>
  <c r="I14" i="14" s="1"/>
  <c r="C11" i="10"/>
  <c r="C12" i="10" s="1"/>
  <c r="I11" i="10"/>
  <c r="I12" i="10" s="1"/>
  <c r="I14" i="10" s="1"/>
  <c r="I11" i="2"/>
  <c r="I12" i="2" s="1"/>
  <c r="I14" i="2" s="1"/>
  <c r="B14" i="2" s="1"/>
  <c r="H11" i="2"/>
  <c r="H12" i="2" s="1"/>
  <c r="D11" i="2"/>
  <c r="D12" i="2" s="1"/>
  <c r="E11" i="2"/>
  <c r="E12" i="2" s="1"/>
  <c r="H11" i="22"/>
  <c r="H12" i="22" s="1"/>
  <c r="B11" i="29"/>
  <c r="B12" i="29" s="1"/>
  <c r="H11" i="29"/>
  <c r="H12" i="29" s="1"/>
  <c r="H11" i="12"/>
  <c r="H12" i="12" s="1"/>
  <c r="E11" i="30"/>
  <c r="E12" i="30" s="1"/>
  <c r="D11" i="19"/>
  <c r="D12" i="19" s="1"/>
  <c r="H11" i="20"/>
  <c r="H12" i="20" s="1"/>
  <c r="D11" i="20"/>
  <c r="D12" i="20" s="1"/>
  <c r="D11" i="23"/>
  <c r="D12" i="23" s="1"/>
  <c r="D11" i="24"/>
  <c r="D12" i="24" s="1"/>
  <c r="D11" i="25"/>
  <c r="D12" i="25" s="1"/>
  <c r="E11" i="32"/>
  <c r="E12" i="32" s="1"/>
  <c r="E11" i="36"/>
  <c r="E12" i="36" s="1"/>
  <c r="K9" i="38"/>
  <c r="D11" i="38" s="1"/>
  <c r="D12" i="38" s="1"/>
  <c r="C11" i="36"/>
  <c r="C12" i="36" s="1"/>
  <c r="G11" i="37"/>
  <c r="G12" i="37" s="1"/>
  <c r="C11" i="13"/>
  <c r="C12" i="13" s="1"/>
  <c r="H11" i="13"/>
  <c r="H12" i="13" s="1"/>
  <c r="D11" i="13"/>
  <c r="D12" i="13" s="1"/>
  <c r="E11" i="13"/>
  <c r="E12" i="13" s="1"/>
  <c r="B11" i="13"/>
  <c r="B12" i="13" s="1"/>
  <c r="I11" i="13"/>
  <c r="I12" i="13" s="1"/>
  <c r="E11" i="11"/>
  <c r="E12" i="11" s="1"/>
  <c r="I11" i="11"/>
  <c r="I12" i="11" s="1"/>
  <c r="D11" i="11"/>
  <c r="D12" i="11" s="1"/>
  <c r="H11" i="11"/>
  <c r="H12" i="11" s="1"/>
  <c r="C11" i="11"/>
  <c r="C12" i="11" s="1"/>
  <c r="C11" i="37"/>
  <c r="C12" i="37" s="1"/>
  <c r="E11" i="37"/>
  <c r="E12" i="37" s="1"/>
  <c r="H11" i="37"/>
  <c r="H12" i="37" s="1"/>
  <c r="B11" i="37"/>
  <c r="B12" i="37" s="1"/>
  <c r="I11" i="15"/>
  <c r="I12" i="15" s="1"/>
  <c r="D11" i="15"/>
  <c r="D12" i="15" s="1"/>
  <c r="B11" i="15"/>
  <c r="B12" i="15" s="1"/>
  <c r="E11" i="15"/>
  <c r="E12" i="15" s="1"/>
  <c r="C11" i="15"/>
  <c r="C12" i="15" s="1"/>
  <c r="G11" i="46"/>
  <c r="G12" i="46" s="1"/>
  <c r="H11" i="46"/>
  <c r="H12" i="46" s="1"/>
  <c r="D11" i="46"/>
  <c r="D12" i="46" s="1"/>
  <c r="I11" i="46"/>
  <c r="I12" i="46" s="1"/>
  <c r="E11" i="46"/>
  <c r="E12" i="46" s="1"/>
  <c r="C11" i="46"/>
  <c r="C12" i="46" s="1"/>
  <c r="B11" i="46"/>
  <c r="B12" i="46" s="1"/>
  <c r="B11" i="40"/>
  <c r="B12" i="40" s="1"/>
  <c r="I11" i="40"/>
  <c r="I12" i="40" s="1"/>
  <c r="G11" i="40"/>
  <c r="G12" i="40" s="1"/>
  <c r="D11" i="40"/>
  <c r="D12" i="40" s="1"/>
  <c r="H11" i="40"/>
  <c r="H12" i="40" s="1"/>
  <c r="E11" i="40"/>
  <c r="E12" i="40" s="1"/>
  <c r="C11" i="40"/>
  <c r="C12" i="40" s="1"/>
  <c r="B11" i="28"/>
  <c r="B12" i="28" s="1"/>
  <c r="D11" i="28"/>
  <c r="D12" i="28" s="1"/>
  <c r="I11" i="30"/>
  <c r="I12" i="30" s="1"/>
  <c r="D11" i="30"/>
  <c r="D12" i="30" s="1"/>
  <c r="H11" i="30"/>
  <c r="H12" i="30" s="1"/>
  <c r="B11" i="30"/>
  <c r="B12" i="30" s="1"/>
  <c r="E11" i="18"/>
  <c r="E12" i="18" s="1"/>
  <c r="H11" i="18"/>
  <c r="H12" i="18" s="1"/>
  <c r="B11" i="18"/>
  <c r="B12" i="18" s="1"/>
  <c r="C11" i="18"/>
  <c r="C12" i="18" s="1"/>
  <c r="I11" i="18"/>
  <c r="I12" i="18" s="1"/>
  <c r="D11" i="18"/>
  <c r="D12" i="18" s="1"/>
  <c r="C11" i="21"/>
  <c r="C12" i="21" s="1"/>
  <c r="I11" i="21"/>
  <c r="I12" i="21" s="1"/>
  <c r="E11" i="21"/>
  <c r="E12" i="21" s="1"/>
  <c r="D11" i="21"/>
  <c r="D12" i="21" s="1"/>
  <c r="H11" i="21"/>
  <c r="H12" i="21" s="1"/>
  <c r="I11" i="20"/>
  <c r="I12" i="20" s="1"/>
  <c r="C11" i="20"/>
  <c r="C12" i="20" s="1"/>
  <c r="E11" i="20"/>
  <c r="E12" i="20" s="1"/>
  <c r="E11" i="25"/>
  <c r="E12" i="25" s="1"/>
  <c r="I11" i="25"/>
  <c r="I12" i="25" s="1"/>
  <c r="C11" i="25"/>
  <c r="C12" i="25" s="1"/>
  <c r="C11" i="29"/>
  <c r="C12" i="29" s="1"/>
  <c r="I11" i="29"/>
  <c r="I12" i="29" s="1"/>
  <c r="E11" i="29"/>
  <c r="E12" i="29" s="1"/>
  <c r="B11" i="6"/>
  <c r="B12" i="6" s="1"/>
  <c r="C11" i="6"/>
  <c r="C12" i="6" s="1"/>
  <c r="G11" i="6"/>
  <c r="G12" i="6" s="1"/>
  <c r="I11" i="6"/>
  <c r="I12" i="6" s="1"/>
  <c r="D11" i="6"/>
  <c r="D12" i="6" s="1"/>
  <c r="H11" i="6"/>
  <c r="H12" i="6" s="1"/>
  <c r="E11" i="6"/>
  <c r="E12" i="6" s="1"/>
  <c r="H11" i="17"/>
  <c r="H12" i="17" s="1"/>
  <c r="E11" i="17"/>
  <c r="E12" i="17" s="1"/>
  <c r="C11" i="17"/>
  <c r="C12" i="17" s="1"/>
  <c r="B11" i="17"/>
  <c r="B12" i="17" s="1"/>
  <c r="I11" i="17"/>
  <c r="I12" i="17" s="1"/>
  <c r="D11" i="17"/>
  <c r="D12" i="17" s="1"/>
  <c r="G11" i="17"/>
  <c r="G12" i="17" s="1"/>
  <c r="B11" i="36"/>
  <c r="B12" i="36" s="1"/>
  <c r="I11" i="36"/>
  <c r="I12" i="36" s="1"/>
  <c r="H11" i="36"/>
  <c r="H12" i="36" s="1"/>
  <c r="D11" i="36"/>
  <c r="D12" i="36" s="1"/>
  <c r="I14" i="45"/>
  <c r="I15" i="45" s="1"/>
  <c r="I18" i="45" s="1"/>
  <c r="I22" i="45" s="1"/>
  <c r="C11" i="35"/>
  <c r="C12" i="35" s="1"/>
  <c r="B11" i="11"/>
  <c r="B12" i="11" s="1"/>
  <c r="I11" i="37"/>
  <c r="I12" i="37" s="1"/>
  <c r="E11" i="41"/>
  <c r="E12" i="41" s="1"/>
  <c r="H11" i="23"/>
  <c r="H12" i="23" s="1"/>
  <c r="H11" i="24"/>
  <c r="H12" i="24" s="1"/>
  <c r="J12" i="14"/>
  <c r="J15" i="14" s="1"/>
  <c r="J18" i="14" s="1"/>
  <c r="J22" i="14" s="1"/>
  <c r="E11" i="28"/>
  <c r="E12" i="28" s="1"/>
  <c r="C11" i="28"/>
  <c r="C12" i="28" s="1"/>
  <c r="D11" i="22"/>
  <c r="D12" i="22" s="1"/>
  <c r="B11" i="27"/>
  <c r="B12" i="27" s="1"/>
  <c r="H11" i="28"/>
  <c r="H12" i="28" s="1"/>
  <c r="H11" i="14"/>
  <c r="H12" i="14" s="1"/>
  <c r="G11" i="15"/>
  <c r="G12" i="15" s="1"/>
  <c r="G11" i="11"/>
  <c r="G12" i="11" s="1"/>
  <c r="G11" i="18"/>
  <c r="G12" i="18" s="1"/>
  <c r="G11" i="21"/>
  <c r="G12" i="21" s="1"/>
  <c r="G11" i="25"/>
  <c r="G12" i="25" s="1"/>
  <c r="G11" i="29"/>
  <c r="G12" i="29" s="1"/>
  <c r="E11" i="8"/>
  <c r="E12" i="8" s="1"/>
  <c r="C11" i="8"/>
  <c r="C12" i="8" s="1"/>
  <c r="H11" i="8"/>
  <c r="H12" i="8" s="1"/>
  <c r="D11" i="8"/>
  <c r="D12" i="8" s="1"/>
  <c r="I11" i="8"/>
  <c r="I12" i="8" s="1"/>
  <c r="G11" i="8"/>
  <c r="G12" i="8" s="1"/>
  <c r="B11" i="8"/>
  <c r="B12" i="8" s="1"/>
  <c r="D11" i="31"/>
  <c r="D12" i="31" s="1"/>
  <c r="E11" i="31"/>
  <c r="E12" i="31" s="1"/>
  <c r="C11" i="31"/>
  <c r="C12" i="31" s="1"/>
  <c r="G11" i="31"/>
  <c r="G12" i="31" s="1"/>
  <c r="I11" i="31"/>
  <c r="I12" i="31" s="1"/>
  <c r="B11" i="31"/>
  <c r="B12" i="31" s="1"/>
  <c r="H11" i="31"/>
  <c r="H12" i="31" s="1"/>
  <c r="B11" i="35"/>
  <c r="B12" i="35" s="1"/>
  <c r="D11" i="35"/>
  <c r="D12" i="35" s="1"/>
  <c r="H11" i="35"/>
  <c r="H12" i="35" s="1"/>
  <c r="I11" i="35"/>
  <c r="I12" i="35" s="1"/>
  <c r="E11" i="35"/>
  <c r="E12" i="35" s="1"/>
  <c r="G11" i="1"/>
  <c r="G12" i="1" s="1"/>
  <c r="I11" i="1"/>
  <c r="I12" i="1" s="1"/>
  <c r="C11" i="1"/>
  <c r="C12" i="1" s="1"/>
  <c r="D11" i="1"/>
  <c r="D12" i="1" s="1"/>
  <c r="H11" i="1"/>
  <c r="H12" i="1" s="1"/>
  <c r="B11" i="1"/>
  <c r="B12" i="1" s="1"/>
  <c r="E11" i="1"/>
  <c r="E12" i="1" s="1"/>
  <c r="B11" i="41"/>
  <c r="B12" i="41" s="1"/>
  <c r="H11" i="41"/>
  <c r="H12" i="41" s="1"/>
  <c r="D11" i="41"/>
  <c r="D12" i="41" s="1"/>
  <c r="I11" i="41"/>
  <c r="I12" i="41" s="1"/>
  <c r="G11" i="41"/>
  <c r="G12" i="41" s="1"/>
  <c r="C11" i="14"/>
  <c r="C12" i="14" s="1"/>
  <c r="E11" i="14"/>
  <c r="E12" i="14" s="1"/>
  <c r="I11" i="19"/>
  <c r="I12" i="19" s="1"/>
  <c r="H11" i="19"/>
  <c r="H12" i="19" s="1"/>
  <c r="E11" i="19"/>
  <c r="E12" i="19" s="1"/>
  <c r="C11" i="19"/>
  <c r="C12" i="19" s="1"/>
  <c r="I11" i="22"/>
  <c r="I12" i="22" s="1"/>
  <c r="E11" i="22"/>
  <c r="E12" i="22" s="1"/>
  <c r="C11" i="22"/>
  <c r="C12" i="22" s="1"/>
  <c r="E11" i="23"/>
  <c r="E12" i="23" s="1"/>
  <c r="C11" i="23"/>
  <c r="C12" i="23" s="1"/>
  <c r="B11" i="23"/>
  <c r="B12" i="23" s="1"/>
  <c r="I11" i="23"/>
  <c r="I12" i="23" s="1"/>
  <c r="I11" i="24"/>
  <c r="I12" i="24" s="1"/>
  <c r="E11" i="24"/>
  <c r="E12" i="24" s="1"/>
  <c r="C11" i="24"/>
  <c r="C12" i="24" s="1"/>
  <c r="G11" i="24"/>
  <c r="G12" i="24" s="1"/>
  <c r="I11" i="27"/>
  <c r="I12" i="27" s="1"/>
  <c r="G11" i="27"/>
  <c r="G12" i="27" s="1"/>
  <c r="E11" i="27"/>
  <c r="E12" i="27" s="1"/>
  <c r="H11" i="27"/>
  <c r="H12" i="27" s="1"/>
  <c r="C11" i="27"/>
  <c r="C12" i="27" s="1"/>
  <c r="I11" i="4"/>
  <c r="I12" i="4" s="1"/>
  <c r="C11" i="4"/>
  <c r="C12" i="4" s="1"/>
  <c r="E11" i="4"/>
  <c r="E12" i="4" s="1"/>
  <c r="B11" i="4"/>
  <c r="B12" i="4" s="1"/>
  <c r="G11" i="4"/>
  <c r="G12" i="4" s="1"/>
  <c r="D11" i="4"/>
  <c r="D12" i="4" s="1"/>
  <c r="B11" i="9"/>
  <c r="B12" i="9" s="1"/>
  <c r="E11" i="9"/>
  <c r="E12" i="9" s="1"/>
  <c r="I11" i="9"/>
  <c r="I12" i="9" s="1"/>
  <c r="G11" i="9"/>
  <c r="G12" i="9" s="1"/>
  <c r="D11" i="9"/>
  <c r="D12" i="9" s="1"/>
  <c r="C11" i="9"/>
  <c r="C12" i="9" s="1"/>
  <c r="H11" i="9"/>
  <c r="H12" i="9" s="1"/>
  <c r="D11" i="32"/>
  <c r="D12" i="32" s="1"/>
  <c r="H11" i="32"/>
  <c r="H12" i="32" s="1"/>
  <c r="B11" i="32"/>
  <c r="B12" i="32" s="1"/>
  <c r="I11" i="32"/>
  <c r="I12" i="32" s="1"/>
  <c r="I11" i="28"/>
  <c r="I12" i="28" s="1"/>
  <c r="D11" i="14"/>
  <c r="D12" i="14" s="1"/>
  <c r="B11" i="14"/>
  <c r="B12" i="14" s="1"/>
  <c r="G11" i="13"/>
  <c r="G12" i="13" s="1"/>
  <c r="G11" i="22"/>
  <c r="G12" i="22" s="1"/>
  <c r="G11" i="30"/>
  <c r="G12" i="30" s="1"/>
  <c r="G11" i="19"/>
  <c r="G12" i="19" s="1"/>
  <c r="G11" i="20"/>
  <c r="G12" i="20" s="1"/>
  <c r="G11" i="35"/>
  <c r="G12" i="35" s="1"/>
  <c r="G11" i="14"/>
  <c r="G12" i="14" s="1"/>
  <c r="G11" i="28"/>
  <c r="G12" i="28" s="1"/>
  <c r="K15" i="48" l="1"/>
  <c r="C17" i="49"/>
  <c r="C18" i="49" s="1"/>
  <c r="D17" i="49"/>
  <c r="D18" i="49" s="1"/>
  <c r="G17" i="49"/>
  <c r="G18" i="49" s="1"/>
  <c r="G20" i="49" s="1"/>
  <c r="E17" i="49"/>
  <c r="E18" i="49" s="1"/>
  <c r="B17" i="49"/>
  <c r="B18" i="49" s="1"/>
  <c r="G14" i="5"/>
  <c r="G15" i="5" s="1"/>
  <c r="B15" i="2"/>
  <c r="H14" i="5"/>
  <c r="H15" i="5" s="1"/>
  <c r="H17" i="5" s="1"/>
  <c r="D17" i="5" s="1"/>
  <c r="E14" i="5"/>
  <c r="E15" i="5" s="1"/>
  <c r="I15" i="5"/>
  <c r="I18" i="5" s="1"/>
  <c r="I22" i="5" s="1"/>
  <c r="B14" i="5"/>
  <c r="B15" i="5" s="1"/>
  <c r="K12" i="45"/>
  <c r="G11" i="44"/>
  <c r="G12" i="44" s="1"/>
  <c r="E17" i="48"/>
  <c r="E18" i="48" s="1"/>
  <c r="C17" i="48"/>
  <c r="C18" i="48" s="1"/>
  <c r="B17" i="48"/>
  <c r="B18" i="48" s="1"/>
  <c r="D17" i="48"/>
  <c r="D18" i="48" s="1"/>
  <c r="G17" i="48"/>
  <c r="G18" i="48" s="1"/>
  <c r="G20" i="48" s="1"/>
  <c r="D14" i="5"/>
  <c r="D15" i="5" s="1"/>
  <c r="H14" i="2"/>
  <c r="H15" i="2" s="1"/>
  <c r="H17" i="2" s="1"/>
  <c r="H18" i="2" s="1"/>
  <c r="H22" i="2" s="1"/>
  <c r="G14" i="2"/>
  <c r="G15" i="2" s="1"/>
  <c r="K12" i="5"/>
  <c r="K12" i="7"/>
  <c r="K12" i="10"/>
  <c r="G11" i="39"/>
  <c r="G12" i="39" s="1"/>
  <c r="E11" i="39"/>
  <c r="E12" i="39" s="1"/>
  <c r="C11" i="39"/>
  <c r="C12" i="39" s="1"/>
  <c r="I11" i="39"/>
  <c r="I12" i="39" s="1"/>
  <c r="I14" i="39" s="1"/>
  <c r="I15" i="39" s="1"/>
  <c r="I18" i="39" s="1"/>
  <c r="I22" i="39" s="1"/>
  <c r="B11" i="39"/>
  <c r="B12" i="39" s="1"/>
  <c r="H11" i="39"/>
  <c r="H12" i="39" s="1"/>
  <c r="C11" i="44"/>
  <c r="C12" i="44" s="1"/>
  <c r="H11" i="44"/>
  <c r="H12" i="44" s="1"/>
  <c r="B11" i="44"/>
  <c r="B12" i="44" s="1"/>
  <c r="I11" i="44"/>
  <c r="I12" i="44" s="1"/>
  <c r="I14" i="44" s="1"/>
  <c r="I15" i="44" s="1"/>
  <c r="I18" i="44" s="1"/>
  <c r="I22" i="44" s="1"/>
  <c r="E11" i="44"/>
  <c r="E12" i="44" s="1"/>
  <c r="K12" i="12"/>
  <c r="K12" i="34"/>
  <c r="D14" i="2"/>
  <c r="D15" i="2" s="1"/>
  <c r="I15" i="2"/>
  <c r="I18" i="2" s="1"/>
  <c r="I22" i="2" s="1"/>
  <c r="C14" i="2"/>
  <c r="C15" i="2" s="1"/>
  <c r="E14" i="2"/>
  <c r="E15" i="2" s="1"/>
  <c r="K12" i="2"/>
  <c r="K12" i="24"/>
  <c r="K12" i="19"/>
  <c r="K12" i="20"/>
  <c r="C11" i="38"/>
  <c r="C12" i="38" s="1"/>
  <c r="B11" i="38"/>
  <c r="B12" i="38" s="1"/>
  <c r="G11" i="38"/>
  <c r="G12" i="38" s="1"/>
  <c r="H11" i="38"/>
  <c r="H12" i="38" s="1"/>
  <c r="I11" i="38"/>
  <c r="I12" i="38" s="1"/>
  <c r="I14" i="38" s="1"/>
  <c r="C14" i="38" s="1"/>
  <c r="E11" i="38"/>
  <c r="E12" i="38" s="1"/>
  <c r="B14" i="12"/>
  <c r="B15" i="12" s="1"/>
  <c r="C14" i="12"/>
  <c r="C15" i="12" s="1"/>
  <c r="D14" i="12"/>
  <c r="D15" i="12" s="1"/>
  <c r="E14" i="12"/>
  <c r="E15" i="12" s="1"/>
  <c r="H14" i="12"/>
  <c r="H15" i="12" s="1"/>
  <c r="G14" i="12"/>
  <c r="G15" i="12" s="1"/>
  <c r="I14" i="32"/>
  <c r="I15" i="32" s="1"/>
  <c r="I18" i="32" s="1"/>
  <c r="I22" i="32" s="1"/>
  <c r="K12" i="32"/>
  <c r="K12" i="9"/>
  <c r="I14" i="4"/>
  <c r="I15" i="4" s="1"/>
  <c r="I18" i="4" s="1"/>
  <c r="I22" i="4" s="1"/>
  <c r="G14" i="7"/>
  <c r="G15" i="7" s="1"/>
  <c r="H14" i="7"/>
  <c r="H15" i="7" s="1"/>
  <c r="C14" i="7"/>
  <c r="C15" i="7" s="1"/>
  <c r="D14" i="7"/>
  <c r="D15" i="7" s="1"/>
  <c r="E14" i="7"/>
  <c r="E15" i="7" s="1"/>
  <c r="B14" i="7"/>
  <c r="B15" i="7" s="1"/>
  <c r="I14" i="27"/>
  <c r="I15" i="27" s="1"/>
  <c r="I18" i="27" s="1"/>
  <c r="I22" i="27" s="1"/>
  <c r="K12" i="23"/>
  <c r="I14" i="19"/>
  <c r="I15" i="19" s="1"/>
  <c r="I18" i="19" s="1"/>
  <c r="I22" i="19" s="1"/>
  <c r="K12" i="41"/>
  <c r="I14" i="35"/>
  <c r="I15" i="35" s="1"/>
  <c r="I18" i="35" s="1"/>
  <c r="I22" i="35" s="1"/>
  <c r="K12" i="31"/>
  <c r="K12" i="27"/>
  <c r="I14" i="37"/>
  <c r="I15" i="37" s="1"/>
  <c r="I18" i="37" s="1"/>
  <c r="I22" i="37" s="1"/>
  <c r="D14" i="10"/>
  <c r="D15" i="10" s="1"/>
  <c r="B14" i="10"/>
  <c r="B15" i="10" s="1"/>
  <c r="G14" i="10"/>
  <c r="G15" i="10" s="1"/>
  <c r="H14" i="10"/>
  <c r="H15" i="10" s="1"/>
  <c r="E14" i="10"/>
  <c r="E15" i="10" s="1"/>
  <c r="C14" i="10"/>
  <c r="C15" i="10" s="1"/>
  <c r="K12" i="36"/>
  <c r="I14" i="17"/>
  <c r="I15" i="17" s="1"/>
  <c r="I18" i="17" s="1"/>
  <c r="I22" i="17" s="1"/>
  <c r="K12" i="6"/>
  <c r="I14" i="25"/>
  <c r="I15" i="25" s="1"/>
  <c r="I18" i="25" s="1"/>
  <c r="I22" i="25" s="1"/>
  <c r="I14" i="20"/>
  <c r="I15" i="20" s="1"/>
  <c r="I18" i="20" s="1"/>
  <c r="I22" i="20" s="1"/>
  <c r="I14" i="21"/>
  <c r="I15" i="21" s="1"/>
  <c r="I18" i="21" s="1"/>
  <c r="I22" i="21" s="1"/>
  <c r="I14" i="18"/>
  <c r="I15" i="18" s="1"/>
  <c r="I18" i="18" s="1"/>
  <c r="I22" i="18" s="1"/>
  <c r="K12" i="18"/>
  <c r="K12" i="30"/>
  <c r="I14" i="30"/>
  <c r="I15" i="30" s="1"/>
  <c r="I18" i="30" s="1"/>
  <c r="I22" i="30" s="1"/>
  <c r="K12" i="28"/>
  <c r="K12" i="40"/>
  <c r="K12" i="46"/>
  <c r="K12" i="15"/>
  <c r="I14" i="15"/>
  <c r="I15" i="15" s="1"/>
  <c r="I18" i="15" s="1"/>
  <c r="I22" i="15" s="1"/>
  <c r="K12" i="37"/>
  <c r="I14" i="11"/>
  <c r="I15" i="11" s="1"/>
  <c r="I18" i="11" s="1"/>
  <c r="I22" i="11" s="1"/>
  <c r="K12" i="13"/>
  <c r="D14" i="14"/>
  <c r="D15" i="14" s="1"/>
  <c r="B14" i="14"/>
  <c r="B15" i="14" s="1"/>
  <c r="E14" i="14"/>
  <c r="E15" i="14" s="1"/>
  <c r="G14" i="14"/>
  <c r="G15" i="14" s="1"/>
  <c r="H14" i="14"/>
  <c r="H15" i="14" s="1"/>
  <c r="C14" i="14"/>
  <c r="C15" i="14" s="1"/>
  <c r="K12" i="29"/>
  <c r="G14" i="34"/>
  <c r="G15" i="34" s="1"/>
  <c r="E14" i="34"/>
  <c r="E15" i="34" s="1"/>
  <c r="C14" i="34"/>
  <c r="C15" i="34" s="1"/>
  <c r="H14" i="34"/>
  <c r="H15" i="34" s="1"/>
  <c r="B14" i="34"/>
  <c r="B15" i="34" s="1"/>
  <c r="D14" i="34"/>
  <c r="D15" i="34" s="1"/>
  <c r="I14" i="9"/>
  <c r="I15" i="9" s="1"/>
  <c r="I18" i="9" s="1"/>
  <c r="I22" i="9" s="1"/>
  <c r="K12" i="14"/>
  <c r="I14" i="28"/>
  <c r="I15" i="28" s="1"/>
  <c r="I18" i="28" s="1"/>
  <c r="I22" i="28" s="1"/>
  <c r="K12" i="4"/>
  <c r="I14" i="24"/>
  <c r="I15" i="24" s="1"/>
  <c r="I18" i="24" s="1"/>
  <c r="I22" i="24" s="1"/>
  <c r="I14" i="23"/>
  <c r="I15" i="23" s="1"/>
  <c r="I18" i="23" s="1"/>
  <c r="I22" i="23" s="1"/>
  <c r="I14" i="22"/>
  <c r="I15" i="22" s="1"/>
  <c r="I18" i="22" s="1"/>
  <c r="I22" i="22" s="1"/>
  <c r="I14" i="41"/>
  <c r="I15" i="41" s="1"/>
  <c r="I18" i="41" s="1"/>
  <c r="I22" i="41" s="1"/>
  <c r="K12" i="1"/>
  <c r="I14" i="1"/>
  <c r="I15" i="1" s="1"/>
  <c r="I18" i="1" s="1"/>
  <c r="I22" i="1" s="1"/>
  <c r="K12" i="35"/>
  <c r="I14" i="31"/>
  <c r="I15" i="31" s="1"/>
  <c r="I18" i="31" s="1"/>
  <c r="I22" i="31" s="1"/>
  <c r="K12" i="8"/>
  <c r="I14" i="8"/>
  <c r="I15" i="8" s="1"/>
  <c r="I18" i="8" s="1"/>
  <c r="I22" i="8" s="1"/>
  <c r="K12" i="11"/>
  <c r="D14" i="45"/>
  <c r="D15" i="45" s="1"/>
  <c r="H14" i="45"/>
  <c r="H15" i="45" s="1"/>
  <c r="G14" i="45"/>
  <c r="G15" i="45" s="1"/>
  <c r="B14" i="45"/>
  <c r="B15" i="45" s="1"/>
  <c r="C14" i="45"/>
  <c r="C15" i="45" s="1"/>
  <c r="E14" i="45"/>
  <c r="E15" i="45" s="1"/>
  <c r="I14" i="36"/>
  <c r="I15" i="36" s="1"/>
  <c r="I18" i="36" s="1"/>
  <c r="I22" i="36" s="1"/>
  <c r="K12" i="17"/>
  <c r="I14" i="6"/>
  <c r="I15" i="6" s="1"/>
  <c r="I18" i="6" s="1"/>
  <c r="I22" i="6" s="1"/>
  <c r="I14" i="29"/>
  <c r="I15" i="29" s="1"/>
  <c r="I18" i="29" s="1"/>
  <c r="I22" i="29" s="1"/>
  <c r="I14" i="40"/>
  <c r="I15" i="40" s="1"/>
  <c r="I18" i="40" s="1"/>
  <c r="I22" i="40" s="1"/>
  <c r="I14" i="46"/>
  <c r="I15" i="46" s="1"/>
  <c r="I18" i="46" s="1"/>
  <c r="I22" i="46" s="1"/>
  <c r="I14" i="13"/>
  <c r="I15" i="13" s="1"/>
  <c r="I18" i="13" s="1"/>
  <c r="I22" i="13" s="1"/>
  <c r="I15" i="12"/>
  <c r="I18" i="12" s="1"/>
  <c r="I22" i="12" s="1"/>
  <c r="I15" i="34"/>
  <c r="I18" i="34" s="1"/>
  <c r="I22" i="34" s="1"/>
  <c r="I15" i="7"/>
  <c r="I18" i="7" s="1"/>
  <c r="I22" i="7" s="1"/>
  <c r="I15" i="10"/>
  <c r="I18" i="10" s="1"/>
  <c r="I22" i="10" s="1"/>
  <c r="I15" i="14"/>
  <c r="I18" i="14" s="1"/>
  <c r="I22" i="14" s="1"/>
  <c r="K12" i="25"/>
  <c r="K12" i="22"/>
  <c r="K12" i="21"/>
  <c r="K18" i="49" l="1"/>
  <c r="G22" i="49"/>
  <c r="B20" i="49"/>
  <c r="C20" i="49"/>
  <c r="C22" i="49" s="1"/>
  <c r="D20" i="49"/>
  <c r="D22" i="49" s="1"/>
  <c r="E20" i="49"/>
  <c r="E22" i="49" s="1"/>
  <c r="G22" i="48"/>
  <c r="D20" i="48"/>
  <c r="D22" i="48" s="1"/>
  <c r="B20" i="48"/>
  <c r="C20" i="48"/>
  <c r="C22" i="48" s="1"/>
  <c r="E20" i="48"/>
  <c r="E22" i="48" s="1"/>
  <c r="K18" i="48"/>
  <c r="D18" i="5"/>
  <c r="K12" i="44"/>
  <c r="K15" i="2"/>
  <c r="B17" i="5"/>
  <c r="B18" i="5" s="1"/>
  <c r="H18" i="5"/>
  <c r="H22" i="5" s="1"/>
  <c r="E17" i="5"/>
  <c r="E18" i="5" s="1"/>
  <c r="C17" i="5"/>
  <c r="C18" i="5" s="1"/>
  <c r="G17" i="5"/>
  <c r="G18" i="5" s="1"/>
  <c r="G20" i="5" s="1"/>
  <c r="B20" i="5" s="1"/>
  <c r="K15" i="5"/>
  <c r="K12" i="39"/>
  <c r="B17" i="2"/>
  <c r="B18" i="2" s="1"/>
  <c r="E17" i="2"/>
  <c r="E18" i="2" s="1"/>
  <c r="D17" i="2"/>
  <c r="D18" i="2" s="1"/>
  <c r="C15" i="38"/>
  <c r="C17" i="2"/>
  <c r="C18" i="2" s="1"/>
  <c r="G17" i="2"/>
  <c r="G18" i="2" s="1"/>
  <c r="G20" i="2" s="1"/>
  <c r="D20" i="2" s="1"/>
  <c r="I15" i="38"/>
  <c r="I18" i="38" s="1"/>
  <c r="I22" i="38" s="1"/>
  <c r="D14" i="38"/>
  <c r="D15" i="38" s="1"/>
  <c r="G14" i="38"/>
  <c r="G15" i="38" s="1"/>
  <c r="B14" i="38"/>
  <c r="B15" i="38" s="1"/>
  <c r="K12" i="38"/>
  <c r="E14" i="38"/>
  <c r="E15" i="38" s="1"/>
  <c r="H14" i="38"/>
  <c r="H15" i="38" s="1"/>
  <c r="H17" i="38" s="1"/>
  <c r="H18" i="38" s="1"/>
  <c r="H22" i="38" s="1"/>
  <c r="H17" i="14"/>
  <c r="H18" i="14" s="1"/>
  <c r="H22" i="14" s="1"/>
  <c r="H17" i="45"/>
  <c r="H18" i="45" s="1"/>
  <c r="H22" i="45" s="1"/>
  <c r="E14" i="13"/>
  <c r="E15" i="13" s="1"/>
  <c r="H14" i="13"/>
  <c r="H15" i="13" s="1"/>
  <c r="B14" i="13"/>
  <c r="B15" i="13" s="1"/>
  <c r="C14" i="13"/>
  <c r="C15" i="13" s="1"/>
  <c r="G14" i="13"/>
  <c r="G15" i="13" s="1"/>
  <c r="D14" i="13"/>
  <c r="D15" i="13" s="1"/>
  <c r="D14" i="46"/>
  <c r="D15" i="46" s="1"/>
  <c r="C14" i="46"/>
  <c r="C15" i="46" s="1"/>
  <c r="H14" i="46"/>
  <c r="H15" i="46" s="1"/>
  <c r="B14" i="46"/>
  <c r="B15" i="46" s="1"/>
  <c r="G14" i="46"/>
  <c r="G15" i="46" s="1"/>
  <c r="E14" i="46"/>
  <c r="E15" i="46" s="1"/>
  <c r="B14" i="40"/>
  <c r="B15" i="40" s="1"/>
  <c r="D14" i="40"/>
  <c r="D15" i="40" s="1"/>
  <c r="G14" i="40"/>
  <c r="G15" i="40" s="1"/>
  <c r="C14" i="40"/>
  <c r="C15" i="40" s="1"/>
  <c r="E14" i="40"/>
  <c r="E15" i="40" s="1"/>
  <c r="H14" i="40"/>
  <c r="H15" i="40" s="1"/>
  <c r="B14" i="29"/>
  <c r="B15" i="29" s="1"/>
  <c r="D14" i="29"/>
  <c r="D15" i="29" s="1"/>
  <c r="H14" i="29"/>
  <c r="H15" i="29" s="1"/>
  <c r="C14" i="29"/>
  <c r="C15" i="29" s="1"/>
  <c r="G14" i="29"/>
  <c r="G15" i="29" s="1"/>
  <c r="E14" i="29"/>
  <c r="E15" i="29" s="1"/>
  <c r="D14" i="6"/>
  <c r="D15" i="6" s="1"/>
  <c r="E14" i="6"/>
  <c r="E15" i="6" s="1"/>
  <c r="G14" i="6"/>
  <c r="G15" i="6" s="1"/>
  <c r="B14" i="6"/>
  <c r="B15" i="6" s="1"/>
  <c r="C14" i="6"/>
  <c r="C15" i="6" s="1"/>
  <c r="H14" i="6"/>
  <c r="H15" i="6" s="1"/>
  <c r="H14" i="8"/>
  <c r="H15" i="8" s="1"/>
  <c r="B14" i="8"/>
  <c r="B15" i="8" s="1"/>
  <c r="C14" i="8"/>
  <c r="C15" i="8" s="1"/>
  <c r="D14" i="8"/>
  <c r="D15" i="8" s="1"/>
  <c r="E14" i="8"/>
  <c r="E15" i="8" s="1"/>
  <c r="G14" i="8"/>
  <c r="G15" i="8" s="1"/>
  <c r="G14" i="41"/>
  <c r="G15" i="41" s="1"/>
  <c r="B14" i="41"/>
  <c r="B15" i="41" s="1"/>
  <c r="D14" i="41"/>
  <c r="D15" i="41" s="1"/>
  <c r="H14" i="41"/>
  <c r="H15" i="41" s="1"/>
  <c r="C14" i="41"/>
  <c r="C15" i="41" s="1"/>
  <c r="E14" i="41"/>
  <c r="E15" i="41" s="1"/>
  <c r="B14" i="24"/>
  <c r="B15" i="24" s="1"/>
  <c r="C14" i="24"/>
  <c r="C15" i="24" s="1"/>
  <c r="D14" i="24"/>
  <c r="D15" i="24" s="1"/>
  <c r="E14" i="24"/>
  <c r="E15" i="24" s="1"/>
  <c r="G14" i="24"/>
  <c r="G15" i="24" s="1"/>
  <c r="H14" i="24"/>
  <c r="H15" i="24" s="1"/>
  <c r="H17" i="34"/>
  <c r="H18" i="34" s="1"/>
  <c r="H22" i="34" s="1"/>
  <c r="E14" i="11"/>
  <c r="E15" i="11" s="1"/>
  <c r="H14" i="11"/>
  <c r="H15" i="11" s="1"/>
  <c r="C14" i="11"/>
  <c r="C15" i="11" s="1"/>
  <c r="D14" i="11"/>
  <c r="D15" i="11" s="1"/>
  <c r="B14" i="11"/>
  <c r="B15" i="11" s="1"/>
  <c r="G14" i="11"/>
  <c r="G15" i="11" s="1"/>
  <c r="C14" i="15"/>
  <c r="C15" i="15" s="1"/>
  <c r="E14" i="15"/>
  <c r="E15" i="15" s="1"/>
  <c r="B14" i="15"/>
  <c r="B15" i="15" s="1"/>
  <c r="H14" i="15"/>
  <c r="H15" i="15" s="1"/>
  <c r="D14" i="15"/>
  <c r="D15" i="15" s="1"/>
  <c r="G14" i="15"/>
  <c r="G15" i="15" s="1"/>
  <c r="B14" i="39"/>
  <c r="B15" i="39" s="1"/>
  <c r="D14" i="39"/>
  <c r="D15" i="39" s="1"/>
  <c r="G14" i="39"/>
  <c r="G15" i="39" s="1"/>
  <c r="C14" i="39"/>
  <c r="C15" i="39" s="1"/>
  <c r="E14" i="39"/>
  <c r="E15" i="39" s="1"/>
  <c r="H14" i="39"/>
  <c r="H15" i="39" s="1"/>
  <c r="G14" i="20"/>
  <c r="G15" i="20" s="1"/>
  <c r="D14" i="20"/>
  <c r="D15" i="20" s="1"/>
  <c r="B14" i="20"/>
  <c r="B15" i="20" s="1"/>
  <c r="E14" i="20"/>
  <c r="E15" i="20" s="1"/>
  <c r="C14" i="20"/>
  <c r="C15" i="20" s="1"/>
  <c r="H14" i="20"/>
  <c r="H15" i="20" s="1"/>
  <c r="E14" i="25"/>
  <c r="E15" i="25" s="1"/>
  <c r="C14" i="25"/>
  <c r="C15" i="25" s="1"/>
  <c r="H14" i="25"/>
  <c r="H15" i="25" s="1"/>
  <c r="D14" i="25"/>
  <c r="D15" i="25" s="1"/>
  <c r="B14" i="25"/>
  <c r="B15" i="25" s="1"/>
  <c r="G14" i="25"/>
  <c r="G15" i="25" s="1"/>
  <c r="E14" i="44"/>
  <c r="E15" i="44" s="1"/>
  <c r="C14" i="44"/>
  <c r="C15" i="44" s="1"/>
  <c r="B14" i="44"/>
  <c r="B15" i="44" s="1"/>
  <c r="G14" i="44"/>
  <c r="G15" i="44" s="1"/>
  <c r="D14" i="44"/>
  <c r="D15" i="44" s="1"/>
  <c r="H14" i="44"/>
  <c r="H15" i="44" s="1"/>
  <c r="D14" i="17"/>
  <c r="D15" i="17" s="1"/>
  <c r="B14" i="17"/>
  <c r="B15" i="17" s="1"/>
  <c r="H14" i="17"/>
  <c r="H15" i="17" s="1"/>
  <c r="E14" i="17"/>
  <c r="E15" i="17" s="1"/>
  <c r="G14" i="17"/>
  <c r="G15" i="17" s="1"/>
  <c r="C14" i="17"/>
  <c r="C15" i="17" s="1"/>
  <c r="D14" i="35"/>
  <c r="D15" i="35" s="1"/>
  <c r="E14" i="35"/>
  <c r="E15" i="35" s="1"/>
  <c r="B14" i="35"/>
  <c r="B15" i="35" s="1"/>
  <c r="H14" i="35"/>
  <c r="H15" i="35" s="1"/>
  <c r="C14" i="35"/>
  <c r="C15" i="35" s="1"/>
  <c r="G14" i="35"/>
  <c r="G15" i="35" s="1"/>
  <c r="D14" i="27"/>
  <c r="D15" i="27" s="1"/>
  <c r="H14" i="27"/>
  <c r="H15" i="27" s="1"/>
  <c r="G14" i="27"/>
  <c r="G15" i="27" s="1"/>
  <c r="B14" i="27"/>
  <c r="B15" i="27" s="1"/>
  <c r="C14" i="27"/>
  <c r="C15" i="27" s="1"/>
  <c r="E14" i="27"/>
  <c r="E15" i="27" s="1"/>
  <c r="G14" i="4"/>
  <c r="G15" i="4" s="1"/>
  <c r="D14" i="4"/>
  <c r="D15" i="4" s="1"/>
  <c r="C14" i="4"/>
  <c r="C15" i="4" s="1"/>
  <c r="E14" i="4"/>
  <c r="E15" i="4" s="1"/>
  <c r="B14" i="4"/>
  <c r="B15" i="4" s="1"/>
  <c r="H14" i="4"/>
  <c r="H15" i="4" s="1"/>
  <c r="G14" i="32"/>
  <c r="G15" i="32" s="1"/>
  <c r="E14" i="32"/>
  <c r="E15" i="32" s="1"/>
  <c r="B14" i="32"/>
  <c r="B15" i="32" s="1"/>
  <c r="H14" i="32"/>
  <c r="H15" i="32" s="1"/>
  <c r="D14" i="32"/>
  <c r="D15" i="32" s="1"/>
  <c r="C14" i="32"/>
  <c r="C15" i="32" s="1"/>
  <c r="H17" i="12"/>
  <c r="H18" i="12" s="1"/>
  <c r="H22" i="12" s="1"/>
  <c r="K15" i="12"/>
  <c r="G14" i="36"/>
  <c r="G15" i="36" s="1"/>
  <c r="B14" i="36"/>
  <c r="B15" i="36" s="1"/>
  <c r="C14" i="36"/>
  <c r="C15" i="36" s="1"/>
  <c r="D14" i="36"/>
  <c r="D15" i="36" s="1"/>
  <c r="E14" i="36"/>
  <c r="E15" i="36" s="1"/>
  <c r="H14" i="36"/>
  <c r="H15" i="36" s="1"/>
  <c r="K15" i="45"/>
  <c r="G14" i="31"/>
  <c r="G15" i="31" s="1"/>
  <c r="E14" i="31"/>
  <c r="E15" i="31" s="1"/>
  <c r="B14" i="31"/>
  <c r="B15" i="31" s="1"/>
  <c r="H14" i="31"/>
  <c r="H15" i="31" s="1"/>
  <c r="C14" i="31"/>
  <c r="C15" i="31" s="1"/>
  <c r="D14" i="31"/>
  <c r="D15" i="31" s="1"/>
  <c r="C14" i="1"/>
  <c r="C15" i="1" s="1"/>
  <c r="E14" i="1"/>
  <c r="E15" i="1" s="1"/>
  <c r="H14" i="1"/>
  <c r="H15" i="1" s="1"/>
  <c r="D14" i="1"/>
  <c r="D15" i="1" s="1"/>
  <c r="G14" i="1"/>
  <c r="G15" i="1" s="1"/>
  <c r="B14" i="1"/>
  <c r="B15" i="1" s="1"/>
  <c r="B14" i="22"/>
  <c r="B15" i="22" s="1"/>
  <c r="H14" i="22"/>
  <c r="H15" i="22" s="1"/>
  <c r="D14" i="22"/>
  <c r="D15" i="22" s="1"/>
  <c r="C14" i="22"/>
  <c r="C15" i="22" s="1"/>
  <c r="G14" i="22"/>
  <c r="G15" i="22" s="1"/>
  <c r="E14" i="22"/>
  <c r="E15" i="22" s="1"/>
  <c r="G14" i="23"/>
  <c r="G15" i="23" s="1"/>
  <c r="D14" i="23"/>
  <c r="D15" i="23" s="1"/>
  <c r="H14" i="23"/>
  <c r="H15" i="23" s="1"/>
  <c r="B14" i="23"/>
  <c r="B15" i="23" s="1"/>
  <c r="E14" i="23"/>
  <c r="E15" i="23" s="1"/>
  <c r="C14" i="23"/>
  <c r="C15" i="23" s="1"/>
  <c r="D14" i="28"/>
  <c r="D15" i="28" s="1"/>
  <c r="C14" i="28"/>
  <c r="C15" i="28" s="1"/>
  <c r="E14" i="28"/>
  <c r="E15" i="28" s="1"/>
  <c r="G14" i="28"/>
  <c r="G15" i="28" s="1"/>
  <c r="B14" i="28"/>
  <c r="B15" i="28" s="1"/>
  <c r="H14" i="28"/>
  <c r="H15" i="28" s="1"/>
  <c r="K15" i="14"/>
  <c r="B14" i="9"/>
  <c r="B15" i="9" s="1"/>
  <c r="C14" i="9"/>
  <c r="C15" i="9" s="1"/>
  <c r="H14" i="9"/>
  <c r="H15" i="9" s="1"/>
  <c r="G14" i="9"/>
  <c r="G15" i="9" s="1"/>
  <c r="E14" i="9"/>
  <c r="E15" i="9" s="1"/>
  <c r="D14" i="9"/>
  <c r="D15" i="9" s="1"/>
  <c r="K15" i="34"/>
  <c r="B14" i="30"/>
  <c r="B15" i="30" s="1"/>
  <c r="H14" i="30"/>
  <c r="H15" i="30" s="1"/>
  <c r="D14" i="30"/>
  <c r="D15" i="30" s="1"/>
  <c r="C14" i="30"/>
  <c r="C15" i="30" s="1"/>
  <c r="E14" i="30"/>
  <c r="E15" i="30" s="1"/>
  <c r="G14" i="30"/>
  <c r="G15" i="30" s="1"/>
  <c r="H14" i="18"/>
  <c r="H15" i="18" s="1"/>
  <c r="C14" i="18"/>
  <c r="C15" i="18" s="1"/>
  <c r="E14" i="18"/>
  <c r="E15" i="18" s="1"/>
  <c r="G14" i="18"/>
  <c r="G15" i="18" s="1"/>
  <c r="B14" i="18"/>
  <c r="B15" i="18" s="1"/>
  <c r="D14" i="18"/>
  <c r="D15" i="18" s="1"/>
  <c r="D14" i="21"/>
  <c r="D15" i="21" s="1"/>
  <c r="C14" i="21"/>
  <c r="C15" i="21" s="1"/>
  <c r="H14" i="21"/>
  <c r="H15" i="21" s="1"/>
  <c r="B14" i="21"/>
  <c r="B15" i="21" s="1"/>
  <c r="E14" i="21"/>
  <c r="E15" i="21" s="1"/>
  <c r="G14" i="21"/>
  <c r="G15" i="21" s="1"/>
  <c r="H17" i="10"/>
  <c r="H18" i="10" s="1"/>
  <c r="H22" i="10" s="1"/>
  <c r="K15" i="10"/>
  <c r="E14" i="37"/>
  <c r="E15" i="37" s="1"/>
  <c r="C14" i="37"/>
  <c r="C15" i="37" s="1"/>
  <c r="H14" i="37"/>
  <c r="H15" i="37" s="1"/>
  <c r="D14" i="37"/>
  <c r="D15" i="37" s="1"/>
  <c r="B14" i="37"/>
  <c r="B15" i="37" s="1"/>
  <c r="G14" i="37"/>
  <c r="G15" i="37" s="1"/>
  <c r="B14" i="19"/>
  <c r="B15" i="19" s="1"/>
  <c r="C14" i="19"/>
  <c r="C15" i="19" s="1"/>
  <c r="G14" i="19"/>
  <c r="G15" i="19" s="1"/>
  <c r="D14" i="19"/>
  <c r="D15" i="19" s="1"/>
  <c r="E14" i="19"/>
  <c r="E15" i="19" s="1"/>
  <c r="H14" i="19"/>
  <c r="H15" i="19" s="1"/>
  <c r="K15" i="7"/>
  <c r="H17" i="7"/>
  <c r="H18" i="7" s="1"/>
  <c r="H22" i="7" s="1"/>
  <c r="B22" i="49" l="1"/>
  <c r="B28" i="49" s="1"/>
  <c r="K20" i="49"/>
  <c r="K22" i="49" s="1"/>
  <c r="B22" i="48"/>
  <c r="B28" i="48" s="1"/>
  <c r="K20" i="48"/>
  <c r="K22" i="48" s="1"/>
  <c r="G22" i="5"/>
  <c r="B20" i="2"/>
  <c r="B22" i="2" s="1"/>
  <c r="B28" i="2" s="1"/>
  <c r="D20" i="5"/>
  <c r="D22" i="5" s="1"/>
  <c r="K18" i="5"/>
  <c r="C20" i="5"/>
  <c r="C22" i="5" s="1"/>
  <c r="E20" i="5"/>
  <c r="E22" i="5" s="1"/>
  <c r="D22" i="2"/>
  <c r="K18" i="2"/>
  <c r="G22" i="2"/>
  <c r="C20" i="2"/>
  <c r="C22" i="2" s="1"/>
  <c r="E20" i="2"/>
  <c r="E22" i="2" s="1"/>
  <c r="K15" i="38"/>
  <c r="K15" i="37"/>
  <c r="H17" i="37"/>
  <c r="H18" i="37" s="1"/>
  <c r="H22" i="37" s="1"/>
  <c r="B17" i="7"/>
  <c r="B18" i="7" s="1"/>
  <c r="C17" i="7"/>
  <c r="C18" i="7" s="1"/>
  <c r="D17" i="7"/>
  <c r="D18" i="7" s="1"/>
  <c r="E17" i="7"/>
  <c r="E18" i="7" s="1"/>
  <c r="G17" i="7"/>
  <c r="G18" i="7" s="1"/>
  <c r="G20" i="7" s="1"/>
  <c r="H17" i="19"/>
  <c r="H18" i="19" s="1"/>
  <c r="H22" i="19" s="1"/>
  <c r="K15" i="21"/>
  <c r="H17" i="30"/>
  <c r="H18" i="30" s="1"/>
  <c r="H22" i="30" s="1"/>
  <c r="H17" i="28"/>
  <c r="H18" i="28" s="1"/>
  <c r="H22" i="28" s="1"/>
  <c r="K15" i="23"/>
  <c r="H17" i="22"/>
  <c r="K15" i="1"/>
  <c r="H17" i="31"/>
  <c r="H17" i="36"/>
  <c r="H18" i="36" s="1"/>
  <c r="H22" i="36" s="1"/>
  <c r="K15" i="36"/>
  <c r="B22" i="5"/>
  <c r="B28" i="5" s="1"/>
  <c r="D17" i="12"/>
  <c r="D18" i="12" s="1"/>
  <c r="E17" i="12"/>
  <c r="E18" i="12" s="1"/>
  <c r="B17" i="12"/>
  <c r="B18" i="12" s="1"/>
  <c r="G17" i="12"/>
  <c r="G18" i="12" s="1"/>
  <c r="G20" i="12" s="1"/>
  <c r="C17" i="12"/>
  <c r="C18" i="12" s="1"/>
  <c r="H17" i="32"/>
  <c r="H17" i="4"/>
  <c r="H18" i="4" s="1"/>
  <c r="H22" i="4" s="1"/>
  <c r="K15" i="27"/>
  <c r="H17" i="27"/>
  <c r="H18" i="27" s="1"/>
  <c r="H22" i="27" s="1"/>
  <c r="H17" i="35"/>
  <c r="K15" i="17"/>
  <c r="H17" i="44"/>
  <c r="H17" i="20"/>
  <c r="H17" i="39"/>
  <c r="H17" i="15"/>
  <c r="H18" i="15" s="1"/>
  <c r="H22" i="15" s="1"/>
  <c r="H17" i="11"/>
  <c r="H18" i="11" s="1"/>
  <c r="H22" i="11" s="1"/>
  <c r="K15" i="24"/>
  <c r="H17" i="8"/>
  <c r="H18" i="8" s="1"/>
  <c r="H22" i="8" s="1"/>
  <c r="H17" i="29"/>
  <c r="K15" i="29"/>
  <c r="K15" i="40"/>
  <c r="H17" i="46"/>
  <c r="H18" i="46" s="1"/>
  <c r="H22" i="46" s="1"/>
  <c r="K15" i="13"/>
  <c r="C17" i="14"/>
  <c r="C18" i="14" s="1"/>
  <c r="B17" i="14"/>
  <c r="B18" i="14" s="1"/>
  <c r="G17" i="14"/>
  <c r="G18" i="14" s="1"/>
  <c r="G20" i="14" s="1"/>
  <c r="D17" i="14"/>
  <c r="D18" i="14" s="1"/>
  <c r="E17" i="14"/>
  <c r="E18" i="14" s="1"/>
  <c r="K15" i="19"/>
  <c r="B17" i="10"/>
  <c r="B18" i="10" s="1"/>
  <c r="D17" i="10"/>
  <c r="D18" i="10" s="1"/>
  <c r="C17" i="10"/>
  <c r="C18" i="10" s="1"/>
  <c r="E17" i="10"/>
  <c r="E18" i="10" s="1"/>
  <c r="G17" i="10"/>
  <c r="G18" i="10" s="1"/>
  <c r="G20" i="10" s="1"/>
  <c r="H17" i="21"/>
  <c r="H18" i="21" s="1"/>
  <c r="H22" i="21" s="1"/>
  <c r="K15" i="18"/>
  <c r="H17" i="18"/>
  <c r="K15" i="30"/>
  <c r="H17" i="9"/>
  <c r="K15" i="9"/>
  <c r="K15" i="28"/>
  <c r="H17" i="23"/>
  <c r="H18" i="23" s="1"/>
  <c r="H22" i="23" s="1"/>
  <c r="K15" i="22"/>
  <c r="H17" i="1"/>
  <c r="H18" i="1" s="1"/>
  <c r="H22" i="1" s="1"/>
  <c r="K15" i="31"/>
  <c r="K15" i="32"/>
  <c r="K15" i="4"/>
  <c r="D17" i="38"/>
  <c r="D18" i="38" s="1"/>
  <c r="B17" i="38"/>
  <c r="B18" i="38" s="1"/>
  <c r="C17" i="38"/>
  <c r="C18" i="38" s="1"/>
  <c r="E17" i="38"/>
  <c r="E18" i="38" s="1"/>
  <c r="G17" i="38"/>
  <c r="G18" i="38" s="1"/>
  <c r="G20" i="38" s="1"/>
  <c r="K15" i="35"/>
  <c r="H17" i="17"/>
  <c r="H18" i="17" s="1"/>
  <c r="H22" i="17" s="1"/>
  <c r="K15" i="44"/>
  <c r="K15" i="25"/>
  <c r="H17" i="25"/>
  <c r="H18" i="25" s="1"/>
  <c r="H22" i="25" s="1"/>
  <c r="K15" i="20"/>
  <c r="K15" i="39"/>
  <c r="K15" i="15"/>
  <c r="K15" i="11"/>
  <c r="D17" i="34"/>
  <c r="D18" i="34" s="1"/>
  <c r="E17" i="34"/>
  <c r="E18" i="34" s="1"/>
  <c r="B17" i="34"/>
  <c r="B18" i="34" s="1"/>
  <c r="G17" i="34"/>
  <c r="G18" i="34" s="1"/>
  <c r="G20" i="34" s="1"/>
  <c r="C17" i="34"/>
  <c r="C18" i="34" s="1"/>
  <c r="H17" i="24"/>
  <c r="H18" i="24" s="1"/>
  <c r="H22" i="24" s="1"/>
  <c r="H17" i="41"/>
  <c r="K15" i="41"/>
  <c r="K15" i="8"/>
  <c r="H17" i="6"/>
  <c r="H18" i="6" s="1"/>
  <c r="H22" i="6" s="1"/>
  <c r="K15" i="6"/>
  <c r="H17" i="40"/>
  <c r="H18" i="40" s="1"/>
  <c r="H22" i="40" s="1"/>
  <c r="K15" i="46"/>
  <c r="H17" i="13"/>
  <c r="C17" i="45"/>
  <c r="C18" i="45" s="1"/>
  <c r="G17" i="45"/>
  <c r="G18" i="45" s="1"/>
  <c r="G20" i="45" s="1"/>
  <c r="B17" i="45"/>
  <c r="B18" i="45" s="1"/>
  <c r="E17" i="45"/>
  <c r="E18" i="45" s="1"/>
  <c r="D17" i="45"/>
  <c r="D18" i="45" s="1"/>
  <c r="B30" i="49" l="1"/>
  <c r="D15" i="47" s="1"/>
  <c r="C15" i="47"/>
  <c r="B30" i="48"/>
  <c r="D7" i="47" s="1"/>
  <c r="C7" i="47"/>
  <c r="K20" i="5"/>
  <c r="K22" i="5" s="1"/>
  <c r="K20" i="2"/>
  <c r="K22" i="2" s="1"/>
  <c r="C20" i="45"/>
  <c r="C22" i="45" s="1"/>
  <c r="D20" i="45"/>
  <c r="D22" i="45" s="1"/>
  <c r="E20" i="45"/>
  <c r="E22" i="45" s="1"/>
  <c r="B20" i="45"/>
  <c r="G22" i="45"/>
  <c r="C17" i="41"/>
  <c r="C18" i="41" s="1"/>
  <c r="D17" i="41"/>
  <c r="D18" i="41" s="1"/>
  <c r="E17" i="41"/>
  <c r="E18" i="41" s="1"/>
  <c r="B17" i="41"/>
  <c r="B18" i="41" s="1"/>
  <c r="G17" i="41"/>
  <c r="G18" i="41" s="1"/>
  <c r="G20" i="41" s="1"/>
  <c r="B17" i="9"/>
  <c r="B18" i="9" s="1"/>
  <c r="C17" i="9"/>
  <c r="C18" i="9" s="1"/>
  <c r="E17" i="9"/>
  <c r="E18" i="9" s="1"/>
  <c r="D17" i="9"/>
  <c r="D18" i="9" s="1"/>
  <c r="G17" i="9"/>
  <c r="G18" i="9" s="1"/>
  <c r="G20" i="9" s="1"/>
  <c r="C17" i="18"/>
  <c r="C18" i="18" s="1"/>
  <c r="E17" i="18"/>
  <c r="E18" i="18" s="1"/>
  <c r="B17" i="18"/>
  <c r="B18" i="18" s="1"/>
  <c r="D17" i="18"/>
  <c r="D18" i="18" s="1"/>
  <c r="G17" i="18"/>
  <c r="G18" i="18" s="1"/>
  <c r="G20" i="18" s="1"/>
  <c r="C20" i="10"/>
  <c r="C22" i="10" s="1"/>
  <c r="E20" i="10"/>
  <c r="E22" i="10" s="1"/>
  <c r="G22" i="10"/>
  <c r="D20" i="10"/>
  <c r="D22" i="10" s="1"/>
  <c r="B20" i="10"/>
  <c r="E20" i="14"/>
  <c r="E22" i="14" s="1"/>
  <c r="G22" i="14"/>
  <c r="C20" i="14"/>
  <c r="C22" i="14" s="1"/>
  <c r="B20" i="14"/>
  <c r="D20" i="14"/>
  <c r="D22" i="14" s="1"/>
  <c r="D17" i="29"/>
  <c r="D18" i="29" s="1"/>
  <c r="C17" i="29"/>
  <c r="C18" i="29" s="1"/>
  <c r="G17" i="29"/>
  <c r="G18" i="29" s="1"/>
  <c r="G20" i="29" s="1"/>
  <c r="E17" i="29"/>
  <c r="E18" i="29" s="1"/>
  <c r="B17" i="29"/>
  <c r="B18" i="29" s="1"/>
  <c r="B30" i="2"/>
  <c r="D46" i="47" s="1"/>
  <c r="C46" i="47"/>
  <c r="C17" i="39"/>
  <c r="C18" i="39" s="1"/>
  <c r="E17" i="39"/>
  <c r="E18" i="39" s="1"/>
  <c r="G17" i="39"/>
  <c r="G18" i="39" s="1"/>
  <c r="G20" i="39" s="1"/>
  <c r="D17" i="39"/>
  <c r="D18" i="39" s="1"/>
  <c r="B17" i="39"/>
  <c r="B18" i="39" s="1"/>
  <c r="B17" i="20"/>
  <c r="B18" i="20" s="1"/>
  <c r="D17" i="20"/>
  <c r="D18" i="20" s="1"/>
  <c r="E17" i="20"/>
  <c r="E18" i="20" s="1"/>
  <c r="C17" i="20"/>
  <c r="C18" i="20" s="1"/>
  <c r="G17" i="20"/>
  <c r="G18" i="20" s="1"/>
  <c r="G20" i="20" s="1"/>
  <c r="E17" i="44"/>
  <c r="E18" i="44" s="1"/>
  <c r="C17" i="44"/>
  <c r="C18" i="44" s="1"/>
  <c r="G17" i="44"/>
  <c r="G18" i="44" s="1"/>
  <c r="G20" i="44" s="1"/>
  <c r="B17" i="44"/>
  <c r="B18" i="44" s="1"/>
  <c r="D17" i="44"/>
  <c r="D18" i="44" s="1"/>
  <c r="C17" i="35"/>
  <c r="C18" i="35" s="1"/>
  <c r="D17" i="35"/>
  <c r="D18" i="35" s="1"/>
  <c r="B17" i="35"/>
  <c r="B18" i="35" s="1"/>
  <c r="G17" i="35"/>
  <c r="G18" i="35" s="1"/>
  <c r="G20" i="35" s="1"/>
  <c r="E17" i="35"/>
  <c r="E18" i="35" s="1"/>
  <c r="B17" i="32"/>
  <c r="B18" i="32" s="1"/>
  <c r="E17" i="32"/>
  <c r="E18" i="32" s="1"/>
  <c r="G17" i="32"/>
  <c r="G18" i="32" s="1"/>
  <c r="G20" i="32" s="1"/>
  <c r="D17" i="32"/>
  <c r="D18" i="32" s="1"/>
  <c r="C17" i="32"/>
  <c r="C18" i="32" s="1"/>
  <c r="D20" i="12"/>
  <c r="D22" i="12" s="1"/>
  <c r="B20" i="12"/>
  <c r="C20" i="12"/>
  <c r="C22" i="12" s="1"/>
  <c r="E20" i="12"/>
  <c r="E22" i="12" s="1"/>
  <c r="G22" i="12"/>
  <c r="B30" i="5"/>
  <c r="D45" i="47" s="1"/>
  <c r="C45" i="47"/>
  <c r="G17" i="31"/>
  <c r="G18" i="31" s="1"/>
  <c r="G20" i="31" s="1"/>
  <c r="C17" i="31"/>
  <c r="C18" i="31" s="1"/>
  <c r="D17" i="31"/>
  <c r="D18" i="31" s="1"/>
  <c r="E17" i="31"/>
  <c r="E18" i="31" s="1"/>
  <c r="B17" i="31"/>
  <c r="B18" i="31" s="1"/>
  <c r="D17" i="22"/>
  <c r="D18" i="22" s="1"/>
  <c r="C17" i="22"/>
  <c r="C18" i="22" s="1"/>
  <c r="G17" i="22"/>
  <c r="G18" i="22" s="1"/>
  <c r="G20" i="22" s="1"/>
  <c r="B17" i="22"/>
  <c r="B18" i="22" s="1"/>
  <c r="E17" i="22"/>
  <c r="E18" i="22" s="1"/>
  <c r="D20" i="7"/>
  <c r="D22" i="7" s="1"/>
  <c r="C20" i="7"/>
  <c r="C22" i="7" s="1"/>
  <c r="E20" i="7"/>
  <c r="E22" i="7" s="1"/>
  <c r="G22" i="7"/>
  <c r="B20" i="7"/>
  <c r="K18" i="34"/>
  <c r="K18" i="38"/>
  <c r="K18" i="10"/>
  <c r="K18" i="7"/>
  <c r="D17" i="13"/>
  <c r="D18" i="13" s="1"/>
  <c r="G17" i="13"/>
  <c r="G18" i="13" s="1"/>
  <c r="G20" i="13" s="1"/>
  <c r="B17" i="13"/>
  <c r="B18" i="13" s="1"/>
  <c r="C17" i="13"/>
  <c r="C18" i="13" s="1"/>
  <c r="E17" i="13"/>
  <c r="E18" i="13" s="1"/>
  <c r="D17" i="40"/>
  <c r="D18" i="40" s="1"/>
  <c r="B17" i="40"/>
  <c r="B18" i="40" s="1"/>
  <c r="C17" i="40"/>
  <c r="C18" i="40" s="1"/>
  <c r="E17" i="40"/>
  <c r="E18" i="40" s="1"/>
  <c r="G17" i="40"/>
  <c r="G18" i="40" s="1"/>
  <c r="G20" i="40" s="1"/>
  <c r="B17" i="6"/>
  <c r="B18" i="6" s="1"/>
  <c r="E17" i="6"/>
  <c r="E18" i="6" s="1"/>
  <c r="G17" i="6"/>
  <c r="G18" i="6" s="1"/>
  <c r="G20" i="6" s="1"/>
  <c r="D17" i="6"/>
  <c r="D18" i="6" s="1"/>
  <c r="C17" i="6"/>
  <c r="C18" i="6" s="1"/>
  <c r="B17" i="24"/>
  <c r="B18" i="24" s="1"/>
  <c r="E17" i="24"/>
  <c r="E18" i="24" s="1"/>
  <c r="G17" i="24"/>
  <c r="G18" i="24" s="1"/>
  <c r="G20" i="24" s="1"/>
  <c r="C17" i="24"/>
  <c r="C18" i="24" s="1"/>
  <c r="D17" i="24"/>
  <c r="D18" i="24" s="1"/>
  <c r="C20" i="34"/>
  <c r="C22" i="34" s="1"/>
  <c r="D20" i="34"/>
  <c r="D22" i="34" s="1"/>
  <c r="E20" i="34"/>
  <c r="E22" i="34" s="1"/>
  <c r="B20" i="34"/>
  <c r="G22" i="34"/>
  <c r="D17" i="25"/>
  <c r="D18" i="25" s="1"/>
  <c r="B17" i="25"/>
  <c r="B18" i="25" s="1"/>
  <c r="E17" i="25"/>
  <c r="E18" i="25" s="1"/>
  <c r="C17" i="25"/>
  <c r="C18" i="25" s="1"/>
  <c r="G17" i="25"/>
  <c r="G18" i="25" s="1"/>
  <c r="G20" i="25" s="1"/>
  <c r="B17" i="17"/>
  <c r="B18" i="17" s="1"/>
  <c r="D17" i="17"/>
  <c r="D18" i="17" s="1"/>
  <c r="G17" i="17"/>
  <c r="G18" i="17" s="1"/>
  <c r="G20" i="17" s="1"/>
  <c r="C17" i="17"/>
  <c r="C18" i="17" s="1"/>
  <c r="E17" i="17"/>
  <c r="E18" i="17" s="1"/>
  <c r="E20" i="38"/>
  <c r="E22" i="38" s="1"/>
  <c r="C20" i="38"/>
  <c r="C22" i="38" s="1"/>
  <c r="D20" i="38"/>
  <c r="D22" i="38" s="1"/>
  <c r="G22" i="38"/>
  <c r="B20" i="38"/>
  <c r="C17" i="1"/>
  <c r="C18" i="1" s="1"/>
  <c r="E17" i="1"/>
  <c r="E18" i="1" s="1"/>
  <c r="B17" i="1"/>
  <c r="B18" i="1" s="1"/>
  <c r="D17" i="1"/>
  <c r="D18" i="1" s="1"/>
  <c r="G17" i="1"/>
  <c r="G18" i="1" s="1"/>
  <c r="G20" i="1" s="1"/>
  <c r="E17" i="23"/>
  <c r="E18" i="23" s="1"/>
  <c r="D17" i="23"/>
  <c r="D18" i="23" s="1"/>
  <c r="B17" i="23"/>
  <c r="B18" i="23" s="1"/>
  <c r="C17" i="23"/>
  <c r="C18" i="23" s="1"/>
  <c r="G17" i="23"/>
  <c r="G18" i="23" s="1"/>
  <c r="G20" i="23" s="1"/>
  <c r="G17" i="21"/>
  <c r="G18" i="21" s="1"/>
  <c r="G20" i="21" s="1"/>
  <c r="C17" i="21"/>
  <c r="C18" i="21" s="1"/>
  <c r="E17" i="21"/>
  <c r="E18" i="21" s="1"/>
  <c r="D17" i="21"/>
  <c r="D18" i="21" s="1"/>
  <c r="B17" i="21"/>
  <c r="B18" i="21" s="1"/>
  <c r="C17" i="46"/>
  <c r="C18" i="46" s="1"/>
  <c r="B17" i="46"/>
  <c r="B18" i="46" s="1"/>
  <c r="G17" i="46"/>
  <c r="G18" i="46" s="1"/>
  <c r="G20" i="46" s="1"/>
  <c r="E17" i="46"/>
  <c r="E18" i="46" s="1"/>
  <c r="D17" i="46"/>
  <c r="D18" i="46" s="1"/>
  <c r="D17" i="8"/>
  <c r="D18" i="8" s="1"/>
  <c r="C17" i="8"/>
  <c r="C18" i="8" s="1"/>
  <c r="B17" i="8"/>
  <c r="B18" i="8" s="1"/>
  <c r="E17" i="8"/>
  <c r="E18" i="8" s="1"/>
  <c r="G17" i="8"/>
  <c r="G18" i="8" s="1"/>
  <c r="G20" i="8" s="1"/>
  <c r="D17" i="11"/>
  <c r="D18" i="11" s="1"/>
  <c r="E17" i="11"/>
  <c r="E18" i="11" s="1"/>
  <c r="B17" i="11"/>
  <c r="B18" i="11" s="1"/>
  <c r="C17" i="11"/>
  <c r="C18" i="11" s="1"/>
  <c r="G17" i="11"/>
  <c r="G18" i="11" s="1"/>
  <c r="G20" i="11" s="1"/>
  <c r="C17" i="15"/>
  <c r="C18" i="15" s="1"/>
  <c r="B17" i="15"/>
  <c r="B18" i="15" s="1"/>
  <c r="D17" i="15"/>
  <c r="D18" i="15" s="1"/>
  <c r="G17" i="15"/>
  <c r="G18" i="15" s="1"/>
  <c r="G20" i="15" s="1"/>
  <c r="E17" i="15"/>
  <c r="E18" i="15" s="1"/>
  <c r="D17" i="27"/>
  <c r="D18" i="27" s="1"/>
  <c r="C17" i="27"/>
  <c r="C18" i="27" s="1"/>
  <c r="G17" i="27"/>
  <c r="G18" i="27" s="1"/>
  <c r="G20" i="27" s="1"/>
  <c r="E17" i="27"/>
  <c r="E18" i="27" s="1"/>
  <c r="B17" i="27"/>
  <c r="B18" i="27" s="1"/>
  <c r="G17" i="4"/>
  <c r="G18" i="4" s="1"/>
  <c r="G20" i="4" s="1"/>
  <c r="C17" i="4"/>
  <c r="C18" i="4" s="1"/>
  <c r="E17" i="4"/>
  <c r="E18" i="4" s="1"/>
  <c r="B17" i="4"/>
  <c r="B18" i="4" s="1"/>
  <c r="D17" i="4"/>
  <c r="D18" i="4" s="1"/>
  <c r="C17" i="36"/>
  <c r="C18" i="36" s="1"/>
  <c r="E17" i="36"/>
  <c r="E18" i="36" s="1"/>
  <c r="D17" i="36"/>
  <c r="D18" i="36" s="1"/>
  <c r="B17" i="36"/>
  <c r="B18" i="36" s="1"/>
  <c r="G17" i="36"/>
  <c r="G18" i="36" s="1"/>
  <c r="G20" i="36" s="1"/>
  <c r="E17" i="28"/>
  <c r="E18" i="28" s="1"/>
  <c r="G17" i="28"/>
  <c r="G18" i="28" s="1"/>
  <c r="G20" i="28" s="1"/>
  <c r="C17" i="28"/>
  <c r="C18" i="28" s="1"/>
  <c r="B17" i="28"/>
  <c r="B18" i="28" s="1"/>
  <c r="D17" i="28"/>
  <c r="D18" i="28" s="1"/>
  <c r="G17" i="30"/>
  <c r="G18" i="30" s="1"/>
  <c r="G20" i="30" s="1"/>
  <c r="C17" i="30"/>
  <c r="C18" i="30" s="1"/>
  <c r="B17" i="30"/>
  <c r="B18" i="30" s="1"/>
  <c r="D17" i="30"/>
  <c r="D18" i="30" s="1"/>
  <c r="E17" i="30"/>
  <c r="E18" i="30" s="1"/>
  <c r="C17" i="19"/>
  <c r="C18" i="19" s="1"/>
  <c r="E17" i="19"/>
  <c r="E18" i="19" s="1"/>
  <c r="B17" i="19"/>
  <c r="B18" i="19" s="1"/>
  <c r="D17" i="19"/>
  <c r="D18" i="19" s="1"/>
  <c r="G17" i="19"/>
  <c r="G18" i="19" s="1"/>
  <c r="G20" i="19" s="1"/>
  <c r="G17" i="37"/>
  <c r="G18" i="37" s="1"/>
  <c r="G20" i="37" s="1"/>
  <c r="E17" i="37"/>
  <c r="E18" i="37" s="1"/>
  <c r="B17" i="37"/>
  <c r="B18" i="37" s="1"/>
  <c r="D17" i="37"/>
  <c r="D18" i="37" s="1"/>
  <c r="C17" i="37"/>
  <c r="C18" i="37" s="1"/>
  <c r="K18" i="45"/>
  <c r="H18" i="13"/>
  <c r="H22" i="13" s="1"/>
  <c r="H18" i="41"/>
  <c r="H22" i="41" s="1"/>
  <c r="H18" i="9"/>
  <c r="H22" i="9" s="1"/>
  <c r="H18" i="18"/>
  <c r="H22" i="18" s="1"/>
  <c r="K18" i="14"/>
  <c r="H18" i="29"/>
  <c r="H22" i="29" s="1"/>
  <c r="H18" i="39"/>
  <c r="H22" i="39" s="1"/>
  <c r="H18" i="20"/>
  <c r="H22" i="20" s="1"/>
  <c r="H18" i="44"/>
  <c r="H22" i="44" s="1"/>
  <c r="H18" i="35"/>
  <c r="H22" i="35" s="1"/>
  <c r="H18" i="32"/>
  <c r="H22" i="32" s="1"/>
  <c r="K18" i="12"/>
  <c r="H18" i="31"/>
  <c r="H22" i="31" s="1"/>
  <c r="H18" i="22"/>
  <c r="H22" i="22" s="1"/>
  <c r="K18" i="27" l="1"/>
  <c r="K18" i="28"/>
  <c r="K18" i="4"/>
  <c r="G22" i="37"/>
  <c r="D20" i="37"/>
  <c r="D22" i="37" s="1"/>
  <c r="B20" i="37"/>
  <c r="C20" i="37"/>
  <c r="C22" i="37" s="1"/>
  <c r="E20" i="37"/>
  <c r="E22" i="37" s="1"/>
  <c r="G22" i="36"/>
  <c r="C20" i="36"/>
  <c r="C22" i="36" s="1"/>
  <c r="E20" i="36"/>
  <c r="E22" i="36" s="1"/>
  <c r="B20" i="36"/>
  <c r="D20" i="36"/>
  <c r="D22" i="36" s="1"/>
  <c r="G22" i="19"/>
  <c r="B20" i="19"/>
  <c r="C20" i="19"/>
  <c r="C22" i="19" s="1"/>
  <c r="D20" i="19"/>
  <c r="D22" i="19" s="1"/>
  <c r="E20" i="19"/>
  <c r="E22" i="19" s="1"/>
  <c r="G22" i="4"/>
  <c r="E20" i="4"/>
  <c r="E22" i="4" s="1"/>
  <c r="B20" i="4"/>
  <c r="C20" i="4"/>
  <c r="C22" i="4" s="1"/>
  <c r="D20" i="4"/>
  <c r="D22" i="4" s="1"/>
  <c r="G22" i="8"/>
  <c r="D20" i="8"/>
  <c r="D22" i="8" s="1"/>
  <c r="C20" i="8"/>
  <c r="C22" i="8" s="1"/>
  <c r="B20" i="8"/>
  <c r="E20" i="8"/>
  <c r="E22" i="8" s="1"/>
  <c r="G22" i="21"/>
  <c r="E20" i="21"/>
  <c r="E22" i="21" s="1"/>
  <c r="D20" i="21"/>
  <c r="D22" i="21" s="1"/>
  <c r="C20" i="21"/>
  <c r="C22" i="21" s="1"/>
  <c r="B20" i="21"/>
  <c r="G22" i="1"/>
  <c r="C20" i="1"/>
  <c r="C22" i="1" s="1"/>
  <c r="D20" i="1"/>
  <c r="D22" i="1" s="1"/>
  <c r="B20" i="1"/>
  <c r="E20" i="1"/>
  <c r="E22" i="1" s="1"/>
  <c r="G22" i="17"/>
  <c r="C20" i="17"/>
  <c r="C22" i="17" s="1"/>
  <c r="B20" i="17"/>
  <c r="D20" i="17"/>
  <c r="D22" i="17" s="1"/>
  <c r="E20" i="17"/>
  <c r="E22" i="17" s="1"/>
  <c r="G22" i="6"/>
  <c r="B20" i="6"/>
  <c r="E20" i="6"/>
  <c r="E22" i="6" s="1"/>
  <c r="D20" i="6"/>
  <c r="D22" i="6" s="1"/>
  <c r="C20" i="6"/>
  <c r="C22" i="6" s="1"/>
  <c r="G22" i="22"/>
  <c r="B20" i="22"/>
  <c r="C20" i="22"/>
  <c r="C22" i="22" s="1"/>
  <c r="E20" i="22"/>
  <c r="E22" i="22" s="1"/>
  <c r="D20" i="22"/>
  <c r="D22" i="22" s="1"/>
  <c r="G22" i="20"/>
  <c r="D20" i="20"/>
  <c r="D22" i="20" s="1"/>
  <c r="E20" i="20"/>
  <c r="E22" i="20" s="1"/>
  <c r="B20" i="20"/>
  <c r="C20" i="20"/>
  <c r="C22" i="20" s="1"/>
  <c r="G22" i="29"/>
  <c r="E20" i="29"/>
  <c r="E22" i="29" s="1"/>
  <c r="C20" i="29"/>
  <c r="C22" i="29" s="1"/>
  <c r="B20" i="29"/>
  <c r="D20" i="29"/>
  <c r="D22" i="29" s="1"/>
  <c r="K20" i="14"/>
  <c r="K22" i="14" s="1"/>
  <c r="B22" i="14"/>
  <c r="B28" i="14" s="1"/>
  <c r="B22" i="10"/>
  <c r="B28" i="10" s="1"/>
  <c r="K20" i="10"/>
  <c r="K22" i="10" s="1"/>
  <c r="G22" i="9"/>
  <c r="C20" i="9"/>
  <c r="C22" i="9" s="1"/>
  <c r="B20" i="9"/>
  <c r="E20" i="9"/>
  <c r="E22" i="9" s="1"/>
  <c r="D20" i="9"/>
  <c r="D22" i="9" s="1"/>
  <c r="K18" i="30"/>
  <c r="K18" i="19"/>
  <c r="K18" i="36"/>
  <c r="K18" i="8"/>
  <c r="K18" i="46"/>
  <c r="K18" i="21"/>
  <c r="K18" i="1"/>
  <c r="K18" i="17"/>
  <c r="K18" i="25"/>
  <c r="K18" i="6"/>
  <c r="K18" i="40"/>
  <c r="K18" i="13"/>
  <c r="K18" i="35"/>
  <c r="K18" i="44"/>
  <c r="K18" i="20"/>
  <c r="K18" i="29"/>
  <c r="K18" i="9"/>
  <c r="K18" i="41"/>
  <c r="G22" i="30"/>
  <c r="D20" i="30"/>
  <c r="D22" i="30" s="1"/>
  <c r="E20" i="30"/>
  <c r="E22" i="30" s="1"/>
  <c r="C20" i="30"/>
  <c r="C22" i="30" s="1"/>
  <c r="B20" i="30"/>
  <c r="G22" i="28"/>
  <c r="D20" i="28"/>
  <c r="D22" i="28" s="1"/>
  <c r="E20" i="28"/>
  <c r="E22" i="28" s="1"/>
  <c r="B20" i="28"/>
  <c r="C20" i="28"/>
  <c r="C22" i="28" s="1"/>
  <c r="G22" i="27"/>
  <c r="C20" i="27"/>
  <c r="C22" i="27" s="1"/>
  <c r="B20" i="27"/>
  <c r="D20" i="27"/>
  <c r="D22" i="27" s="1"/>
  <c r="E20" i="27"/>
  <c r="E22" i="27" s="1"/>
  <c r="G22" i="15"/>
  <c r="C20" i="15"/>
  <c r="C22" i="15" s="1"/>
  <c r="D20" i="15"/>
  <c r="D22" i="15" s="1"/>
  <c r="E20" i="15"/>
  <c r="E22" i="15" s="1"/>
  <c r="B20" i="15"/>
  <c r="G22" i="11"/>
  <c r="D20" i="11"/>
  <c r="D22" i="11" s="1"/>
  <c r="E20" i="11"/>
  <c r="E22" i="11" s="1"/>
  <c r="C20" i="11"/>
  <c r="C22" i="11" s="1"/>
  <c r="B20" i="11"/>
  <c r="G22" i="46"/>
  <c r="E20" i="46"/>
  <c r="E22" i="46" s="1"/>
  <c r="B20" i="46"/>
  <c r="D20" i="46"/>
  <c r="D22" i="46" s="1"/>
  <c r="C20" i="46"/>
  <c r="C22" i="46" s="1"/>
  <c r="G22" i="23"/>
  <c r="B20" i="23"/>
  <c r="C20" i="23"/>
  <c r="C22" i="23" s="1"/>
  <c r="D20" i="23"/>
  <c r="D22" i="23" s="1"/>
  <c r="E20" i="23"/>
  <c r="E22" i="23" s="1"/>
  <c r="K20" i="38"/>
  <c r="K22" i="38" s="1"/>
  <c r="B22" i="38"/>
  <c r="B28" i="38" s="1"/>
  <c r="B30" i="38" s="1"/>
  <c r="G22" i="25"/>
  <c r="D20" i="25"/>
  <c r="D22" i="25" s="1"/>
  <c r="B20" i="25"/>
  <c r="C20" i="25"/>
  <c r="C22" i="25" s="1"/>
  <c r="E20" i="25"/>
  <c r="E22" i="25" s="1"/>
  <c r="K20" i="34"/>
  <c r="K22" i="34" s="1"/>
  <c r="B22" i="34"/>
  <c r="B28" i="34" s="1"/>
  <c r="G22" i="24"/>
  <c r="B20" i="24"/>
  <c r="E20" i="24"/>
  <c r="E22" i="24" s="1"/>
  <c r="D20" i="24"/>
  <c r="D22" i="24" s="1"/>
  <c r="C20" i="24"/>
  <c r="C22" i="24" s="1"/>
  <c r="G22" i="40"/>
  <c r="C20" i="40"/>
  <c r="C22" i="40" s="1"/>
  <c r="E20" i="40"/>
  <c r="E22" i="40" s="1"/>
  <c r="B20" i="40"/>
  <c r="D20" i="40"/>
  <c r="D22" i="40" s="1"/>
  <c r="G22" i="13"/>
  <c r="D20" i="13"/>
  <c r="D22" i="13" s="1"/>
  <c r="C20" i="13"/>
  <c r="C22" i="13" s="1"/>
  <c r="E20" i="13"/>
  <c r="E22" i="13" s="1"/>
  <c r="B20" i="13"/>
  <c r="K20" i="7"/>
  <c r="K22" i="7" s="1"/>
  <c r="B22" i="7"/>
  <c r="B28" i="7" s="1"/>
  <c r="G22" i="31"/>
  <c r="D20" i="31"/>
  <c r="D22" i="31" s="1"/>
  <c r="E20" i="31"/>
  <c r="E22" i="31" s="1"/>
  <c r="C20" i="31"/>
  <c r="C22" i="31" s="1"/>
  <c r="B20" i="31"/>
  <c r="K20" i="12"/>
  <c r="K22" i="12" s="1"/>
  <c r="B22" i="12"/>
  <c r="B28" i="12" s="1"/>
  <c r="G22" i="32"/>
  <c r="B20" i="32"/>
  <c r="E20" i="32"/>
  <c r="E22" i="32" s="1"/>
  <c r="D20" i="32"/>
  <c r="D22" i="32" s="1"/>
  <c r="C20" i="32"/>
  <c r="C22" i="32" s="1"/>
  <c r="G22" i="35"/>
  <c r="B20" i="35"/>
  <c r="E20" i="35"/>
  <c r="E22" i="35" s="1"/>
  <c r="C20" i="35"/>
  <c r="C22" i="35" s="1"/>
  <c r="D20" i="35"/>
  <c r="D22" i="35" s="1"/>
  <c r="G22" i="44"/>
  <c r="E20" i="44"/>
  <c r="E22" i="44" s="1"/>
  <c r="B20" i="44"/>
  <c r="D20" i="44"/>
  <c r="D22" i="44" s="1"/>
  <c r="C20" i="44"/>
  <c r="C22" i="44" s="1"/>
  <c r="G22" i="39"/>
  <c r="C20" i="39"/>
  <c r="C22" i="39" s="1"/>
  <c r="E20" i="39"/>
  <c r="E22" i="39" s="1"/>
  <c r="B20" i="39"/>
  <c r="D20" i="39"/>
  <c r="D22" i="39" s="1"/>
  <c r="G22" i="18"/>
  <c r="C20" i="18"/>
  <c r="C22" i="18" s="1"/>
  <c r="D20" i="18"/>
  <c r="D22" i="18" s="1"/>
  <c r="E20" i="18"/>
  <c r="E22" i="18" s="1"/>
  <c r="B20" i="18"/>
  <c r="G22" i="41"/>
  <c r="D20" i="41"/>
  <c r="D22" i="41" s="1"/>
  <c r="B20" i="41"/>
  <c r="E20" i="41"/>
  <c r="E22" i="41" s="1"/>
  <c r="C20" i="41"/>
  <c r="C22" i="41" s="1"/>
  <c r="K20" i="45"/>
  <c r="K22" i="45" s="1"/>
  <c r="B22" i="45"/>
  <c r="B28" i="45" s="1"/>
  <c r="K18" i="37"/>
  <c r="K18" i="15"/>
  <c r="K18" i="11"/>
  <c r="K18" i="23"/>
  <c r="K18" i="24"/>
  <c r="K18" i="22"/>
  <c r="K18" i="31"/>
  <c r="K18" i="32"/>
  <c r="K18" i="39"/>
  <c r="K18" i="18"/>
  <c r="K20" i="18" l="1"/>
  <c r="K22" i="18" s="1"/>
  <c r="B22" i="18"/>
  <c r="B28" i="18" s="1"/>
  <c r="K20" i="39"/>
  <c r="K22" i="39" s="1"/>
  <c r="B22" i="39"/>
  <c r="B28" i="39" s="1"/>
  <c r="B30" i="39" s="1"/>
  <c r="D30" i="47" s="1"/>
  <c r="K20" i="35"/>
  <c r="K22" i="35" s="1"/>
  <c r="B22" i="35"/>
  <c r="B28" i="35" s="1"/>
  <c r="C43" i="47"/>
  <c r="B30" i="7"/>
  <c r="D43" i="47" s="1"/>
  <c r="B30" i="45"/>
  <c r="D12" i="47" s="1"/>
  <c r="C12" i="47"/>
  <c r="K20" i="41"/>
  <c r="K22" i="41" s="1"/>
  <c r="B22" i="41"/>
  <c r="B28" i="41" s="1"/>
  <c r="K20" i="32"/>
  <c r="K22" i="32" s="1"/>
  <c r="B22" i="32"/>
  <c r="B28" i="32" s="1"/>
  <c r="C9" i="47"/>
  <c r="B30" i="12"/>
  <c r="D9" i="47" s="1"/>
  <c r="B22" i="31"/>
  <c r="B28" i="31" s="1"/>
  <c r="K20" i="31"/>
  <c r="K22" i="31" s="1"/>
  <c r="K20" i="24"/>
  <c r="K22" i="24" s="1"/>
  <c r="B22" i="24"/>
  <c r="B28" i="24" s="1"/>
  <c r="C16" i="47"/>
  <c r="B30" i="34"/>
  <c r="D16" i="47" s="1"/>
  <c r="K20" i="25"/>
  <c r="K22" i="25" s="1"/>
  <c r="B22" i="25"/>
  <c r="B28" i="25" s="1"/>
  <c r="K20" i="23"/>
  <c r="K22" i="23" s="1"/>
  <c r="B22" i="23"/>
  <c r="B28" i="23" s="1"/>
  <c r="K20" i="46"/>
  <c r="K22" i="46" s="1"/>
  <c r="B22" i="46"/>
  <c r="B28" i="46" s="1"/>
  <c r="B22" i="15"/>
  <c r="B28" i="15" s="1"/>
  <c r="B30" i="15" s="1"/>
  <c r="K20" i="15"/>
  <c r="K22" i="15" s="1"/>
  <c r="K20" i="9"/>
  <c r="K22" i="9" s="1"/>
  <c r="B22" i="9"/>
  <c r="B28" i="9" s="1"/>
  <c r="B30" i="10"/>
  <c r="D39" i="47" s="1"/>
  <c r="C39" i="47"/>
  <c r="B22" i="29"/>
  <c r="B28" i="29" s="1"/>
  <c r="B30" i="29" s="1"/>
  <c r="K20" i="29"/>
  <c r="K22" i="29" s="1"/>
  <c r="K20" i="22"/>
  <c r="K22" i="22" s="1"/>
  <c r="B22" i="22"/>
  <c r="B28" i="22" s="1"/>
  <c r="K20" i="36"/>
  <c r="K22" i="36" s="1"/>
  <c r="B22" i="36"/>
  <c r="B28" i="36" s="1"/>
  <c r="K20" i="37"/>
  <c r="K22" i="37" s="1"/>
  <c r="B22" i="37"/>
  <c r="B28" i="37" s="1"/>
  <c r="B22" i="44"/>
  <c r="B28" i="44" s="1"/>
  <c r="B30" i="44" s="1"/>
  <c r="D10" i="47" s="1"/>
  <c r="K20" i="44"/>
  <c r="K22" i="44" s="1"/>
  <c r="B22" i="13"/>
  <c r="B28" i="13" s="1"/>
  <c r="K20" i="13"/>
  <c r="K22" i="13" s="1"/>
  <c r="K20" i="40"/>
  <c r="K22" i="40" s="1"/>
  <c r="B22" i="40"/>
  <c r="B28" i="40" s="1"/>
  <c r="B22" i="11"/>
  <c r="B28" i="11" s="1"/>
  <c r="K20" i="11"/>
  <c r="K22" i="11" s="1"/>
  <c r="K20" i="27"/>
  <c r="K22" i="27" s="1"/>
  <c r="B22" i="27"/>
  <c r="B28" i="27" s="1"/>
  <c r="K20" i="28"/>
  <c r="K22" i="28" s="1"/>
  <c r="B22" i="28"/>
  <c r="B28" i="28" s="1"/>
  <c r="K20" i="30"/>
  <c r="K22" i="30" s="1"/>
  <c r="B22" i="30"/>
  <c r="B28" i="30" s="1"/>
  <c r="B30" i="14"/>
  <c r="D34" i="47" s="1"/>
  <c r="C34" i="47"/>
  <c r="K20" i="20"/>
  <c r="K22" i="20" s="1"/>
  <c r="B22" i="20"/>
  <c r="B28" i="20" s="1"/>
  <c r="K20" i="6"/>
  <c r="K22" i="6" s="1"/>
  <c r="B22" i="6"/>
  <c r="B28" i="6" s="1"/>
  <c r="K20" i="17"/>
  <c r="K22" i="17" s="1"/>
  <c r="B22" i="17"/>
  <c r="B28" i="17" s="1"/>
  <c r="K20" i="1"/>
  <c r="K22" i="1" s="1"/>
  <c r="B22" i="1"/>
  <c r="B28" i="1" s="1"/>
  <c r="K20" i="21"/>
  <c r="K22" i="21" s="1"/>
  <c r="B22" i="21"/>
  <c r="B28" i="21" s="1"/>
  <c r="K20" i="8"/>
  <c r="K22" i="8" s="1"/>
  <c r="B22" i="8"/>
  <c r="B28" i="8" s="1"/>
  <c r="K20" i="4"/>
  <c r="K22" i="4" s="1"/>
  <c r="B22" i="4"/>
  <c r="B28" i="4" s="1"/>
  <c r="K20" i="19"/>
  <c r="K22" i="19" s="1"/>
  <c r="B22" i="19"/>
  <c r="B28" i="19" s="1"/>
  <c r="B30" i="4" l="1"/>
  <c r="D41" i="47" s="1"/>
  <c r="C41" i="47"/>
  <c r="C42" i="47"/>
  <c r="B30" i="8"/>
  <c r="D42" i="47" s="1"/>
  <c r="B30" i="1"/>
  <c r="D6" i="47" s="1"/>
  <c r="C6" i="47"/>
  <c r="B30" i="6"/>
  <c r="D44" i="47" s="1"/>
  <c r="C44" i="47"/>
  <c r="B30" i="30"/>
  <c r="D31" i="47" s="1"/>
  <c r="C31" i="47"/>
  <c r="C20" i="47"/>
  <c r="B30" i="27"/>
  <c r="D20" i="47" s="1"/>
  <c r="C33" i="47"/>
  <c r="B30" i="40"/>
  <c r="D33" i="47" s="1"/>
  <c r="C11" i="47"/>
  <c r="C10" i="47" s="1"/>
  <c r="B30" i="37"/>
  <c r="D11" i="47" s="1"/>
  <c r="B30" i="22"/>
  <c r="D26" i="47" s="1"/>
  <c r="C26" i="47"/>
  <c r="B30" i="9"/>
  <c r="D40" i="47" s="1"/>
  <c r="C40" i="47"/>
  <c r="B30" i="11"/>
  <c r="D8" i="47" s="1"/>
  <c r="C8" i="47"/>
  <c r="C38" i="47"/>
  <c r="B30" i="13"/>
  <c r="D38" i="47" s="1"/>
  <c r="D19" i="47"/>
  <c r="C19" i="47"/>
  <c r="D37" i="47"/>
  <c r="C37" i="47"/>
  <c r="C18" i="47"/>
  <c r="B30" i="31"/>
  <c r="D18" i="47" s="1"/>
  <c r="C28" i="47"/>
  <c r="B30" i="19"/>
  <c r="D28" i="47" s="1"/>
  <c r="B30" i="21"/>
  <c r="D27" i="47" s="1"/>
  <c r="C27" i="47"/>
  <c r="B30" i="17"/>
  <c r="D36" i="47" s="1"/>
  <c r="C36" i="47"/>
  <c r="B30" i="20"/>
  <c r="D25" i="47" s="1"/>
  <c r="C25" i="47"/>
  <c r="C32" i="47"/>
  <c r="B30" i="28"/>
  <c r="D32" i="47" s="1"/>
  <c r="C13" i="47"/>
  <c r="B30" i="36"/>
  <c r="D13" i="47" s="1"/>
  <c r="C24" i="47"/>
  <c r="B30" i="46"/>
  <c r="D24" i="47" s="1"/>
  <c r="C23" i="47"/>
  <c r="B30" i="23"/>
  <c r="D23" i="47" s="1"/>
  <c r="B30" i="25"/>
  <c r="D21" i="47" s="1"/>
  <c r="C21" i="47"/>
  <c r="B30" i="24"/>
  <c r="D22" i="47" s="1"/>
  <c r="C22" i="47"/>
  <c r="B30" i="32"/>
  <c r="D17" i="47" s="1"/>
  <c r="C17" i="47"/>
  <c r="B30" i="41"/>
  <c r="D35" i="47" s="1"/>
  <c r="C35" i="47"/>
  <c r="B30" i="35"/>
  <c r="D14" i="47" s="1"/>
  <c r="C14" i="47"/>
  <c r="B30" i="18"/>
  <c r="D29" i="47" s="1"/>
  <c r="C29" i="47"/>
  <c r="C30" i="47" l="1"/>
</calcChain>
</file>

<file path=xl/sharedStrings.xml><?xml version="1.0" encoding="utf-8"?>
<sst xmlns="http://schemas.openxmlformats.org/spreadsheetml/2006/main" count="1341" uniqueCount="167">
  <si>
    <t>Other</t>
  </si>
  <si>
    <t>Total</t>
  </si>
  <si>
    <t>TOTAL  -  Direct Costs</t>
  </si>
  <si>
    <t>Physical Plant</t>
  </si>
  <si>
    <t xml:space="preserve">    Sub-total</t>
  </si>
  <si>
    <t>Institutional Support</t>
  </si>
  <si>
    <t>Student Support</t>
  </si>
  <si>
    <t>Academic Support</t>
  </si>
  <si>
    <t>FULLY ALLOCATED COSTS</t>
  </si>
  <si>
    <t>Direct Instruction</t>
  </si>
  <si>
    <t>Indirect</t>
  </si>
  <si>
    <t>Indirect per FYE</t>
  </si>
  <si>
    <t>Instruction &amp; Dept Research</t>
  </si>
  <si>
    <t>Separately Budgeted Research</t>
  </si>
  <si>
    <t>Public Service</t>
  </si>
  <si>
    <t>Institution Support</t>
  </si>
  <si>
    <t>PRIMARY PROGRAMS</t>
  </si>
  <si>
    <t>SUPPORT PROGRAMS</t>
  </si>
  <si>
    <t>ANOKA RAMSEY CC</t>
  </si>
  <si>
    <t>BEMIDJI SU</t>
  </si>
  <si>
    <t>CENTRAL LAKES COLLEGE</t>
  </si>
  <si>
    <t>CENTURY COLLEGE</t>
  </si>
  <si>
    <t>DAKOTA COUNTY TC</t>
  </si>
  <si>
    <t>FOND DU LAC TRIBAL &amp; CC</t>
  </si>
  <si>
    <t>HENNEPIN TC</t>
  </si>
  <si>
    <t>INVER HILLS CC</t>
  </si>
  <si>
    <t>LAKE SUPERIOR COLLEGE</t>
  </si>
  <si>
    <t>MINNESOTA WEST COLLEGE</t>
  </si>
  <si>
    <t>NORMANDALE CC</t>
  </si>
  <si>
    <t>NORTH HENNEPIN CC</t>
  </si>
  <si>
    <t>RAINY RIVER CC</t>
  </si>
  <si>
    <t>RIDGEWATER COLLEGE</t>
  </si>
  <si>
    <t>ST CLOUD SU</t>
  </si>
  <si>
    <t>WINONA SU</t>
  </si>
  <si>
    <t>NORTHEAST HIGHER EDUCATION DISTRICT</t>
  </si>
  <si>
    <t>Institution Name</t>
  </si>
  <si>
    <t>Instruction</t>
  </si>
  <si>
    <t>Research</t>
  </si>
  <si>
    <t>Student Services</t>
  </si>
  <si>
    <t>Central Lakes College</t>
  </si>
  <si>
    <t>Century College</t>
  </si>
  <si>
    <t>Lake Superior College</t>
  </si>
  <si>
    <t>Minnesota SU Moorhead</t>
  </si>
  <si>
    <t>Minnesota SU, Mankato</t>
  </si>
  <si>
    <t>Minnesota West College</t>
  </si>
  <si>
    <t>Northeast Higher Education District</t>
  </si>
  <si>
    <t xml:space="preserve">     Mesabi Range College</t>
  </si>
  <si>
    <t>Northeast Service Unit</t>
  </si>
  <si>
    <t>Ridgewater College</t>
  </si>
  <si>
    <t>TOTAL</t>
  </si>
  <si>
    <t>MnSCU Finance Division</t>
  </si>
  <si>
    <t>Saint Paul College</t>
  </si>
  <si>
    <t>ANOKA TC</t>
  </si>
  <si>
    <t>METROPOLITAN SU</t>
  </si>
  <si>
    <t>SOUTHWEST MINNESOTA SU</t>
  </si>
  <si>
    <t>SAINT PAUL COLLEGE</t>
  </si>
  <si>
    <t>GFS 105 - excludes transfers, prior year salary, cost subsidies &amp; fiscal/auxiliary activities; instruction includes credit based; public service includes non credit and customized training/continuing education instruction; Other includes SGR appro and intercollegiate athletics</t>
  </si>
  <si>
    <t>NORTHWEST TC-BEMIDJI</t>
  </si>
  <si>
    <t>BEMIDJI SU &amp; NORTHWEST TC-BEMIDJI</t>
  </si>
  <si>
    <t>MINNESOTA SU MOORHEAD</t>
  </si>
  <si>
    <t>MINNESOTA SU, MANKATO</t>
  </si>
  <si>
    <t>MESABI RANGE COLLEGE</t>
  </si>
  <si>
    <t>VERMILION CC</t>
  </si>
  <si>
    <t>SOUTH CENTRAL COLLEGE</t>
  </si>
  <si>
    <t>MNSCU SYSTEM -- INCLUDES COST OF MnSCU SYSTEMWIDE/OFFICE OF THE CHANCELLOR &amp; NORTHEAST SERVICE UNIT</t>
  </si>
  <si>
    <t>South Central College</t>
  </si>
  <si>
    <t>ST CLOUD TCC</t>
  </si>
  <si>
    <t>Anoka Ramsey CC - Anoka TC</t>
  </si>
  <si>
    <t>ANOKA RAMSEY CC - ANOKA TC</t>
  </si>
  <si>
    <t xml:space="preserve"> </t>
  </si>
  <si>
    <t>Alexandria Technical &amp; Community College</t>
  </si>
  <si>
    <t>Anoka-Ramsey Community College</t>
  </si>
  <si>
    <t>Anoka Technical College</t>
  </si>
  <si>
    <t xml:space="preserve">    Anoka-Ramsey Community College</t>
  </si>
  <si>
    <t xml:space="preserve">    Anoka Technical College</t>
  </si>
  <si>
    <t xml:space="preserve">   Bemidji State University</t>
  </si>
  <si>
    <t xml:space="preserve">   Northwest Technical College-Bemidji</t>
  </si>
  <si>
    <t>Bemidji State University &amp; Northwest Technical College-Bemidji</t>
  </si>
  <si>
    <t>Dakota County Technical College</t>
  </si>
  <si>
    <t>Fond du Lac Tribal &amp; Community College</t>
  </si>
  <si>
    <t>Hennepin Technical College</t>
  </si>
  <si>
    <t>Inver Hills Community College</t>
  </si>
  <si>
    <t>Metropolitan State University</t>
  </si>
  <si>
    <t>Minneapolis Community &amp; Technical College</t>
  </si>
  <si>
    <t>Minnesota State College-Southeast Technical</t>
  </si>
  <si>
    <t>Minnesota State Community &amp; Technical College</t>
  </si>
  <si>
    <t>Normandale Community College</t>
  </si>
  <si>
    <t>North Hennepin Community College</t>
  </si>
  <si>
    <t xml:space="preserve">     Hibbing Community College</t>
  </si>
  <si>
    <t xml:space="preserve">     Itasca Community College</t>
  </si>
  <si>
    <t xml:space="preserve">     Rainy River Community College</t>
  </si>
  <si>
    <t xml:space="preserve">     Vermilion Community College</t>
  </si>
  <si>
    <t>Northland Community &amp; Technical College</t>
  </si>
  <si>
    <t>Pine Technical &amp; Community College</t>
  </si>
  <si>
    <t>Riverland Community College</t>
  </si>
  <si>
    <t>Rochester Community &amp; Technical College</t>
  </si>
  <si>
    <t>Southwest Minnesota State University</t>
  </si>
  <si>
    <t>St. Cloud State University</t>
  </si>
  <si>
    <t>St. Cloud Technical &amp; Community College</t>
  </si>
  <si>
    <t>Winona State University</t>
  </si>
  <si>
    <t>ALEXANDRIA TCC</t>
  </si>
  <si>
    <t>MINNEAPOLIS CTC</t>
  </si>
  <si>
    <t>MINNESOTA SC-SOUTHEAST TECHNICAL</t>
  </si>
  <si>
    <t>MINNESOTA STATE CTC</t>
  </si>
  <si>
    <t>HIBBING COMMUNITY COLLEGE</t>
  </si>
  <si>
    <t>ITASCA COMMUNITY COLLEGE</t>
  </si>
  <si>
    <t>NORTHLAND CTC</t>
  </si>
  <si>
    <t>PINE TCC</t>
  </si>
  <si>
    <t>RIVERLAND CC</t>
  </si>
  <si>
    <t>ROCHESTER CTC</t>
  </si>
  <si>
    <t>Alexandria Technical College</t>
  </si>
  <si>
    <t>Anoak Ramsery CC-Anoka TC</t>
  </si>
  <si>
    <t>Minnesota State University Moorhead</t>
  </si>
  <si>
    <t>Minnesota State University, Mankato</t>
  </si>
  <si>
    <t>Minnesota West Community &amp; Technical College</t>
  </si>
  <si>
    <t xml:space="preserve">Minnesota State </t>
  </si>
  <si>
    <t xml:space="preserve">   Dakota County Technical College</t>
  </si>
  <si>
    <t xml:space="preserve">   Inver Hills Community College</t>
  </si>
  <si>
    <t>Inver Hills CC - Dakota County TC</t>
  </si>
  <si>
    <t>INVER HILLS CC - DAKOTA COUNTY TC</t>
  </si>
  <si>
    <t>Minnesota State System Office</t>
  </si>
  <si>
    <t>FY2017 FYE</t>
  </si>
  <si>
    <t>March 2017</t>
  </si>
  <si>
    <t>Inst ID</t>
  </si>
  <si>
    <t>0203</t>
  </si>
  <si>
    <t>0152</t>
  </si>
  <si>
    <t>0153</t>
  </si>
  <si>
    <t>0155</t>
  </si>
  <si>
    <t>0157</t>
  </si>
  <si>
    <t>0202</t>
  </si>
  <si>
    <t>0070</t>
  </si>
  <si>
    <t>0263</t>
  </si>
  <si>
    <t>0301</t>
  </si>
  <si>
    <t>0304</t>
  </si>
  <si>
    <t>0211</t>
  </si>
  <si>
    <t>0163</t>
  </si>
  <si>
    <t>0204</t>
  </si>
  <si>
    <t>0302</t>
  </si>
  <si>
    <t>0076</t>
  </si>
  <si>
    <t>0305</t>
  </si>
  <si>
    <t>0213</t>
  </si>
  <si>
    <t>0142</t>
  </si>
  <si>
    <t>0072</t>
  </si>
  <si>
    <t>0071</t>
  </si>
  <si>
    <t>0209</t>
  </si>
  <si>
    <t>0156</t>
  </si>
  <si>
    <t>0411</t>
  </si>
  <si>
    <t>0310</t>
  </si>
  <si>
    <t>0144</t>
  </si>
  <si>
    <t>0147</t>
  </si>
  <si>
    <t>0303</t>
  </si>
  <si>
    <t>0205</t>
  </si>
  <si>
    <t>0308</t>
  </si>
  <si>
    <t>0307</t>
  </si>
  <si>
    <t>0306</t>
  </si>
  <si>
    <t>0206</t>
  </si>
  <si>
    <t>0309</t>
  </si>
  <si>
    <t>0075</t>
  </si>
  <si>
    <t>0073</t>
  </si>
  <si>
    <t>0208</t>
  </si>
  <si>
    <t>0074</t>
  </si>
  <si>
    <t>Dakota County Technical College-Inver Hills Community College</t>
  </si>
  <si>
    <t>FY2018 Expenditures by IPEDS Category -- Used in Step Down</t>
  </si>
  <si>
    <t>FY2018 FYE</t>
  </si>
  <si>
    <t>MINNESOTA STATE - F.Y. 2018</t>
  </si>
  <si>
    <t>FY2018 Indirect</t>
  </si>
  <si>
    <t>FP&amp;A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</si>
</sst>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6" fillId="0" borderId="0"/>
    <xf numFmtId="43" fontId="13" fillId="0" borderId="0" applyFont="0" applyFill="0" applyBorder="0" applyAlignment="0" applyProtection="0"/>
  </cellStyleXfs>
  <cellXfs count="49">
    <xf numFmtId="0" fontId="0" fillId="0" borderId="0" xfId="0"/>
    <xf numFmtId="38" fontId="0" fillId="0" borderId="0" xfId="0" applyNumberFormat="1"/>
    <xf numFmtId="38" fontId="0" fillId="0" borderId="0" xfId="0" applyNumberFormat="1" applyAlignment="1">
      <alignment horizontal="center"/>
    </xf>
    <xf numFmtId="38" fontId="0" fillId="0" borderId="0" xfId="0" applyNumberFormat="1" applyBorder="1" applyAlignment="1"/>
    <xf numFmtId="38" fontId="1" fillId="0" borderId="0" xfId="0" applyNumberFormat="1" applyFont="1" applyBorder="1" applyAlignment="1"/>
    <xf numFmtId="38" fontId="2" fillId="0" borderId="0" xfId="0" applyNumberFormat="1" applyFont="1" applyAlignment="1">
      <alignment horizontal="centerContinuous"/>
    </xf>
    <xf numFmtId="38" fontId="2" fillId="0" borderId="0" xfId="0" applyNumberFormat="1" applyFont="1" applyBorder="1" applyAlignment="1">
      <alignment horizontal="centerContinuous"/>
    </xf>
    <xf numFmtId="0" fontId="3" fillId="0" borderId="0" xfId="0" applyFont="1"/>
    <xf numFmtId="38" fontId="0" fillId="0" borderId="0" xfId="0" applyNumberFormat="1" applyBorder="1" applyAlignment="1">
      <alignment horizontal="center" wrapText="1"/>
    </xf>
    <xf numFmtId="38" fontId="0" fillId="0" borderId="0" xfId="0" applyNumberFormat="1" applyBorder="1" applyAlignment="1">
      <alignment wrapText="1"/>
    </xf>
    <xf numFmtId="38" fontId="1" fillId="0" borderId="1" xfId="0" applyNumberFormat="1" applyFont="1" applyBorder="1" applyAlignment="1">
      <alignment horizontal="centerContinuous"/>
    </xf>
    <xf numFmtId="38" fontId="0" fillId="0" borderId="1" xfId="0" applyNumberFormat="1" applyBorder="1" applyAlignment="1">
      <alignment horizontal="centerContinuous"/>
    </xf>
    <xf numFmtId="0" fontId="4" fillId="0" borderId="0" xfId="0" applyFont="1"/>
    <xf numFmtId="0" fontId="5" fillId="2" borderId="2" xfId="2" applyFont="1" applyFill="1" applyBorder="1" applyAlignment="1">
      <alignment horizontal="center" wrapText="1"/>
    </xf>
    <xf numFmtId="0" fontId="7" fillId="0" borderId="0" xfId="0" applyFont="1"/>
    <xf numFmtId="0" fontId="5" fillId="0" borderId="3" xfId="2" applyFont="1" applyFill="1" applyBorder="1" applyAlignment="1">
      <alignment horizontal="left" wrapText="1"/>
    </xf>
    <xf numFmtId="38" fontId="5" fillId="0" borderId="2" xfId="1" applyNumberFormat="1" applyFont="1" applyFill="1" applyBorder="1" applyAlignment="1">
      <alignment horizontal="right" wrapText="1"/>
    </xf>
    <xf numFmtId="38" fontId="4" fillId="0" borderId="0" xfId="0" applyNumberFormat="1" applyFont="1" applyFill="1"/>
    <xf numFmtId="38" fontId="4" fillId="0" borderId="0" xfId="0" applyNumberFormat="1" applyFont="1" applyFill="1" applyBorder="1"/>
    <xf numFmtId="38" fontId="9" fillId="0" borderId="0" xfId="0" applyNumberFormat="1" applyFont="1" applyFill="1"/>
    <xf numFmtId="38" fontId="5" fillId="0" borderId="2" xfId="2" applyNumberFormat="1" applyFont="1" applyFill="1" applyBorder="1" applyAlignment="1">
      <alignment horizontal="center" wrapText="1"/>
    </xf>
    <xf numFmtId="38" fontId="5" fillId="0" borderId="5" xfId="2" applyNumberFormat="1" applyFont="1" applyFill="1" applyBorder="1" applyAlignment="1">
      <alignment horizontal="center" wrapText="1"/>
    </xf>
    <xf numFmtId="38" fontId="5" fillId="0" borderId="6" xfId="1" applyNumberFormat="1" applyFont="1" applyFill="1" applyBorder="1" applyAlignment="1">
      <alignment horizontal="right" wrapText="1"/>
    </xf>
    <xf numFmtId="38" fontId="5" fillId="0" borderId="0" xfId="1" applyNumberFormat="1" applyFont="1" applyFill="1" applyBorder="1" applyAlignment="1">
      <alignment horizontal="right" wrapText="1"/>
    </xf>
    <xf numFmtId="38" fontId="5" fillId="0" borderId="6" xfId="1" applyNumberFormat="1" applyFont="1" applyFill="1" applyBorder="1"/>
    <xf numFmtId="38" fontId="5" fillId="0" borderId="2" xfId="2" applyNumberFormat="1" applyFont="1" applyFill="1" applyBorder="1" applyAlignment="1">
      <alignment horizontal="right" wrapText="1"/>
    </xf>
    <xf numFmtId="38" fontId="5" fillId="0" borderId="6" xfId="2" applyNumberFormat="1" applyFont="1" applyFill="1" applyBorder="1" applyAlignment="1">
      <alignment horizontal="right" wrapText="1"/>
    </xf>
    <xf numFmtId="49" fontId="4" fillId="0" borderId="0" xfId="0" applyNumberFormat="1" applyFont="1"/>
    <xf numFmtId="3" fontId="4" fillId="0" borderId="0" xfId="0" applyNumberFormat="1" applyFont="1"/>
    <xf numFmtId="0" fontId="12" fillId="0" borderId="0" xfId="0" applyFont="1"/>
    <xf numFmtId="0" fontId="4" fillId="0" borderId="0" xfId="0" applyFont="1" applyFill="1"/>
    <xf numFmtId="38" fontId="4" fillId="0" borderId="4" xfId="0" applyNumberFormat="1" applyFont="1" applyFill="1" applyBorder="1" applyAlignment="1">
      <alignment horizontal="right" wrapText="1"/>
    </xf>
    <xf numFmtId="3" fontId="4" fillId="0" borderId="2" xfId="0" applyNumberFormat="1" applyFont="1" applyBorder="1"/>
    <xf numFmtId="0" fontId="4" fillId="0" borderId="2" xfId="0" applyFont="1" applyBorder="1"/>
    <xf numFmtId="0" fontId="5" fillId="0" borderId="2" xfId="2" applyFont="1" applyFill="1" applyBorder="1" applyAlignment="1">
      <alignment horizontal="left" wrapText="1"/>
    </xf>
    <xf numFmtId="38" fontId="4" fillId="0" borderId="2" xfId="0" applyNumberFormat="1" applyFont="1" applyBorder="1"/>
    <xf numFmtId="0" fontId="5" fillId="3" borderId="2" xfId="2" applyFont="1" applyFill="1" applyBorder="1" applyAlignment="1">
      <alignment horizontal="left" wrapText="1"/>
    </xf>
    <xf numFmtId="0" fontId="5" fillId="3" borderId="2" xfId="2" applyFont="1" applyFill="1" applyBorder="1" applyAlignment="1">
      <alignment horizontal="left"/>
    </xf>
    <xf numFmtId="0" fontId="7" fillId="0" borderId="0" xfId="0" applyFont="1" applyFill="1"/>
    <xf numFmtId="0" fontId="5" fillId="0" borderId="2" xfId="2" applyFont="1" applyFill="1" applyBorder="1" applyAlignment="1">
      <alignment horizontal="center" wrapText="1"/>
    </xf>
    <xf numFmtId="38" fontId="4" fillId="0" borderId="2" xfId="0" applyNumberFormat="1" applyFont="1" applyFill="1" applyBorder="1" applyAlignment="1">
      <alignment horizontal="center" wrapText="1"/>
    </xf>
    <xf numFmtId="49" fontId="10" fillId="0" borderId="0" xfId="0" applyNumberFormat="1" applyFont="1" applyFill="1"/>
    <xf numFmtId="49" fontId="4" fillId="0" borderId="2" xfId="0" applyNumberFormat="1" applyFont="1" applyBorder="1"/>
    <xf numFmtId="43" fontId="4" fillId="0" borderId="2" xfId="3" applyFont="1" applyBorder="1"/>
    <xf numFmtId="43" fontId="4" fillId="0" borderId="0" xfId="3" applyFont="1"/>
    <xf numFmtId="0" fontId="4" fillId="0" borderId="0" xfId="0" applyFont="1" applyFill="1" applyAlignment="1">
      <alignment wrapText="1"/>
    </xf>
    <xf numFmtId="3" fontId="4" fillId="0" borderId="2" xfId="3" applyNumberFormat="1" applyFont="1" applyBorder="1"/>
    <xf numFmtId="38" fontId="4" fillId="0" borderId="2" xfId="3" applyNumberFormat="1" applyFont="1" applyBorder="1"/>
    <xf numFmtId="38" fontId="4" fillId="0" borderId="0" xfId="3" applyNumberFormat="1" applyFont="1"/>
  </cellXfs>
  <cellStyles count="4">
    <cellStyle name="Comma" xfId="3" builtinId="3"/>
    <cellStyle name="Normal" xfId="0" builtinId="0"/>
    <cellStyle name="Normal_Master Expend Table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53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5" sqref="H5"/>
    </sheetView>
  </sheetViews>
  <sheetFormatPr defaultRowHeight="12" x14ac:dyDescent="0.2"/>
  <cols>
    <col min="1" max="1" width="35.7109375" style="30" customWidth="1"/>
    <col min="2" max="2" width="11.42578125" style="17" customWidth="1"/>
    <col min="3" max="3" width="10.140625" style="17" customWidth="1"/>
    <col min="4" max="4" width="11.28515625" style="17" customWidth="1"/>
    <col min="5" max="5" width="10.140625" style="17" customWidth="1"/>
    <col min="6" max="6" width="2.7109375" style="18" customWidth="1"/>
    <col min="7" max="7" width="14.85546875" style="17" customWidth="1"/>
    <col min="8" max="8" width="13.7109375" style="17" customWidth="1"/>
    <col min="9" max="9" width="14.5703125" style="17" customWidth="1"/>
    <col min="10" max="10" width="11.7109375" style="17" customWidth="1"/>
    <col min="11" max="11" width="12.7109375" style="17" customWidth="1"/>
    <col min="12" max="12" width="2.28515625" style="30" customWidth="1"/>
    <col min="13" max="16384" width="9.140625" style="30"/>
  </cols>
  <sheetData>
    <row r="1" spans="1:11" ht="20.25" x14ac:dyDescent="0.3">
      <c r="A1" s="38" t="s">
        <v>115</v>
      </c>
      <c r="H1" s="19"/>
    </row>
    <row r="2" spans="1:11" x14ac:dyDescent="0.2">
      <c r="A2" s="38" t="s">
        <v>162</v>
      </c>
    </row>
    <row r="3" spans="1:11" ht="24" customHeight="1" x14ac:dyDescent="0.2">
      <c r="A3" s="45" t="s">
        <v>56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1" ht="31.5" customHeight="1" x14ac:dyDescent="0.2">
      <c r="A5" s="39" t="s">
        <v>35</v>
      </c>
      <c r="B5" s="20" t="s">
        <v>36</v>
      </c>
      <c r="C5" s="20" t="s">
        <v>37</v>
      </c>
      <c r="D5" s="20" t="s">
        <v>14</v>
      </c>
      <c r="E5" s="20" t="s">
        <v>0</v>
      </c>
      <c r="F5" s="21"/>
      <c r="G5" s="20" t="s">
        <v>7</v>
      </c>
      <c r="H5" s="20" t="s">
        <v>38</v>
      </c>
      <c r="I5" s="20" t="s">
        <v>15</v>
      </c>
      <c r="J5" s="20" t="s">
        <v>3</v>
      </c>
      <c r="K5" s="40" t="s">
        <v>1</v>
      </c>
    </row>
    <row r="6" spans="1:11" ht="12" customHeight="1" x14ac:dyDescent="0.2">
      <c r="A6" s="15" t="s">
        <v>70</v>
      </c>
      <c r="B6" s="22">
        <v>10760270.6</v>
      </c>
      <c r="C6" s="22">
        <v>23482.75</v>
      </c>
      <c r="D6" s="22">
        <v>811954.34</v>
      </c>
      <c r="E6" s="22"/>
      <c r="F6" s="23"/>
      <c r="G6" s="22">
        <v>2498749.84</v>
      </c>
      <c r="H6" s="22">
        <v>2005004.19</v>
      </c>
      <c r="I6" s="22">
        <v>3385663.16</v>
      </c>
      <c r="J6" s="22">
        <v>2590670.3199999998</v>
      </c>
      <c r="K6" s="31">
        <f t="shared" ref="K6:K48" si="0">SUM(B6:J6)</f>
        <v>22075795.199999999</v>
      </c>
    </row>
    <row r="7" spans="1:11" ht="12" customHeight="1" x14ac:dyDescent="0.2">
      <c r="A7" s="15" t="s">
        <v>67</v>
      </c>
      <c r="B7" s="22">
        <f>B8+B9</f>
        <v>29051123.859999999</v>
      </c>
      <c r="C7" s="22">
        <f>C8+C9</f>
        <v>0</v>
      </c>
      <c r="D7" s="22">
        <f>D8+D9</f>
        <v>1287472.32</v>
      </c>
      <c r="E7" s="22">
        <f>E8+E9</f>
        <v>87167.58</v>
      </c>
      <c r="F7" s="23"/>
      <c r="G7" s="22">
        <f>G8+G9</f>
        <v>8705646.9199999999</v>
      </c>
      <c r="H7" s="22">
        <f>H8+H9</f>
        <v>6559404.2700000005</v>
      </c>
      <c r="I7" s="22">
        <f>I8+I9</f>
        <v>9741507.6999999993</v>
      </c>
      <c r="J7" s="22">
        <f>J8+J9</f>
        <v>5980291.9500000002</v>
      </c>
      <c r="K7" s="31">
        <f t="shared" si="0"/>
        <v>61412614.600000009</v>
      </c>
    </row>
    <row r="8" spans="1:11" ht="12" customHeight="1" x14ac:dyDescent="0.2">
      <c r="A8" s="34" t="s">
        <v>73</v>
      </c>
      <c r="B8" s="22">
        <v>20846579.23</v>
      </c>
      <c r="C8" s="22"/>
      <c r="D8" s="22">
        <v>1287472.32</v>
      </c>
      <c r="E8" s="22">
        <f>12875.25+49067.8</f>
        <v>61943.05</v>
      </c>
      <c r="F8" s="23"/>
      <c r="G8" s="22">
        <v>7231811.0599999996</v>
      </c>
      <c r="H8" s="22">
        <v>5012511.2</v>
      </c>
      <c r="I8" s="22">
        <v>7314790.1100000003</v>
      </c>
      <c r="J8" s="22">
        <v>4241671.21</v>
      </c>
      <c r="K8" s="31">
        <f t="shared" si="0"/>
        <v>45996778.18</v>
      </c>
    </row>
    <row r="9" spans="1:11" ht="12" customHeight="1" x14ac:dyDescent="0.2">
      <c r="A9" s="34" t="s">
        <v>74</v>
      </c>
      <c r="B9" s="22">
        <v>8204544.6299999999</v>
      </c>
      <c r="C9" s="24"/>
      <c r="D9" s="22"/>
      <c r="E9" s="22">
        <v>25224.53</v>
      </c>
      <c r="F9" s="23"/>
      <c r="G9" s="22">
        <v>1473835.86</v>
      </c>
      <c r="H9" s="22">
        <v>1546893.07</v>
      </c>
      <c r="I9" s="22">
        <v>2426717.59</v>
      </c>
      <c r="J9" s="22">
        <v>1738620.74</v>
      </c>
      <c r="K9" s="31">
        <f t="shared" si="0"/>
        <v>15415836.42</v>
      </c>
    </row>
    <row r="10" spans="1:11" ht="12" customHeight="1" x14ac:dyDescent="0.2">
      <c r="A10" s="34" t="s">
        <v>77</v>
      </c>
      <c r="B10" s="16">
        <f>SUM(B11:B12)</f>
        <v>26490031.25</v>
      </c>
      <c r="C10" s="16">
        <f>SUM(C11:C12)</f>
        <v>0</v>
      </c>
      <c r="D10" s="16">
        <f>SUM(D11:D12)</f>
        <v>196579.82</v>
      </c>
      <c r="E10" s="16">
        <f>SUM(E11:E12)</f>
        <v>4396321.6800000006</v>
      </c>
      <c r="F10" s="23"/>
      <c r="G10" s="16">
        <f>SUM(G11:G12)</f>
        <v>8071404.3500000006</v>
      </c>
      <c r="H10" s="16">
        <f>SUM(H11:H12)</f>
        <v>5733810.1999999993</v>
      </c>
      <c r="I10" s="16">
        <f>SUM(I11:I12)</f>
        <v>10862899.060000001</v>
      </c>
      <c r="J10" s="16">
        <f>SUM(J11:J12)</f>
        <v>6862239.7000000002</v>
      </c>
      <c r="K10" s="16">
        <f>SUM(K11:K12)</f>
        <v>62613286.060000002</v>
      </c>
    </row>
    <row r="11" spans="1:11" ht="12" customHeight="1" x14ac:dyDescent="0.2">
      <c r="A11" s="34" t="s">
        <v>75</v>
      </c>
      <c r="B11" s="22">
        <v>22996653.579999998</v>
      </c>
      <c r="C11" s="22"/>
      <c r="D11" s="22">
        <v>157994.96</v>
      </c>
      <c r="E11" s="22">
        <v>4325467.24</v>
      </c>
      <c r="F11" s="23"/>
      <c r="G11" s="22">
        <v>7780547.2300000004</v>
      </c>
      <c r="H11" s="22">
        <v>4507405.22</v>
      </c>
      <c r="I11" s="22">
        <v>8801502.8300000001</v>
      </c>
      <c r="J11" s="22">
        <v>6254892.5499999998</v>
      </c>
      <c r="K11" s="31">
        <f>SUM(B11:J11)</f>
        <v>54824463.609999999</v>
      </c>
    </row>
    <row r="12" spans="1:11" ht="12" customHeight="1" x14ac:dyDescent="0.2">
      <c r="A12" s="34" t="s">
        <v>76</v>
      </c>
      <c r="B12" s="22">
        <v>3493377.67</v>
      </c>
      <c r="C12" s="24"/>
      <c r="D12" s="22">
        <v>38584.86</v>
      </c>
      <c r="E12" s="22">
        <v>70854.44</v>
      </c>
      <c r="F12" s="23"/>
      <c r="G12" s="22">
        <v>290857.12</v>
      </c>
      <c r="H12" s="22">
        <v>1226404.98</v>
      </c>
      <c r="I12" s="22">
        <v>2061396.23</v>
      </c>
      <c r="J12" s="22">
        <v>607347.15</v>
      </c>
      <c r="K12" s="31">
        <f>SUM(B12:J12)</f>
        <v>7788822.4500000011</v>
      </c>
    </row>
    <row r="13" spans="1:11" ht="12" customHeight="1" x14ac:dyDescent="0.2">
      <c r="A13" s="15" t="s">
        <v>39</v>
      </c>
      <c r="B13" s="22">
        <v>12228055.41</v>
      </c>
      <c r="C13" s="24"/>
      <c r="D13" s="22">
        <v>634208.31000000006</v>
      </c>
      <c r="E13" s="22">
        <v>147187.06</v>
      </c>
      <c r="F13" s="23"/>
      <c r="G13" s="22">
        <v>3255686.92</v>
      </c>
      <c r="H13" s="22">
        <v>3020289.38</v>
      </c>
      <c r="I13" s="22">
        <v>3868794</v>
      </c>
      <c r="J13" s="22">
        <v>2827138.2</v>
      </c>
      <c r="K13" s="31">
        <f t="shared" si="0"/>
        <v>25981359.280000001</v>
      </c>
    </row>
    <row r="14" spans="1:11" ht="12" customHeight="1" x14ac:dyDescent="0.2">
      <c r="A14" s="15" t="s">
        <v>40</v>
      </c>
      <c r="B14" s="22">
        <v>28187065.149999999</v>
      </c>
      <c r="C14" s="24"/>
      <c r="D14" s="22">
        <v>1552515.77</v>
      </c>
      <c r="E14" s="22"/>
      <c r="F14" s="23"/>
      <c r="G14" s="22">
        <v>7092505.5599999996</v>
      </c>
      <c r="H14" s="22">
        <v>6061765.4800000004</v>
      </c>
      <c r="I14" s="22">
        <v>9910460.3000000007</v>
      </c>
      <c r="J14" s="22">
        <v>6126918.9400000004</v>
      </c>
      <c r="K14" s="31">
        <f t="shared" si="0"/>
        <v>58931231.199999988</v>
      </c>
    </row>
    <row r="15" spans="1:11" ht="12" customHeight="1" x14ac:dyDescent="0.2">
      <c r="A15" s="15" t="s">
        <v>118</v>
      </c>
      <c r="B15" s="22">
        <f>B16+B17</f>
        <v>25797436.990000002</v>
      </c>
      <c r="C15" s="22">
        <f t="shared" ref="C15:E15" si="1">C16+C17</f>
        <v>0</v>
      </c>
      <c r="D15" s="22">
        <f t="shared" si="1"/>
        <v>2197445.37</v>
      </c>
      <c r="E15" s="22">
        <f t="shared" si="1"/>
        <v>313691.92</v>
      </c>
      <c r="F15" s="23"/>
      <c r="G15" s="22">
        <f>G16+G17</f>
        <v>6742342.9800000004</v>
      </c>
      <c r="H15" s="22">
        <f t="shared" ref="H15:J15" si="2">H16+H17</f>
        <v>6128060.1099999994</v>
      </c>
      <c r="I15" s="22">
        <f t="shared" si="2"/>
        <v>7702338.3900000006</v>
      </c>
      <c r="J15" s="22">
        <f t="shared" si="2"/>
        <v>6286348.9100000001</v>
      </c>
      <c r="K15" s="22">
        <f>K16+K17</f>
        <v>55167664.670000002</v>
      </c>
    </row>
    <row r="16" spans="1:11" ht="12" customHeight="1" x14ac:dyDescent="0.2">
      <c r="A16" s="34" t="s">
        <v>116</v>
      </c>
      <c r="B16" s="22">
        <v>11462454.67</v>
      </c>
      <c r="C16" s="24"/>
      <c r="D16" s="22">
        <v>1640254.65</v>
      </c>
      <c r="E16" s="22">
        <v>313691.92</v>
      </c>
      <c r="F16" s="23"/>
      <c r="G16" s="22">
        <v>2662186.0299999998</v>
      </c>
      <c r="H16" s="22">
        <v>2405458.0099999998</v>
      </c>
      <c r="I16" s="22">
        <v>3359065.73</v>
      </c>
      <c r="J16" s="22">
        <v>2971475.37</v>
      </c>
      <c r="K16" s="31">
        <f t="shared" si="0"/>
        <v>24814586.380000003</v>
      </c>
    </row>
    <row r="17" spans="1:11" ht="12" customHeight="1" x14ac:dyDescent="0.2">
      <c r="A17" s="34" t="s">
        <v>117</v>
      </c>
      <c r="B17" s="22">
        <v>14334982.32</v>
      </c>
      <c r="C17" s="24"/>
      <c r="D17" s="22">
        <v>557190.72</v>
      </c>
      <c r="E17" s="22"/>
      <c r="F17" s="23"/>
      <c r="G17" s="22">
        <v>4080156.95</v>
      </c>
      <c r="H17" s="22">
        <v>3722602.1</v>
      </c>
      <c r="I17" s="22">
        <v>4343272.66</v>
      </c>
      <c r="J17" s="22">
        <v>3314873.54</v>
      </c>
      <c r="K17" s="31">
        <f>SUM(B17:J17)</f>
        <v>30353078.290000003</v>
      </c>
    </row>
    <row r="18" spans="1:11" ht="12" customHeight="1" x14ac:dyDescent="0.2">
      <c r="A18" s="34" t="s">
        <v>79</v>
      </c>
      <c r="B18" s="22">
        <v>4288445.12</v>
      </c>
      <c r="C18" s="22"/>
      <c r="D18" s="22">
        <v>1620.53</v>
      </c>
      <c r="E18" s="24"/>
      <c r="F18" s="23"/>
      <c r="G18" s="22">
        <v>1453059.93</v>
      </c>
      <c r="H18" s="22">
        <v>1094408.8999999999</v>
      </c>
      <c r="I18" s="22">
        <v>1528159.38</v>
      </c>
      <c r="J18" s="22">
        <v>988561.51</v>
      </c>
      <c r="K18" s="31">
        <f t="shared" si="0"/>
        <v>9354255.370000001</v>
      </c>
    </row>
    <row r="19" spans="1:11" ht="12" customHeight="1" x14ac:dyDescent="0.2">
      <c r="A19" s="34" t="s">
        <v>80</v>
      </c>
      <c r="B19" s="22">
        <v>19456054.280000001</v>
      </c>
      <c r="C19" s="22"/>
      <c r="D19" s="22">
        <v>2006191.14</v>
      </c>
      <c r="E19" s="22"/>
      <c r="F19" s="23"/>
      <c r="G19" s="22">
        <v>4637896.09</v>
      </c>
      <c r="H19" s="22">
        <v>4403615.4800000004</v>
      </c>
      <c r="I19" s="22">
        <v>5432783.4800000004</v>
      </c>
      <c r="J19" s="22">
        <v>5032052.99</v>
      </c>
      <c r="K19" s="31">
        <f t="shared" si="0"/>
        <v>40968593.460000001</v>
      </c>
    </row>
    <row r="20" spans="1:11" ht="12" customHeight="1" x14ac:dyDescent="0.2">
      <c r="A20" s="15" t="s">
        <v>41</v>
      </c>
      <c r="B20" s="22">
        <v>17784393.5</v>
      </c>
      <c r="C20" s="22"/>
      <c r="D20" s="22">
        <v>2559354.6</v>
      </c>
      <c r="E20" s="22"/>
      <c r="F20" s="23"/>
      <c r="G20" s="22">
        <v>3386038.65</v>
      </c>
      <c r="H20" s="22">
        <v>3171252.7</v>
      </c>
      <c r="I20" s="22">
        <v>4932554.95</v>
      </c>
      <c r="J20" s="22">
        <v>4090925.78</v>
      </c>
      <c r="K20" s="31">
        <f t="shared" si="0"/>
        <v>35924520.18</v>
      </c>
    </row>
    <row r="21" spans="1:11" ht="12" customHeight="1" x14ac:dyDescent="0.2">
      <c r="A21" s="34" t="s">
        <v>82</v>
      </c>
      <c r="B21" s="22">
        <v>30203034.539999999</v>
      </c>
      <c r="C21" s="22">
        <v>32422.09</v>
      </c>
      <c r="D21" s="22">
        <v>23669.01</v>
      </c>
      <c r="E21" s="22"/>
      <c r="F21" s="23"/>
      <c r="G21" s="22">
        <v>19864757.800000001</v>
      </c>
      <c r="H21" s="22">
        <v>5089205.05</v>
      </c>
      <c r="I21" s="22">
        <v>15509579</v>
      </c>
      <c r="J21" s="22">
        <v>7678601.3799999999</v>
      </c>
      <c r="K21" s="31">
        <f t="shared" si="0"/>
        <v>78401268.86999999</v>
      </c>
    </row>
    <row r="22" spans="1:11" ht="12" customHeight="1" x14ac:dyDescent="0.2">
      <c r="A22" s="34" t="s">
        <v>83</v>
      </c>
      <c r="B22" s="22">
        <v>21514543.449999999</v>
      </c>
      <c r="C22" s="24"/>
      <c r="D22" s="22">
        <v>1139587.46</v>
      </c>
      <c r="E22" s="22"/>
      <c r="F22" s="23"/>
      <c r="G22" s="22">
        <v>7056417.8499999996</v>
      </c>
      <c r="H22" s="22">
        <v>6243003.3799999999</v>
      </c>
      <c r="I22" s="22">
        <v>6820624.7999999998</v>
      </c>
      <c r="J22" s="22">
        <v>6271797.2599999998</v>
      </c>
      <c r="K22" s="31">
        <f t="shared" si="0"/>
        <v>49045974.199999996</v>
      </c>
    </row>
    <row r="23" spans="1:11" ht="12" customHeight="1" x14ac:dyDescent="0.2">
      <c r="A23" s="34" t="s">
        <v>84</v>
      </c>
      <c r="B23" s="22">
        <v>8103480.7300000004</v>
      </c>
      <c r="C23" s="22">
        <v>5308.71</v>
      </c>
      <c r="D23" s="22">
        <v>372307.74</v>
      </c>
      <c r="E23" s="22">
        <v>20000</v>
      </c>
      <c r="F23" s="23"/>
      <c r="G23" s="22">
        <v>2325505.7200000002</v>
      </c>
      <c r="H23" s="22">
        <v>1545263.6</v>
      </c>
      <c r="I23" s="22">
        <v>2580385.79</v>
      </c>
      <c r="J23" s="22">
        <v>1581326.34</v>
      </c>
      <c r="K23" s="31">
        <f t="shared" si="0"/>
        <v>16533578.629999999</v>
      </c>
    </row>
    <row r="24" spans="1:11" ht="12" customHeight="1" x14ac:dyDescent="0.2">
      <c r="A24" s="34" t="s">
        <v>85</v>
      </c>
      <c r="B24" s="22">
        <v>20570617.870000001</v>
      </c>
      <c r="C24" s="24"/>
      <c r="D24" s="22">
        <v>1473512.35</v>
      </c>
      <c r="E24" s="22">
        <v>9240.9599999999991</v>
      </c>
      <c r="F24" s="23"/>
      <c r="G24" s="22">
        <v>4679478.96</v>
      </c>
      <c r="H24" s="22">
        <v>6038251.8499999996</v>
      </c>
      <c r="I24" s="22">
        <v>6800507.8600000003</v>
      </c>
      <c r="J24" s="22">
        <v>3930582.38</v>
      </c>
      <c r="K24" s="31">
        <f t="shared" si="0"/>
        <v>43502192.230000004</v>
      </c>
    </row>
    <row r="25" spans="1:11" ht="12" customHeight="1" x14ac:dyDescent="0.2">
      <c r="A25" s="15" t="s">
        <v>42</v>
      </c>
      <c r="B25" s="22">
        <v>32384910.280000001</v>
      </c>
      <c r="C25" s="22"/>
      <c r="D25" s="22">
        <v>878859.47</v>
      </c>
      <c r="E25" s="22">
        <v>3261317.39</v>
      </c>
      <c r="F25" s="23"/>
      <c r="G25" s="22">
        <v>12547499.039999999</v>
      </c>
      <c r="H25" s="22">
        <v>8763276.9900000002</v>
      </c>
      <c r="I25" s="22">
        <v>7748749.6500000004</v>
      </c>
      <c r="J25" s="22">
        <v>8166978.6900000004</v>
      </c>
      <c r="K25" s="31">
        <f>SUM(B25:J25)</f>
        <v>73751591.510000005</v>
      </c>
    </row>
    <row r="26" spans="1:11" ht="12" customHeight="1" x14ac:dyDescent="0.2">
      <c r="A26" s="15" t="s">
        <v>43</v>
      </c>
      <c r="B26" s="22">
        <v>80126057</v>
      </c>
      <c r="C26" s="22">
        <v>1123052.76</v>
      </c>
      <c r="D26" s="22">
        <v>2232941.42</v>
      </c>
      <c r="E26" s="22">
        <f>6230778.76+985246.83</f>
        <v>7216025.5899999999</v>
      </c>
      <c r="F26" s="23"/>
      <c r="G26" s="22">
        <v>28291045.120000001</v>
      </c>
      <c r="H26" s="22">
        <v>17270957.620000001</v>
      </c>
      <c r="I26" s="22">
        <v>20320211.620000001</v>
      </c>
      <c r="J26" s="22">
        <v>17753558.559999999</v>
      </c>
      <c r="K26" s="31">
        <f t="shared" si="0"/>
        <v>174333849.69000003</v>
      </c>
    </row>
    <row r="27" spans="1:11" ht="12" customHeight="1" x14ac:dyDescent="0.2">
      <c r="A27" s="15" t="s">
        <v>44</v>
      </c>
      <c r="B27" s="22">
        <v>10120160.359999999</v>
      </c>
      <c r="C27" s="22"/>
      <c r="D27" s="22">
        <v>1296812.06</v>
      </c>
      <c r="E27" s="22">
        <v>275385.67</v>
      </c>
      <c r="F27" s="23"/>
      <c r="G27" s="22">
        <v>2788448.25</v>
      </c>
      <c r="H27" s="22">
        <v>3189773.84</v>
      </c>
      <c r="I27" s="22">
        <v>2920059.35</v>
      </c>
      <c r="J27" s="22">
        <v>2324604.34</v>
      </c>
      <c r="K27" s="31">
        <f t="shared" si="0"/>
        <v>22915243.870000001</v>
      </c>
    </row>
    <row r="28" spans="1:11" ht="12" customHeight="1" x14ac:dyDescent="0.2">
      <c r="A28" s="15" t="s">
        <v>120</v>
      </c>
      <c r="B28" s="24"/>
      <c r="C28" s="22">
        <v>2387.1999999999998</v>
      </c>
      <c r="D28" s="22"/>
      <c r="E28" s="24"/>
      <c r="F28" s="23"/>
      <c r="G28" s="22">
        <v>2580071.65</v>
      </c>
      <c r="H28" s="22">
        <v>1388515.16</v>
      </c>
      <c r="I28" s="22">
        <v>10182931.439999999</v>
      </c>
      <c r="J28" s="22">
        <v>1039202.59</v>
      </c>
      <c r="K28" s="31">
        <f t="shared" si="0"/>
        <v>15193108.039999999</v>
      </c>
    </row>
    <row r="29" spans="1:11" x14ac:dyDescent="0.2">
      <c r="A29" s="34" t="s">
        <v>86</v>
      </c>
      <c r="B29" s="22">
        <v>28802114.050000001</v>
      </c>
      <c r="C29" s="24">
        <v>4652.2</v>
      </c>
      <c r="D29" s="22">
        <v>1133248.32</v>
      </c>
      <c r="E29" s="22"/>
      <c r="F29" s="23"/>
      <c r="G29" s="22">
        <v>10991202.66</v>
      </c>
      <c r="H29" s="22">
        <v>5280799.18</v>
      </c>
      <c r="I29" s="22">
        <v>8650105.1799999997</v>
      </c>
      <c r="J29" s="22">
        <v>5457315.7400000002</v>
      </c>
      <c r="K29" s="31">
        <f t="shared" si="0"/>
        <v>60319437.330000006</v>
      </c>
    </row>
    <row r="30" spans="1:11" ht="12" customHeight="1" x14ac:dyDescent="0.2">
      <c r="A30" s="34" t="s">
        <v>87</v>
      </c>
      <c r="B30" s="22">
        <v>18767464.48</v>
      </c>
      <c r="C30" s="22">
        <v>77.459999999999994</v>
      </c>
      <c r="D30" s="22"/>
      <c r="E30" s="24"/>
      <c r="F30" s="23"/>
      <c r="G30" s="22">
        <v>6111997.2300000004</v>
      </c>
      <c r="H30" s="22">
        <v>4487258.07</v>
      </c>
      <c r="I30" s="22">
        <v>5296794.9800000004</v>
      </c>
      <c r="J30" s="22">
        <v>4671510.3600000003</v>
      </c>
      <c r="K30" s="31">
        <f t="shared" si="0"/>
        <v>39335102.579999998</v>
      </c>
    </row>
    <row r="31" spans="1:11" ht="12" customHeight="1" x14ac:dyDescent="0.2">
      <c r="A31" s="15" t="s">
        <v>45</v>
      </c>
      <c r="B31" s="25">
        <f>SUM(B32:B36)</f>
        <v>18431890.359999999</v>
      </c>
      <c r="C31" s="25">
        <f>SUM(C32:C36)</f>
        <v>19866.75</v>
      </c>
      <c r="D31" s="25">
        <f>SUM(D32:D36)</f>
        <v>997296.52999999991</v>
      </c>
      <c r="E31" s="25">
        <f>SUM(E32:E36)</f>
        <v>640881.03</v>
      </c>
      <c r="G31" s="25">
        <f>SUM(G32:G36)</f>
        <v>3377778.7700000005</v>
      </c>
      <c r="H31" s="25">
        <f>SUM(H32:H36)</f>
        <v>5310131.12</v>
      </c>
      <c r="I31" s="25">
        <f>SUM(I32:I36)</f>
        <v>7021888.3300000001</v>
      </c>
      <c r="J31" s="25">
        <f>SUM(J32:J36)</f>
        <v>5121944.01</v>
      </c>
      <c r="K31" s="31">
        <f t="shared" si="0"/>
        <v>40921676.899999999</v>
      </c>
    </row>
    <row r="32" spans="1:11" ht="14.25" customHeight="1" x14ac:dyDescent="0.2">
      <c r="A32" s="34" t="s">
        <v>88</v>
      </c>
      <c r="B32" s="22">
        <v>6559090.0800000001</v>
      </c>
      <c r="C32" s="24">
        <v>16659.04</v>
      </c>
      <c r="D32" s="22">
        <v>510664.63</v>
      </c>
      <c r="E32" s="22">
        <f>9373.52+17556.07</f>
        <v>26929.59</v>
      </c>
      <c r="F32" s="23"/>
      <c r="G32" s="22">
        <v>1109956.77</v>
      </c>
      <c r="H32" s="22">
        <v>1218935.44</v>
      </c>
      <c r="I32" s="22">
        <v>2130506.81</v>
      </c>
      <c r="J32" s="22">
        <v>1707688.91</v>
      </c>
      <c r="K32" s="31">
        <f t="shared" si="0"/>
        <v>13280431.27</v>
      </c>
    </row>
    <row r="33" spans="1:11" ht="12" customHeight="1" x14ac:dyDescent="0.2">
      <c r="A33" s="34" t="s">
        <v>89</v>
      </c>
      <c r="B33" s="22">
        <v>4316993.58</v>
      </c>
      <c r="C33" s="22"/>
      <c r="D33" s="22">
        <v>332443.07</v>
      </c>
      <c r="E33" s="22">
        <v>218276.89</v>
      </c>
      <c r="F33" s="23"/>
      <c r="G33" s="22">
        <v>887611.15</v>
      </c>
      <c r="H33" s="22">
        <v>1422743.15</v>
      </c>
      <c r="I33" s="22">
        <v>1463129.95</v>
      </c>
      <c r="J33" s="22">
        <v>1127760.6599999999</v>
      </c>
      <c r="K33" s="31">
        <f t="shared" si="0"/>
        <v>9768958.4499999993</v>
      </c>
    </row>
    <row r="34" spans="1:11" ht="12" customHeight="1" x14ac:dyDescent="0.2">
      <c r="A34" s="34" t="s">
        <v>46</v>
      </c>
      <c r="B34" s="22">
        <v>4280594.3499999996</v>
      </c>
      <c r="C34" s="24"/>
      <c r="D34" s="22">
        <v>46987.75</v>
      </c>
      <c r="E34" s="22">
        <v>215371.75</v>
      </c>
      <c r="F34" s="23"/>
      <c r="G34" s="22">
        <v>699803.24</v>
      </c>
      <c r="H34" s="22">
        <v>1059354.03</v>
      </c>
      <c r="I34" s="22">
        <v>1519881.3</v>
      </c>
      <c r="J34" s="22">
        <v>1425714.03</v>
      </c>
      <c r="K34" s="31">
        <f t="shared" si="0"/>
        <v>9247706.4499999993</v>
      </c>
    </row>
    <row r="35" spans="1:11" ht="12" customHeight="1" x14ac:dyDescent="0.2">
      <c r="A35" s="34" t="s">
        <v>90</v>
      </c>
      <c r="B35" s="22">
        <v>965579.12</v>
      </c>
      <c r="C35" s="22">
        <v>3207.71</v>
      </c>
      <c r="D35" s="22"/>
      <c r="E35" s="22">
        <v>180302.8</v>
      </c>
      <c r="F35" s="23"/>
      <c r="G35" s="22">
        <v>173228.83</v>
      </c>
      <c r="H35" s="22">
        <v>473411.11</v>
      </c>
      <c r="I35" s="22">
        <v>813981.71</v>
      </c>
      <c r="J35" s="22">
        <v>358461.95</v>
      </c>
      <c r="K35" s="31">
        <f t="shared" si="0"/>
        <v>2968173.23</v>
      </c>
    </row>
    <row r="36" spans="1:11" ht="12" customHeight="1" x14ac:dyDescent="0.2">
      <c r="A36" s="34" t="s">
        <v>91</v>
      </c>
      <c r="B36" s="22">
        <v>2309633.23</v>
      </c>
      <c r="C36" s="24"/>
      <c r="D36" s="22">
        <v>107201.08</v>
      </c>
      <c r="E36" s="24"/>
      <c r="F36" s="23"/>
      <c r="G36" s="22">
        <v>507178.78</v>
      </c>
      <c r="H36" s="22">
        <v>1135687.3899999999</v>
      </c>
      <c r="I36" s="22">
        <v>1094388.56</v>
      </c>
      <c r="J36" s="22">
        <v>502318.46</v>
      </c>
      <c r="K36" s="31">
        <f t="shared" si="0"/>
        <v>5656407.4999999991</v>
      </c>
    </row>
    <row r="37" spans="1:11" ht="12" customHeight="1" x14ac:dyDescent="0.2">
      <c r="A37" s="15" t="s">
        <v>47</v>
      </c>
      <c r="B37" s="24"/>
      <c r="C37" s="22"/>
      <c r="D37" s="22"/>
      <c r="E37" s="24">
        <v>243.42</v>
      </c>
      <c r="F37" s="23"/>
      <c r="G37" s="22">
        <v>840028.87</v>
      </c>
      <c r="H37" s="26">
        <v>14089.79</v>
      </c>
      <c r="I37" s="22">
        <v>212885.02</v>
      </c>
      <c r="J37" s="26">
        <v>-74.319999999999993</v>
      </c>
      <c r="K37" s="31">
        <f t="shared" si="0"/>
        <v>1067172.78</v>
      </c>
    </row>
    <row r="38" spans="1:11" ht="12" customHeight="1" x14ac:dyDescent="0.2">
      <c r="A38" s="34" t="s">
        <v>92</v>
      </c>
      <c r="B38" s="22">
        <v>12816864.619999999</v>
      </c>
      <c r="C38" s="22">
        <v>142866.01</v>
      </c>
      <c r="D38" s="22">
        <v>468699.36</v>
      </c>
      <c r="E38" s="22">
        <v>270354.71999999997</v>
      </c>
      <c r="F38" s="23"/>
      <c r="G38" s="22">
        <v>3739953.12</v>
      </c>
      <c r="H38" s="22">
        <v>2743044.65</v>
      </c>
      <c r="I38" s="22">
        <v>3123933.62</v>
      </c>
      <c r="J38" s="22">
        <v>2744900.15</v>
      </c>
      <c r="K38" s="31">
        <f t="shared" si="0"/>
        <v>26050616.249999996</v>
      </c>
    </row>
    <row r="39" spans="1:11" ht="12" customHeight="1" x14ac:dyDescent="0.2">
      <c r="A39" s="34" t="s">
        <v>93</v>
      </c>
      <c r="B39" s="22">
        <v>3548049.23</v>
      </c>
      <c r="C39" s="24"/>
      <c r="D39" s="22">
        <v>515907.91</v>
      </c>
      <c r="E39" s="22"/>
      <c r="F39" s="23"/>
      <c r="G39" s="22">
        <v>1158527.6299999999</v>
      </c>
      <c r="H39" s="22">
        <v>1190113.1599999999</v>
      </c>
      <c r="I39" s="22">
        <v>1312060.1100000001</v>
      </c>
      <c r="J39" s="22">
        <v>617195.21</v>
      </c>
      <c r="K39" s="31">
        <f t="shared" si="0"/>
        <v>8341853.25</v>
      </c>
    </row>
    <row r="40" spans="1:11" ht="12" customHeight="1" x14ac:dyDescent="0.2">
      <c r="A40" s="34" t="s">
        <v>48</v>
      </c>
      <c r="B40" s="22">
        <v>15948911.279999999</v>
      </c>
      <c r="C40" s="24">
        <v>88176.85</v>
      </c>
      <c r="D40" s="22">
        <v>1966245.89</v>
      </c>
      <c r="E40" s="22">
        <v>456.12</v>
      </c>
      <c r="F40" s="23"/>
      <c r="G40" s="22">
        <v>3249892.87</v>
      </c>
      <c r="H40" s="22">
        <v>3014556.17</v>
      </c>
      <c r="I40" s="22">
        <v>4070366.37</v>
      </c>
      <c r="J40" s="22">
        <v>3326943.59</v>
      </c>
      <c r="K40" s="31">
        <f t="shared" si="0"/>
        <v>31665549.140000001</v>
      </c>
    </row>
    <row r="41" spans="1:11" ht="12" customHeight="1" x14ac:dyDescent="0.2">
      <c r="A41" s="34" t="s">
        <v>94</v>
      </c>
      <c r="B41" s="22">
        <v>10072095.210000001</v>
      </c>
      <c r="C41" s="24"/>
      <c r="D41" s="22">
        <v>855709.28</v>
      </c>
      <c r="E41" s="22">
        <v>152750.76</v>
      </c>
      <c r="F41" s="23"/>
      <c r="G41" s="22">
        <v>3288775.44</v>
      </c>
      <c r="H41" s="22">
        <v>3024435.3</v>
      </c>
      <c r="I41" s="22">
        <v>3585974.5</v>
      </c>
      <c r="J41" s="22">
        <v>2425151.04</v>
      </c>
      <c r="K41" s="31">
        <f t="shared" si="0"/>
        <v>23404891.529999997</v>
      </c>
    </row>
    <row r="42" spans="1:11" ht="12" customHeight="1" x14ac:dyDescent="0.2">
      <c r="A42" s="34" t="s">
        <v>95</v>
      </c>
      <c r="B42" s="22">
        <v>18490411.02</v>
      </c>
      <c r="C42" s="24"/>
      <c r="D42" s="22">
        <v>1187602.4099999999</v>
      </c>
      <c r="E42" s="22">
        <v>164394.22</v>
      </c>
      <c r="F42" s="23"/>
      <c r="G42" s="22">
        <v>6216673.4800000004</v>
      </c>
      <c r="H42" s="22">
        <v>3356673.16</v>
      </c>
      <c r="I42" s="22">
        <v>5425504.6500000004</v>
      </c>
      <c r="J42" s="22">
        <v>5685503.5099999998</v>
      </c>
      <c r="K42" s="31">
        <f t="shared" si="0"/>
        <v>40526762.449999996</v>
      </c>
    </row>
    <row r="43" spans="1:11" ht="12" customHeight="1" x14ac:dyDescent="0.2">
      <c r="A43" s="34" t="s">
        <v>51</v>
      </c>
      <c r="B43" s="22">
        <v>21005402.719999999</v>
      </c>
      <c r="C43" s="22"/>
      <c r="D43" s="22">
        <v>816078.1</v>
      </c>
      <c r="E43" s="22"/>
      <c r="F43" s="23"/>
      <c r="G43" s="22">
        <v>4089469.04</v>
      </c>
      <c r="H43" s="22">
        <v>4420816.2300000004</v>
      </c>
      <c r="I43" s="22">
        <v>6006456.1600000001</v>
      </c>
      <c r="J43" s="22">
        <v>5432066.5099999998</v>
      </c>
      <c r="K43" s="31">
        <f t="shared" si="0"/>
        <v>41770288.759999998</v>
      </c>
    </row>
    <row r="44" spans="1:11" ht="12" customHeight="1" x14ac:dyDescent="0.2">
      <c r="A44" s="34" t="s">
        <v>65</v>
      </c>
      <c r="B44" s="22">
        <v>11895511.720000001</v>
      </c>
      <c r="C44" s="24">
        <v>471292.75</v>
      </c>
      <c r="D44" s="22">
        <v>1853100.53</v>
      </c>
      <c r="E44" s="22">
        <v>133395.01</v>
      </c>
      <c r="F44" s="23"/>
      <c r="G44" s="22">
        <v>3539836.65</v>
      </c>
      <c r="H44" s="22">
        <v>3252420.76</v>
      </c>
      <c r="I44" s="22">
        <v>3540253.87</v>
      </c>
      <c r="J44" s="22">
        <v>2420661.64</v>
      </c>
      <c r="K44" s="31">
        <f t="shared" si="0"/>
        <v>27106472.930000003</v>
      </c>
    </row>
    <row r="45" spans="1:11" ht="12" customHeight="1" x14ac:dyDescent="0.2">
      <c r="A45" s="34" t="s">
        <v>96</v>
      </c>
      <c r="B45" s="22">
        <v>16740654.75</v>
      </c>
      <c r="C45" s="22">
        <v>22906.35</v>
      </c>
      <c r="D45" s="22">
        <v>426627.64</v>
      </c>
      <c r="E45" s="22">
        <f>2826958.85+800</f>
        <v>2827758.85</v>
      </c>
      <c r="F45" s="23"/>
      <c r="G45" s="22">
        <v>4951625.0199999996</v>
      </c>
      <c r="H45" s="22">
        <v>5057750.8099999996</v>
      </c>
      <c r="I45" s="22">
        <v>6514213.3899999997</v>
      </c>
      <c r="J45" s="22">
        <v>4153514.39</v>
      </c>
      <c r="K45" s="31">
        <f t="shared" si="0"/>
        <v>40695051.199999996</v>
      </c>
    </row>
    <row r="46" spans="1:11" ht="12" customHeight="1" x14ac:dyDescent="0.2">
      <c r="A46" s="34" t="s">
        <v>97</v>
      </c>
      <c r="B46" s="22">
        <v>68719079.700000003</v>
      </c>
      <c r="C46" s="22">
        <v>855061.51</v>
      </c>
      <c r="D46" s="22">
        <v>2697767.65</v>
      </c>
      <c r="E46" s="22">
        <f>4760702.57+69792.69</f>
        <v>4830495.2600000007</v>
      </c>
      <c r="F46" s="23"/>
      <c r="G46" s="22">
        <v>20902145.16</v>
      </c>
      <c r="H46" s="22">
        <v>10358618.359999999</v>
      </c>
      <c r="I46" s="22">
        <v>23159376.190000001</v>
      </c>
      <c r="J46" s="22">
        <v>13669241.75</v>
      </c>
      <c r="K46" s="31">
        <f t="shared" si="0"/>
        <v>145191785.58000001</v>
      </c>
    </row>
    <row r="47" spans="1:11" ht="12" customHeight="1" x14ac:dyDescent="0.2">
      <c r="A47" s="34" t="s">
        <v>98</v>
      </c>
      <c r="B47" s="22">
        <v>16493169.82</v>
      </c>
      <c r="C47" s="24"/>
      <c r="D47" s="22">
        <v>1073959.1599999999</v>
      </c>
      <c r="E47" s="22"/>
      <c r="F47" s="23"/>
      <c r="G47" s="22">
        <v>3580699.92</v>
      </c>
      <c r="H47" s="22">
        <v>3421192.35</v>
      </c>
      <c r="I47" s="22">
        <v>3822683.67</v>
      </c>
      <c r="J47" s="22">
        <v>3243419.53</v>
      </c>
      <c r="K47" s="31">
        <f t="shared" si="0"/>
        <v>31635124.450000003</v>
      </c>
    </row>
    <row r="48" spans="1:11" ht="12" customHeight="1" x14ac:dyDescent="0.2">
      <c r="A48" s="34" t="s">
        <v>99</v>
      </c>
      <c r="B48" s="22">
        <v>48748649.840000004</v>
      </c>
      <c r="C48" s="22">
        <v>63478.95</v>
      </c>
      <c r="D48" s="22">
        <v>179987.18</v>
      </c>
      <c r="E48" s="22">
        <v>3048386.01</v>
      </c>
      <c r="F48" s="23"/>
      <c r="G48" s="22">
        <v>14295550.470000001</v>
      </c>
      <c r="H48" s="22">
        <v>7461181.7599999998</v>
      </c>
      <c r="I48" s="22">
        <v>16299339.539999999</v>
      </c>
      <c r="J48" s="22">
        <v>9419443.4900000002</v>
      </c>
      <c r="K48" s="31">
        <f t="shared" si="0"/>
        <v>99516017.239999995</v>
      </c>
    </row>
    <row r="50" spans="1:11" hidden="1" x14ac:dyDescent="0.2">
      <c r="A50" s="30" t="s">
        <v>49</v>
      </c>
      <c r="B50" s="17">
        <f>SUM(B6:B48)-B11-B12-B32-B33-B34-B35-B36-B8-B9-B16-B17</f>
        <v>687545949.19000006</v>
      </c>
      <c r="C50" s="17">
        <f t="shared" ref="C50:E50" si="3">SUM(C6:C48)-C11-C12-C32-C33-C34-C35-C36-C8-C9-C16-C17</f>
        <v>2855032.3400000003</v>
      </c>
      <c r="D50" s="17">
        <f t="shared" si="3"/>
        <v>32837261.669999994</v>
      </c>
      <c r="E50" s="17">
        <f t="shared" si="3"/>
        <v>27795453.250000007</v>
      </c>
      <c r="G50" s="17">
        <f t="shared" ref="G50:J50" si="4">SUM(G6:G48)-G11-G12-G32-G33-G34-G35-G36-G8-G9-G16-G17</f>
        <v>216310711.95999998</v>
      </c>
      <c r="H50" s="17">
        <f t="shared" si="4"/>
        <v>150098939.06999999</v>
      </c>
      <c r="I50" s="17">
        <f t="shared" si="4"/>
        <v>228290045.50999999</v>
      </c>
      <c r="J50" s="17">
        <f t="shared" si="4"/>
        <v>157920536.43999994</v>
      </c>
      <c r="K50" s="17">
        <f>SUM(K6:K48)-K11-K12-K32-K33-K34-K35-K36-K8-K9-K16-K17</f>
        <v>1503653929.4300001</v>
      </c>
    </row>
    <row r="52" spans="1:11" x14ac:dyDescent="0.2">
      <c r="A52" s="41" t="s">
        <v>166</v>
      </c>
    </row>
    <row r="53" spans="1:11" x14ac:dyDescent="0.2">
      <c r="A53" s="41"/>
    </row>
  </sheetData>
  <mergeCells count="1">
    <mergeCell ref="A3:K3"/>
  </mergeCells>
  <phoneticPr fontId="0" type="noConversion"/>
  <pageMargins left="0.36" right="0.11" top="0.45" bottom="0.17" header="0.19" footer="0.17"/>
  <pageSetup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Table'!B13</f>
        <v>12228055.41</v>
      </c>
      <c r="C9" s="1">
        <f>'Master Expend Table'!C13</f>
        <v>0</v>
      </c>
      <c r="D9" s="1">
        <f>'Master Expend Table'!D13</f>
        <v>634208.31000000006</v>
      </c>
      <c r="E9" s="1">
        <f>'Master Expend Table'!E13</f>
        <v>147187.06</v>
      </c>
      <c r="G9" s="1">
        <f>'Master Expend Table'!G13</f>
        <v>3255686.92</v>
      </c>
      <c r="H9" s="1">
        <f>'Master Expend Table'!H13</f>
        <v>3020289.38</v>
      </c>
      <c r="I9" s="1">
        <f>'Master Expend Table'!I13</f>
        <v>3868794</v>
      </c>
      <c r="J9" s="1">
        <f>'Master Expend Table'!J13</f>
        <v>2827138.2</v>
      </c>
      <c r="K9" s="1">
        <f>SUM(B9:J9)</f>
        <v>25981359.280000001</v>
      </c>
    </row>
    <row r="11" spans="1:11" x14ac:dyDescent="0.2">
      <c r="A11" t="s">
        <v>3</v>
      </c>
      <c r="B11" s="1">
        <f>(B9/($K9-$J9))*-$J$11</f>
        <v>1493049.6880842457</v>
      </c>
      <c r="C11" s="1">
        <f t="shared" ref="C11:I11" si="0">(C9/($K9-$J9))*-$J$11</f>
        <v>0</v>
      </c>
      <c r="D11" s="1">
        <f t="shared" si="0"/>
        <v>77437.048465740998</v>
      </c>
      <c r="E11" s="1">
        <f t="shared" si="0"/>
        <v>17971.589648123547</v>
      </c>
      <c r="G11" s="1">
        <f t="shared" si="0"/>
        <v>397520.47054274491</v>
      </c>
      <c r="H11" s="1">
        <f t="shared" si="0"/>
        <v>368778.35154765286</v>
      </c>
      <c r="I11" s="1">
        <f t="shared" si="0"/>
        <v>472381.05171149207</v>
      </c>
      <c r="J11" s="1">
        <f>-J9</f>
        <v>-2827138.2</v>
      </c>
      <c r="K11" s="1">
        <v>0</v>
      </c>
    </row>
    <row r="12" spans="1:11" x14ac:dyDescent="0.2">
      <c r="A12" t="s">
        <v>4</v>
      </c>
      <c r="B12" s="1">
        <f>+B9+B11</f>
        <v>13721105.098084245</v>
      </c>
      <c r="C12" s="1">
        <f t="shared" ref="C12:J12" si="1">+C9+C11</f>
        <v>0</v>
      </c>
      <c r="D12" s="1">
        <f t="shared" si="1"/>
        <v>711645.35846574104</v>
      </c>
      <c r="E12" s="1">
        <f t="shared" si="1"/>
        <v>165158.64964812354</v>
      </c>
      <c r="G12" s="1">
        <f t="shared" si="1"/>
        <v>3653207.3905427447</v>
      </c>
      <c r="H12" s="1">
        <f t="shared" si="1"/>
        <v>3389067.7315476527</v>
      </c>
      <c r="I12" s="1">
        <f t="shared" si="1"/>
        <v>4341175.0517114922</v>
      </c>
      <c r="J12" s="1">
        <f t="shared" si="1"/>
        <v>0</v>
      </c>
      <c r="K12" s="1">
        <f>SUM(B12:J12)</f>
        <v>25981359.280000001</v>
      </c>
    </row>
    <row r="14" spans="1:11" x14ac:dyDescent="0.2">
      <c r="A14" t="s">
        <v>5</v>
      </c>
      <c r="B14" s="1">
        <f>B$9/($K$9-$J$9-$I$9)*-I14</f>
        <v>2752551.3879798269</v>
      </c>
      <c r="C14" s="1">
        <f t="shared" ref="C14:H14" si="2">C$9/($K$9-$J$9-$I$9)*-$I$14</f>
        <v>0</v>
      </c>
      <c r="D14" s="1">
        <f t="shared" si="2"/>
        <v>142761.12639555338</v>
      </c>
      <c r="E14" s="1">
        <f t="shared" si="2"/>
        <v>33132.001181835505</v>
      </c>
      <c r="G14" s="1">
        <f t="shared" si="2"/>
        <v>732859.41631775501</v>
      </c>
      <c r="H14" s="1">
        <f t="shared" si="2"/>
        <v>679871.1198365211</v>
      </c>
      <c r="I14" s="1">
        <f>-I12</f>
        <v>-4341175.0517114922</v>
      </c>
      <c r="K14" s="1">
        <v>0</v>
      </c>
    </row>
    <row r="15" spans="1:11" x14ac:dyDescent="0.2">
      <c r="A15" t="s">
        <v>4</v>
      </c>
      <c r="B15" s="1">
        <f>+B12+B14</f>
        <v>16473656.486064073</v>
      </c>
      <c r="C15" s="1">
        <f>+C12+C14</f>
        <v>0</v>
      </c>
      <c r="D15" s="1">
        <f>+D12+D14</f>
        <v>854406.48486129439</v>
      </c>
      <c r="E15" s="1">
        <f>+E12+E14</f>
        <v>198290.65082995905</v>
      </c>
      <c r="G15" s="1">
        <f>+G12+G14</f>
        <v>4386066.8068605</v>
      </c>
      <c r="H15" s="1">
        <f>+H12+H14</f>
        <v>4068938.8513841741</v>
      </c>
      <c r="I15" s="1">
        <f>+I12+I14</f>
        <v>0</v>
      </c>
      <c r="J15" s="1">
        <f>+J12+J14</f>
        <v>0</v>
      </c>
      <c r="K15" s="1">
        <f>SUM(B15:J15)</f>
        <v>25981359.280000001</v>
      </c>
    </row>
    <row r="17" spans="1:11" x14ac:dyDescent="0.2">
      <c r="A17" t="s">
        <v>6</v>
      </c>
      <c r="B17" s="1">
        <f>B$9/($K$9-$J$9-$I$9-$H$9)*-$H$17</f>
        <v>3059009.4379974063</v>
      </c>
      <c r="C17" s="1">
        <f>C$9/($K$9-$J$9-$I$9-$H$9)*-$H$17</f>
        <v>0</v>
      </c>
      <c r="D17" s="1">
        <f>D$9/($K$9-$J$9-$I$9-$H$9)*-$H$17</f>
        <v>158655.57857709978</v>
      </c>
      <c r="E17" s="1">
        <f>E$9/($K$9-$J$9-$I$9-$H$9)*-$H$17</f>
        <v>36820.785529225082</v>
      </c>
      <c r="G17" s="1">
        <f>G$9/($K$9-$J$9-$I$9-$H$9)*-$H$17</f>
        <v>814453.04928044206</v>
      </c>
      <c r="H17" s="1">
        <f>-H15</f>
        <v>-4068938.8513841741</v>
      </c>
      <c r="K17" s="1">
        <v>0</v>
      </c>
    </row>
    <row r="18" spans="1:11" x14ac:dyDescent="0.2">
      <c r="A18" t="s">
        <v>4</v>
      </c>
      <c r="B18" s="1">
        <f>+B15+B17</f>
        <v>19532665.924061477</v>
      </c>
      <c r="C18" s="1">
        <f>+C15+C17</f>
        <v>0</v>
      </c>
      <c r="D18" s="1">
        <f>+D15+D17</f>
        <v>1013062.0634383941</v>
      </c>
      <c r="E18" s="1">
        <f>+E15+E17</f>
        <v>235111.43635918412</v>
      </c>
      <c r="G18" s="1">
        <f>+G15+G17</f>
        <v>5200519.8561409423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25981359.279999997</v>
      </c>
    </row>
    <row r="20" spans="1:11" x14ac:dyDescent="0.2">
      <c r="A20" t="s">
        <v>7</v>
      </c>
      <c r="B20" s="1">
        <f>B$9/($K$9-$J$9-$I$9-$H$9-$G$9)*-$G$20</f>
        <v>4888157.5430885833</v>
      </c>
      <c r="C20" s="1">
        <f>C$9/($K$9-$J$9-$I$9-$H$9-$G$9)*-$G$20</f>
        <v>0</v>
      </c>
      <c r="D20" s="1">
        <f>D$9/($K$9-$J$9-$I$9-$H$9-$G$9)*-$G$20</f>
        <v>253524.37738225484</v>
      </c>
      <c r="E20" s="1">
        <f>E$9/($K$9-$J$9-$I$9-$H$9-$G$9)*-$G$20</f>
        <v>58837.93567010275</v>
      </c>
      <c r="G20" s="1">
        <f>-G18</f>
        <v>-5200519.8561409423</v>
      </c>
      <c r="K20" s="1">
        <f>SUM(B20:J20)</f>
        <v>0</v>
      </c>
    </row>
    <row r="22" spans="1:11" x14ac:dyDescent="0.2">
      <c r="A22" t="s">
        <v>8</v>
      </c>
      <c r="B22" s="1">
        <f>+B20+B18</f>
        <v>24420823.467150062</v>
      </c>
      <c r="C22" s="1">
        <f t="shared" ref="C22:K22" si="3">+C20+C18</f>
        <v>0</v>
      </c>
      <c r="D22" s="1">
        <f t="shared" si="3"/>
        <v>1266586.440820649</v>
      </c>
      <c r="E22" s="1">
        <f t="shared" si="3"/>
        <v>293949.37202928687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25981359.279999997</v>
      </c>
    </row>
    <row r="27" spans="1:11" x14ac:dyDescent="0.2">
      <c r="A27" t="s">
        <v>9</v>
      </c>
      <c r="B27" s="1">
        <f>+B9</f>
        <v>12228055.41</v>
      </c>
    </row>
    <row r="28" spans="1:11" x14ac:dyDescent="0.2">
      <c r="A28" t="s">
        <v>10</v>
      </c>
      <c r="B28" s="1">
        <f>+B22-B27</f>
        <v>12192768.057150062</v>
      </c>
    </row>
    <row r="29" spans="1:11" x14ac:dyDescent="0.2">
      <c r="A29" s="29" t="s">
        <v>163</v>
      </c>
      <c r="B29" s="1">
        <v>2562</v>
      </c>
    </row>
    <row r="30" spans="1:11" x14ac:dyDescent="0.2">
      <c r="A30" t="s">
        <v>11</v>
      </c>
      <c r="B30" s="1">
        <f>+B28/B29</f>
        <v>4759.0819895199302</v>
      </c>
    </row>
  </sheetData>
  <phoneticPr fontId="0" type="noConversion"/>
  <pageMargins left="0.46" right="0.55000000000000004" top="1" bottom="0.48" header="0.5" footer="0.5"/>
  <pageSetup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2.140625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Table'!B14</f>
        <v>28187065.149999999</v>
      </c>
      <c r="C9" s="1">
        <f>'Master Expend Table'!C14</f>
        <v>0</v>
      </c>
      <c r="D9" s="1">
        <f>'Master Expend Table'!D14</f>
        <v>1552515.77</v>
      </c>
      <c r="E9" s="1">
        <f>'Master Expend Table'!E14</f>
        <v>0</v>
      </c>
      <c r="G9" s="1">
        <f>'Master Expend Table'!G14</f>
        <v>7092505.5599999996</v>
      </c>
      <c r="H9" s="1">
        <f>'Master Expend Table'!H14</f>
        <v>6061765.4800000004</v>
      </c>
      <c r="I9" s="1">
        <f>'Master Expend Table'!I14</f>
        <v>9910460.3000000007</v>
      </c>
      <c r="J9" s="1">
        <f>'Master Expend Table'!J14</f>
        <v>6126918.9400000004</v>
      </c>
      <c r="K9" s="1">
        <f>SUM(B9:J9)</f>
        <v>58931231.199999988</v>
      </c>
    </row>
    <row r="11" spans="1:11" x14ac:dyDescent="0.2">
      <c r="A11" t="s">
        <v>3</v>
      </c>
      <c r="B11" s="1">
        <f>(B9/($K9-$J9))*-$J$11</f>
        <v>3270563.6327617038</v>
      </c>
      <c r="C11" s="1">
        <f t="shared" ref="C11:I11" si="0">(C9/($K9-$J9))*-$J$11</f>
        <v>0</v>
      </c>
      <c r="D11" s="1">
        <f t="shared" si="0"/>
        <v>180139.42173937304</v>
      </c>
      <c r="E11" s="1">
        <f t="shared" si="0"/>
        <v>0</v>
      </c>
      <c r="G11" s="1">
        <f t="shared" si="0"/>
        <v>822948.06593925168</v>
      </c>
      <c r="H11" s="1">
        <f t="shared" si="0"/>
        <v>703350.61928993685</v>
      </c>
      <c r="I11" s="1">
        <f t="shared" si="0"/>
        <v>1149917.2002697361</v>
      </c>
      <c r="J11" s="1">
        <f>-J9</f>
        <v>-6126918.9400000004</v>
      </c>
      <c r="K11" s="1">
        <v>0</v>
      </c>
    </row>
    <row r="12" spans="1:11" x14ac:dyDescent="0.2">
      <c r="A12" t="s">
        <v>4</v>
      </c>
      <c r="B12" s="1">
        <f>+B9+B11</f>
        <v>31457628.7827617</v>
      </c>
      <c r="C12" s="1">
        <f t="shared" ref="C12:J12" si="1">+C9+C11</f>
        <v>0</v>
      </c>
      <c r="D12" s="1">
        <f t="shared" si="1"/>
        <v>1732655.1917393731</v>
      </c>
      <c r="E12" s="1">
        <f t="shared" si="1"/>
        <v>0</v>
      </c>
      <c r="G12" s="1">
        <f t="shared" si="1"/>
        <v>7915453.6259392509</v>
      </c>
      <c r="H12" s="1">
        <f t="shared" si="1"/>
        <v>6765116.0992899369</v>
      </c>
      <c r="I12" s="1">
        <f t="shared" si="1"/>
        <v>11060377.500269737</v>
      </c>
      <c r="J12" s="1">
        <f t="shared" si="1"/>
        <v>0</v>
      </c>
      <c r="K12" s="1">
        <f>SUM(B12:J12)</f>
        <v>58931231.200000003</v>
      </c>
    </row>
    <row r="14" spans="1:11" x14ac:dyDescent="0.2">
      <c r="A14" t="s">
        <v>5</v>
      </c>
      <c r="B14" s="1">
        <f>B$9/($K$9-$J$9-$I$9)*-I14</f>
        <v>7268164.7121462496</v>
      </c>
      <c r="C14" s="1">
        <f t="shared" ref="C14:H14" si="2">C$9/($K$9-$J$9-$I$9)*-$I$14</f>
        <v>0</v>
      </c>
      <c r="D14" s="1">
        <f t="shared" si="2"/>
        <v>400323.34954050952</v>
      </c>
      <c r="E14" s="1">
        <f t="shared" si="2"/>
        <v>0</v>
      </c>
      <c r="G14" s="1">
        <f t="shared" si="2"/>
        <v>1828835.2603425644</v>
      </c>
      <c r="H14" s="1">
        <f t="shared" si="2"/>
        <v>1563054.1782404147</v>
      </c>
      <c r="I14" s="1">
        <f>-I12</f>
        <v>-11060377.500269737</v>
      </c>
      <c r="K14" s="1">
        <v>0</v>
      </c>
    </row>
    <row r="15" spans="1:11" x14ac:dyDescent="0.2">
      <c r="A15" t="s">
        <v>4</v>
      </c>
      <c r="B15" s="1">
        <f>+B12+B14</f>
        <v>38725793.494907953</v>
      </c>
      <c r="C15" s="1">
        <f>+C12+C14</f>
        <v>0</v>
      </c>
      <c r="D15" s="1">
        <f>+D12+D14</f>
        <v>2132978.5412798827</v>
      </c>
      <c r="E15" s="1">
        <f>+E12+E14</f>
        <v>0</v>
      </c>
      <c r="G15" s="1">
        <f>+G12+G14</f>
        <v>9744288.8862818144</v>
      </c>
      <c r="H15" s="1">
        <f>+H12+H14</f>
        <v>8328170.2775303517</v>
      </c>
      <c r="I15" s="1">
        <f>+I12+I14</f>
        <v>0</v>
      </c>
      <c r="J15" s="1">
        <f>+J12+J14</f>
        <v>0</v>
      </c>
      <c r="K15" s="1">
        <f>SUM(B15:J15)</f>
        <v>58931231.199999996</v>
      </c>
    </row>
    <row r="17" spans="1:11" x14ac:dyDescent="0.2">
      <c r="A17" t="s">
        <v>6</v>
      </c>
      <c r="B17" s="1">
        <f>B$9/($K$9-$J$9-$I$9-$H$9)*-$H$17</f>
        <v>6373428.7309656013</v>
      </c>
      <c r="C17" s="1">
        <f>C$9/($K$9-$J$9-$I$9-$H$9)*-$H$17</f>
        <v>0</v>
      </c>
      <c r="D17" s="1">
        <f>D$9/($K$9-$J$9-$I$9-$H$9)*-$H$17</f>
        <v>351042.17346285807</v>
      </c>
      <c r="E17" s="1">
        <f>E$9/($K$9-$J$9-$I$9-$H$9)*-$H$17</f>
        <v>0</v>
      </c>
      <c r="G17" s="1">
        <f>G$9/($K$9-$J$9-$I$9-$H$9)*-$H$17</f>
        <v>1603699.373101895</v>
      </c>
      <c r="H17" s="1">
        <f>-H15</f>
        <v>-8328170.2775303517</v>
      </c>
      <c r="K17" s="1">
        <v>0</v>
      </c>
    </row>
    <row r="18" spans="1:11" x14ac:dyDescent="0.2">
      <c r="A18" t="s">
        <v>4</v>
      </c>
      <c r="B18" s="1">
        <f>+B15+B17</f>
        <v>45099222.225873552</v>
      </c>
      <c r="C18" s="1">
        <f>+C15+C17</f>
        <v>0</v>
      </c>
      <c r="D18" s="1">
        <f>+D15+D17</f>
        <v>2484020.7147427406</v>
      </c>
      <c r="E18" s="1">
        <f>+E15+E17</f>
        <v>0</v>
      </c>
      <c r="G18" s="1">
        <f>+G15+G17</f>
        <v>11347988.25938371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58931231.200000003</v>
      </c>
    </row>
    <row r="20" spans="1:11" x14ac:dyDescent="0.2">
      <c r="A20" t="s">
        <v>7</v>
      </c>
      <c r="B20" s="1">
        <f>B$9/($K$9-$J$9-$I$9-$H$9-$G$9)*-$G$20</f>
        <v>10755581.433683626</v>
      </c>
      <c r="C20" s="1">
        <f>C$9/($K$9-$J$9-$I$9-$H$9-$G$9)*-$G$20</f>
        <v>0</v>
      </c>
      <c r="D20" s="1">
        <f>D$9/($K$9-$J$9-$I$9-$H$9-$G$9)*-$G$20</f>
        <v>592406.82570008677</v>
      </c>
      <c r="E20" s="1">
        <f>E$9/($K$9-$J$9-$I$9-$H$9-$G$9)*-$G$20</f>
        <v>0</v>
      </c>
      <c r="G20" s="1">
        <f>-G18</f>
        <v>-11347988.25938371</v>
      </c>
      <c r="K20" s="1">
        <f>SUM(B20:J20)</f>
        <v>0</v>
      </c>
    </row>
    <row r="22" spans="1:11" x14ac:dyDescent="0.2">
      <c r="A22" t="s">
        <v>8</v>
      </c>
      <c r="B22" s="1">
        <f>+B20+B18</f>
        <v>55854803.659557179</v>
      </c>
      <c r="C22" s="1">
        <f t="shared" ref="C22:K22" si="3">+C20+C18</f>
        <v>0</v>
      </c>
      <c r="D22" s="1">
        <f t="shared" si="3"/>
        <v>3076427.5404428272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58931231.200000003</v>
      </c>
    </row>
    <row r="27" spans="1:11" x14ac:dyDescent="0.2">
      <c r="A27" t="s">
        <v>9</v>
      </c>
      <c r="B27" s="1">
        <f>+B9</f>
        <v>28187065.149999999</v>
      </c>
    </row>
    <row r="28" spans="1:11" x14ac:dyDescent="0.2">
      <c r="A28" t="s">
        <v>10</v>
      </c>
      <c r="B28" s="1">
        <f>+B22-B27</f>
        <v>27667738.50955718</v>
      </c>
    </row>
    <row r="29" spans="1:11" x14ac:dyDescent="0.2">
      <c r="A29" s="29" t="s">
        <v>163</v>
      </c>
      <c r="B29" s="1">
        <v>5983</v>
      </c>
    </row>
    <row r="30" spans="1:11" x14ac:dyDescent="0.2">
      <c r="A30" t="s">
        <v>11</v>
      </c>
      <c r="B30" s="1">
        <f>+B28/B29</f>
        <v>4624.3921961486176</v>
      </c>
    </row>
  </sheetData>
  <phoneticPr fontId="0" type="noConversion"/>
  <pageMargins left="0.46" right="0.55000000000000004" top="1" bottom="0.63" header="0.5" footer="0.5"/>
  <pageSetup orientation="landscape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119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Table'!B15</f>
        <v>25797436.990000002</v>
      </c>
      <c r="C9" s="1">
        <f>'Master Expend Table'!C15</f>
        <v>0</v>
      </c>
      <c r="D9" s="1">
        <f>'Master Expend Table'!D15</f>
        <v>2197445.37</v>
      </c>
      <c r="E9" s="1">
        <f>'Master Expend Table'!E15</f>
        <v>313691.92</v>
      </c>
      <c r="G9" s="1">
        <f>'Master Expend Table'!G15</f>
        <v>6742342.9800000004</v>
      </c>
      <c r="H9" s="1">
        <f>'Master Expend Table'!H15</f>
        <v>6128060.1099999994</v>
      </c>
      <c r="I9" s="1">
        <f>'Master Expend Table'!I15</f>
        <v>7702338.3900000006</v>
      </c>
      <c r="J9" s="1">
        <f>'Master Expend Table'!J15</f>
        <v>6286348.9100000001</v>
      </c>
      <c r="K9" s="1">
        <f>SUM(B9:J9)</f>
        <v>55167664.670000002</v>
      </c>
    </row>
    <row r="11" spans="1:11" x14ac:dyDescent="0.2">
      <c r="A11" t="s">
        <v>3</v>
      </c>
      <c r="B11" s="1">
        <f>(B9/($K9-$J9))*-$J$11</f>
        <v>3317662.1247087354</v>
      </c>
      <c r="C11" s="1">
        <f t="shared" ref="C11:I11" si="0">(C9/($K9-$J9))*-$J$11</f>
        <v>0</v>
      </c>
      <c r="D11" s="1">
        <f t="shared" si="0"/>
        <v>282600.99164082011</v>
      </c>
      <c r="E11" s="1">
        <f t="shared" si="0"/>
        <v>40342.139500702484</v>
      </c>
      <c r="G11" s="1">
        <f t="shared" si="0"/>
        <v>867094.50807895255</v>
      </c>
      <c r="H11" s="1">
        <f t="shared" si="0"/>
        <v>788095.07055938896</v>
      </c>
      <c r="I11" s="1">
        <f t="shared" si="0"/>
        <v>990554.07551140059</v>
      </c>
      <c r="J11" s="1">
        <f>-J9</f>
        <v>-6286348.9100000001</v>
      </c>
      <c r="K11" s="1">
        <v>0</v>
      </c>
    </row>
    <row r="12" spans="1:11" x14ac:dyDescent="0.2">
      <c r="A12" t="s">
        <v>4</v>
      </c>
      <c r="B12" s="1">
        <f>+B9+B11</f>
        <v>29115099.114708737</v>
      </c>
      <c r="C12" s="1">
        <f>+C9+C11</f>
        <v>0</v>
      </c>
      <c r="D12" s="1">
        <f>+D9+D11</f>
        <v>2480046.3616408203</v>
      </c>
      <c r="E12" s="1">
        <f>+E9+E11</f>
        <v>354034.05950070248</v>
      </c>
      <c r="G12" s="1">
        <f>+G9+G11</f>
        <v>7609437.4880789528</v>
      </c>
      <c r="H12" s="1">
        <f>+H9+H11</f>
        <v>6916155.1805593884</v>
      </c>
      <c r="I12" s="1">
        <f>+I9+I11</f>
        <v>8692892.4655114003</v>
      </c>
      <c r="J12" s="1">
        <f>+J9+J11</f>
        <v>0</v>
      </c>
      <c r="K12" s="1">
        <f>SUM(B12:J12)</f>
        <v>55167664.670000002</v>
      </c>
    </row>
    <row r="14" spans="1:11" x14ac:dyDescent="0.2">
      <c r="A14" t="s">
        <v>5</v>
      </c>
      <c r="B14" s="1">
        <f>B$9/($K$9-$J$9-$I$9)*-I14</f>
        <v>5445845.427993835</v>
      </c>
      <c r="C14" s="1">
        <f t="shared" ref="C14:H14" si="1">C$9/($K$9-$J$9-$I$9)*-$I$14</f>
        <v>0</v>
      </c>
      <c r="D14" s="1">
        <f t="shared" si="1"/>
        <v>463881.26952764858</v>
      </c>
      <c r="E14" s="1">
        <f t="shared" si="1"/>
        <v>66220.443100328615</v>
      </c>
      <c r="G14" s="1">
        <f t="shared" si="1"/>
        <v>1423310.2965163721</v>
      </c>
      <c r="H14" s="1">
        <f t="shared" si="1"/>
        <v>1293635.0283732156</v>
      </c>
      <c r="I14" s="1">
        <f>-I12</f>
        <v>-8692892.4655114003</v>
      </c>
      <c r="K14" s="1">
        <v>0</v>
      </c>
    </row>
    <row r="15" spans="1:11" x14ac:dyDescent="0.2">
      <c r="A15" t="s">
        <v>4</v>
      </c>
      <c r="B15" s="1">
        <f>+B12+B14</f>
        <v>34560944.542702571</v>
      </c>
      <c r="C15" s="1">
        <f>+C12+C14</f>
        <v>0</v>
      </c>
      <c r="D15" s="1">
        <f>+D12+D14</f>
        <v>2943927.6311684689</v>
      </c>
      <c r="E15" s="1">
        <f>+E12+E14</f>
        <v>420254.5026010311</v>
      </c>
      <c r="G15" s="1">
        <f>+G12+G14</f>
        <v>9032747.7845953256</v>
      </c>
      <c r="H15" s="1">
        <f>+H12+H14</f>
        <v>8209790.2089326037</v>
      </c>
      <c r="I15" s="1">
        <f>+I12+I14</f>
        <v>0</v>
      </c>
      <c r="J15" s="1">
        <f>+J12+J14</f>
        <v>0</v>
      </c>
      <c r="K15" s="1">
        <f>SUM(B15:J15)</f>
        <v>55167664.669999994</v>
      </c>
    </row>
    <row r="17" spans="1:11" x14ac:dyDescent="0.2">
      <c r="A17" t="s">
        <v>6</v>
      </c>
      <c r="B17" s="1">
        <f>B$9/($K$9-$J$9-$I$9-$H$9)*-$H$17</f>
        <v>6042396.6666844878</v>
      </c>
      <c r="C17" s="1">
        <f>C$9/($K$9-$J$9-$I$9-$H$9)*-$H$17</f>
        <v>0</v>
      </c>
      <c r="D17" s="1">
        <f>D$9/($K$9-$J$9-$I$9-$H$9)*-$H$17</f>
        <v>514695.95929456939</v>
      </c>
      <c r="E17" s="1">
        <f>E$9/($K$9-$J$9-$I$9-$H$9)*-$H$17</f>
        <v>73474.392533979262</v>
      </c>
      <c r="G17" s="1">
        <f>G$9/($K$9-$J$9-$I$9-$H$9)*-$H$17</f>
        <v>1579223.1904195671</v>
      </c>
      <c r="H17" s="1">
        <f>-H15</f>
        <v>-8209790.2089326037</v>
      </c>
      <c r="K17" s="1">
        <v>0</v>
      </c>
    </row>
    <row r="18" spans="1:11" x14ac:dyDescent="0.2">
      <c r="A18" t="s">
        <v>4</v>
      </c>
      <c r="B18" s="1">
        <f>+B15+B17</f>
        <v>40603341.209387057</v>
      </c>
      <c r="C18" s="1">
        <f>+C15+C17</f>
        <v>0</v>
      </c>
      <c r="D18" s="1">
        <f>+D15+D17</f>
        <v>3458623.5904630381</v>
      </c>
      <c r="E18" s="1">
        <f>+E15+E17</f>
        <v>493728.89513501036</v>
      </c>
      <c r="G18" s="1">
        <f>+G15+G17</f>
        <v>10611970.975014893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55167664.669999994</v>
      </c>
    </row>
    <row r="20" spans="1:11" x14ac:dyDescent="0.2">
      <c r="A20" t="s">
        <v>7</v>
      </c>
      <c r="B20" s="1">
        <f>B$9/($K$9-$J$9-$I$9-$H$9-$G$9)*-$G$20</f>
        <v>9670626.6398258023</v>
      </c>
      <c r="C20" s="1">
        <f>C$9/($K$9-$J$9-$I$9-$H$9-$G$9)*-$G$20</f>
        <v>0</v>
      </c>
      <c r="D20" s="1">
        <f>D$9/($K$9-$J$9-$I$9-$H$9-$G$9)*-$G$20</f>
        <v>823751.35727325862</v>
      </c>
      <c r="E20" s="1">
        <f>E$9/($K$9-$J$9-$I$9-$H$9-$G$9)*-$G$20</f>
        <v>117592.97791583071</v>
      </c>
      <c r="G20" s="1">
        <f>-G18</f>
        <v>-10611970.975014893</v>
      </c>
      <c r="K20" s="1">
        <f>SUM(B20:J20)</f>
        <v>0</v>
      </c>
    </row>
    <row r="22" spans="1:11" x14ac:dyDescent="0.2">
      <c r="A22" t="s">
        <v>8</v>
      </c>
      <c r="B22" s="1">
        <f>+B20+B18</f>
        <v>50273967.849212855</v>
      </c>
      <c r="C22" s="1">
        <f t="shared" ref="C22:K22" si="2">+C20+C18</f>
        <v>0</v>
      </c>
      <c r="D22" s="1">
        <f t="shared" si="2"/>
        <v>4282374.9477362968</v>
      </c>
      <c r="E22" s="1">
        <f t="shared" si="2"/>
        <v>611321.87305084104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55167664.669999994</v>
      </c>
    </row>
    <row r="27" spans="1:11" x14ac:dyDescent="0.2">
      <c r="A27" t="s">
        <v>9</v>
      </c>
      <c r="B27" s="1">
        <f>+B9</f>
        <v>25797436.990000002</v>
      </c>
    </row>
    <row r="28" spans="1:11" x14ac:dyDescent="0.2">
      <c r="A28" t="s">
        <v>10</v>
      </c>
      <c r="B28" s="1">
        <f>+B22-B27</f>
        <v>24476530.859212853</v>
      </c>
    </row>
    <row r="29" spans="1:11" x14ac:dyDescent="0.2">
      <c r="A29" s="29" t="s">
        <v>163</v>
      </c>
      <c r="B29" s="1">
        <f>'DAKCTY TC'!B29+'INVER HILLS'!B29</f>
        <v>4956</v>
      </c>
    </row>
    <row r="30" spans="1:11" x14ac:dyDescent="0.2">
      <c r="A30" t="s">
        <v>11</v>
      </c>
      <c r="B30" s="1">
        <f>+B28/B29</f>
        <v>4938.7673242963783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Table'!B16</f>
        <v>11462454.67</v>
      </c>
      <c r="C9" s="1">
        <f>'Master Expend Table'!C16</f>
        <v>0</v>
      </c>
      <c r="D9" s="1">
        <f>'Master Expend Table'!D16</f>
        <v>1640254.65</v>
      </c>
      <c r="E9" s="1">
        <f>'Master Expend Table'!E16</f>
        <v>313691.92</v>
      </c>
      <c r="G9" s="1">
        <f>'Master Expend Table'!G16</f>
        <v>2662186.0299999998</v>
      </c>
      <c r="H9" s="1">
        <f>'Master Expend Table'!H16</f>
        <v>2405458.0099999998</v>
      </c>
      <c r="I9" s="1">
        <f>'Master Expend Table'!I16</f>
        <v>3359065.73</v>
      </c>
      <c r="J9" s="1">
        <f>'Master Expend Table'!J16</f>
        <v>2971475.37</v>
      </c>
      <c r="K9" s="1">
        <f>SUM(B9:J9)</f>
        <v>24814586.380000003</v>
      </c>
    </row>
    <row r="11" spans="1:11" x14ac:dyDescent="0.2">
      <c r="A11" t="s">
        <v>3</v>
      </c>
      <c r="B11" s="1">
        <f>(B9/($K9-$J9))*-$J$11</f>
        <v>1559320.0856807109</v>
      </c>
      <c r="C11" s="1">
        <f t="shared" ref="C11:I11" si="0">(C9/($K9-$J9))*-$J$11</f>
        <v>0</v>
      </c>
      <c r="D11" s="1">
        <f t="shared" si="0"/>
        <v>223135.62801432514</v>
      </c>
      <c r="E11" s="1">
        <f t="shared" si="0"/>
        <v>42673.766279046635</v>
      </c>
      <c r="G11" s="1">
        <f t="shared" si="0"/>
        <v>362156.29792301642</v>
      </c>
      <c r="H11" s="1">
        <f t="shared" si="0"/>
        <v>327231.74034192727</v>
      </c>
      <c r="I11" s="1">
        <f t="shared" si="0"/>
        <v>456957.85176097351</v>
      </c>
      <c r="J11" s="1">
        <f>-J9</f>
        <v>-2971475.37</v>
      </c>
      <c r="K11" s="1">
        <v>0</v>
      </c>
    </row>
    <row r="12" spans="1:11" x14ac:dyDescent="0.2">
      <c r="A12" t="s">
        <v>4</v>
      </c>
      <c r="B12" s="1">
        <f>+B9+B11</f>
        <v>13021774.75568071</v>
      </c>
      <c r="C12" s="1">
        <f>+C9+C11</f>
        <v>0</v>
      </c>
      <c r="D12" s="1">
        <f>+D9+D11</f>
        <v>1863390.2780143251</v>
      </c>
      <c r="E12" s="1">
        <f>+E9+E11</f>
        <v>356365.68627904664</v>
      </c>
      <c r="G12" s="1">
        <f>+G9+G11</f>
        <v>3024342.3279230162</v>
      </c>
      <c r="H12" s="1">
        <f>+H9+H11</f>
        <v>2732689.7503419272</v>
      </c>
      <c r="I12" s="1">
        <f>+I9+I11</f>
        <v>3816023.5817609737</v>
      </c>
      <c r="J12" s="1">
        <f>+J9+J11</f>
        <v>0</v>
      </c>
      <c r="K12" s="1">
        <f>SUM(B12:J12)</f>
        <v>24814586.379999995</v>
      </c>
    </row>
    <row r="14" spans="1:11" x14ac:dyDescent="0.2">
      <c r="A14" t="s">
        <v>5</v>
      </c>
      <c r="B14" s="1">
        <f>B$9/($K$9-$J$9-$I$9)*-I14</f>
        <v>2366419.0745580234</v>
      </c>
      <c r="C14" s="1">
        <f t="shared" ref="C14:H14" si="1">C$9/($K$9-$J$9-$I$9)*-$I$14</f>
        <v>0</v>
      </c>
      <c r="D14" s="1">
        <f t="shared" si="1"/>
        <v>338629.90106747299</v>
      </c>
      <c r="E14" s="1">
        <f t="shared" si="1"/>
        <v>64761.568476739674</v>
      </c>
      <c r="G14" s="1">
        <f t="shared" si="1"/>
        <v>549607.21614909533</v>
      </c>
      <c r="H14" s="1">
        <f t="shared" si="1"/>
        <v>496605.82150964212</v>
      </c>
      <c r="I14" s="1">
        <f>-I12</f>
        <v>-3816023.5817609737</v>
      </c>
      <c r="K14" s="1">
        <v>0</v>
      </c>
    </row>
    <row r="15" spans="1:11" x14ac:dyDescent="0.2">
      <c r="A15" t="s">
        <v>4</v>
      </c>
      <c r="B15" s="1">
        <f>+B12+B14</f>
        <v>15388193.830238733</v>
      </c>
      <c r="C15" s="1">
        <f>+C12+C14</f>
        <v>0</v>
      </c>
      <c r="D15" s="1">
        <f>+D12+D14</f>
        <v>2202020.1790817981</v>
      </c>
      <c r="E15" s="1">
        <f>+E12+E14</f>
        <v>421127.25475578633</v>
      </c>
      <c r="G15" s="1">
        <f>+G12+G14</f>
        <v>3573949.5440721116</v>
      </c>
      <c r="H15" s="1">
        <f>+H12+H14</f>
        <v>3229295.5718515692</v>
      </c>
      <c r="I15" s="1">
        <f>+I12+I14</f>
        <v>0</v>
      </c>
      <c r="J15" s="1">
        <f>+J12+J14</f>
        <v>0</v>
      </c>
      <c r="K15" s="1">
        <f>SUM(B15:J15)</f>
        <v>24814586.379999999</v>
      </c>
    </row>
    <row r="17" spans="1:11" x14ac:dyDescent="0.2">
      <c r="A17" t="s">
        <v>6</v>
      </c>
      <c r="B17" s="1">
        <f>B$9/($K$9-$J$9-$I$9-$H$9)*-$H$17</f>
        <v>2302170.7993864273</v>
      </c>
      <c r="C17" s="1">
        <f>C$9/($K$9-$J$9-$I$9-$H$9)*-$H$17</f>
        <v>0</v>
      </c>
      <c r="D17" s="1">
        <f>D$9/($K$9-$J$9-$I$9-$H$9)*-$H$17</f>
        <v>329436.09964023571</v>
      </c>
      <c r="E17" s="1">
        <f>E$9/($K$9-$J$9-$I$9-$H$9)*-$H$17</f>
        <v>63003.291966559489</v>
      </c>
      <c r="G17" s="1">
        <f>G$9/($K$9-$J$9-$I$9-$H$9)*-$H$17</f>
        <v>534685.38085834624</v>
      </c>
      <c r="H17" s="1">
        <f>-H15</f>
        <v>-3229295.5718515692</v>
      </c>
      <c r="K17" s="1">
        <v>0</v>
      </c>
    </row>
    <row r="18" spans="1:11" x14ac:dyDescent="0.2">
      <c r="A18" t="s">
        <v>4</v>
      </c>
      <c r="B18" s="1">
        <f>+B15+B17</f>
        <v>17690364.62962516</v>
      </c>
      <c r="C18" s="1">
        <f>+C15+C17</f>
        <v>0</v>
      </c>
      <c r="D18" s="1">
        <f>+D15+D17</f>
        <v>2531456.2787220338</v>
      </c>
      <c r="E18" s="1">
        <f>+E15+E17</f>
        <v>484130.54672234581</v>
      </c>
      <c r="G18" s="1">
        <f>+G15+G17</f>
        <v>4108634.924930458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24814586.379999995</v>
      </c>
    </row>
    <row r="20" spans="1:11" x14ac:dyDescent="0.2">
      <c r="A20" t="s">
        <v>7</v>
      </c>
      <c r="B20" s="1">
        <f>B$9/($K$9-$J$9-$I$9-$H$9-$G$9)*-$G$20</f>
        <v>3510258.8794216933</v>
      </c>
      <c r="C20" s="1">
        <f>C$9/($K$9-$J$9-$I$9-$H$9-$G$9)*-$G$20</f>
        <v>0</v>
      </c>
      <c r="D20" s="1">
        <f>D$9/($K$9-$J$9-$I$9-$H$9-$G$9)*-$G$20</f>
        <v>502311.12056168518</v>
      </c>
      <c r="E20" s="1">
        <f>E$9/($K$9-$J$9-$I$9-$H$9-$G$9)*-$G$20</f>
        <v>96064.9249470785</v>
      </c>
      <c r="G20" s="1">
        <f>-G18</f>
        <v>-4108634.924930458</v>
      </c>
      <c r="K20" s="1">
        <f>SUM(B20:J20)</f>
        <v>0</v>
      </c>
    </row>
    <row r="22" spans="1:11" x14ac:dyDescent="0.2">
      <c r="A22" t="s">
        <v>8</v>
      </c>
      <c r="B22" s="1">
        <f>+B20+B18</f>
        <v>21200623.509046853</v>
      </c>
      <c r="C22" s="1">
        <f t="shared" ref="C22:K22" si="2">+C20+C18</f>
        <v>0</v>
      </c>
      <c r="D22" s="1">
        <f t="shared" si="2"/>
        <v>3033767.3992837192</v>
      </c>
      <c r="E22" s="1">
        <f t="shared" si="2"/>
        <v>580195.47166942433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24814586.379999995</v>
      </c>
    </row>
    <row r="27" spans="1:11" x14ac:dyDescent="0.2">
      <c r="A27" t="s">
        <v>9</v>
      </c>
      <c r="B27" s="1">
        <f>+B9</f>
        <v>11462454.67</v>
      </c>
    </row>
    <row r="28" spans="1:11" x14ac:dyDescent="0.2">
      <c r="A28" t="s">
        <v>10</v>
      </c>
      <c r="B28" s="1">
        <f>+B22-B27</f>
        <v>9738168.8390468527</v>
      </c>
    </row>
    <row r="29" spans="1:11" x14ac:dyDescent="0.2">
      <c r="A29" s="29" t="s">
        <v>163</v>
      </c>
      <c r="B29" s="1">
        <v>1938</v>
      </c>
    </row>
    <row r="30" spans="1:11" x14ac:dyDescent="0.2">
      <c r="A30" t="s">
        <v>11</v>
      </c>
      <c r="B30" s="1">
        <f>+B28/B29</f>
        <v>5024.8549221087987</v>
      </c>
    </row>
  </sheetData>
  <phoneticPr fontId="0" type="noConversion"/>
  <pageMargins left="0.52" right="0.55000000000000004" top="0.83" bottom="0.56000000000000005" header="0.5" footer="0.5"/>
  <pageSetup orientation="landscape" horizontalDpi="4294967294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Table'!B17</f>
        <v>14334982.32</v>
      </c>
      <c r="C9" s="1">
        <f>'Master Expend Table'!C17</f>
        <v>0</v>
      </c>
      <c r="D9" s="1">
        <f>'Master Expend Table'!D17</f>
        <v>557190.72</v>
      </c>
      <c r="E9" s="1">
        <f>'Master Expend Table'!E17</f>
        <v>0</v>
      </c>
      <c r="G9" s="1">
        <f>'Master Expend Table'!G17</f>
        <v>4080156.95</v>
      </c>
      <c r="H9" s="1">
        <f>'Master Expend Table'!H17</f>
        <v>3722602.1</v>
      </c>
      <c r="I9" s="1">
        <f>'Master Expend Table'!I17</f>
        <v>4343272.66</v>
      </c>
      <c r="J9" s="1">
        <f>'Master Expend Table'!J17</f>
        <v>3314873.54</v>
      </c>
      <c r="K9" s="1">
        <f>SUM(B9:J9)</f>
        <v>30353078.290000003</v>
      </c>
    </row>
    <row r="11" spans="1:11" x14ac:dyDescent="0.2">
      <c r="A11" t="s">
        <v>3</v>
      </c>
      <c r="B11" s="1">
        <f>(B9/($K9-$J9))*-$J$11</f>
        <v>1757463.3385722772</v>
      </c>
      <c r="C11" s="1">
        <f t="shared" ref="C11:I11" si="0">(C9/($K9-$J9))*-$J$11</f>
        <v>0</v>
      </c>
      <c r="D11" s="1">
        <f t="shared" si="0"/>
        <v>68311.368729521448</v>
      </c>
      <c r="E11" s="1">
        <f t="shared" si="0"/>
        <v>0</v>
      </c>
      <c r="G11" s="1">
        <f t="shared" si="0"/>
        <v>500225.67835618235</v>
      </c>
      <c r="H11" s="1">
        <f t="shared" si="0"/>
        <v>456389.59077852359</v>
      </c>
      <c r="I11" s="1">
        <f t="shared" si="0"/>
        <v>532483.56356349494</v>
      </c>
      <c r="J11" s="1">
        <f>-J9</f>
        <v>-3314873.54</v>
      </c>
      <c r="K11" s="1">
        <v>0</v>
      </c>
    </row>
    <row r="12" spans="1:11" x14ac:dyDescent="0.2">
      <c r="A12" t="s">
        <v>4</v>
      </c>
      <c r="B12" s="1">
        <f>+B9+B11</f>
        <v>16092445.658572277</v>
      </c>
      <c r="C12" s="1">
        <f t="shared" ref="C12:J12" si="1">+C9+C11</f>
        <v>0</v>
      </c>
      <c r="D12" s="1">
        <f t="shared" si="1"/>
        <v>625502.08872952138</v>
      </c>
      <c r="E12" s="1">
        <f t="shared" si="1"/>
        <v>0</v>
      </c>
      <c r="G12" s="1">
        <f t="shared" si="1"/>
        <v>4580382.6283561829</v>
      </c>
      <c r="H12" s="1">
        <f t="shared" si="1"/>
        <v>4178991.6907785237</v>
      </c>
      <c r="I12" s="1">
        <f t="shared" si="1"/>
        <v>4875756.2235634951</v>
      </c>
      <c r="J12" s="1">
        <f t="shared" si="1"/>
        <v>0</v>
      </c>
      <c r="K12" s="1">
        <f>SUM(B12:J12)</f>
        <v>30353078.290000003</v>
      </c>
    </row>
    <row r="14" spans="1:11" x14ac:dyDescent="0.2">
      <c r="A14" t="s">
        <v>5</v>
      </c>
      <c r="B14" s="1">
        <f>B$9/($K$9-$J$9-$I$9)*-I14</f>
        <v>3079713.0823850227</v>
      </c>
      <c r="C14" s="1">
        <f t="shared" ref="C14:H14" si="2">C$9/($K$9-$J$9-$I$9)*-$I$14</f>
        <v>0</v>
      </c>
      <c r="D14" s="1">
        <f t="shared" si="2"/>
        <v>119706.28993196624</v>
      </c>
      <c r="E14" s="1">
        <f t="shared" si="2"/>
        <v>0</v>
      </c>
      <c r="G14" s="1">
        <f t="shared" si="2"/>
        <v>876576.7865348279</v>
      </c>
      <c r="H14" s="1">
        <f t="shared" si="2"/>
        <v>799760.06471167784</v>
      </c>
      <c r="I14" s="1">
        <f>-I12</f>
        <v>-4875756.2235634951</v>
      </c>
      <c r="K14" s="1">
        <v>0</v>
      </c>
    </row>
    <row r="15" spans="1:11" x14ac:dyDescent="0.2">
      <c r="A15" t="s">
        <v>4</v>
      </c>
      <c r="B15" s="1">
        <f>+B12+B14</f>
        <v>19172158.740957301</v>
      </c>
      <c r="C15" s="1">
        <f>+C12+C14</f>
        <v>0</v>
      </c>
      <c r="D15" s="1">
        <f>+D12+D14</f>
        <v>745208.3786614876</v>
      </c>
      <c r="E15" s="1">
        <f>+E12+E14</f>
        <v>0</v>
      </c>
      <c r="G15" s="1">
        <f>+G12+G14</f>
        <v>5456959.4148910111</v>
      </c>
      <c r="H15" s="1">
        <f>+H12+H14</f>
        <v>4978751.7554902015</v>
      </c>
      <c r="I15" s="1">
        <f>+I12+I14</f>
        <v>0</v>
      </c>
      <c r="J15" s="1">
        <f>+J12+J14</f>
        <v>0</v>
      </c>
      <c r="K15" s="1">
        <f>SUM(B15:J15)</f>
        <v>30353078.290000003</v>
      </c>
    </row>
    <row r="17" spans="1:11" x14ac:dyDescent="0.2">
      <c r="A17" t="s">
        <v>6</v>
      </c>
      <c r="B17" s="1">
        <f>B$9/($K$9-$J$9-$I$9-$H$9)*-$H$17</f>
        <v>3761810.9335141815</v>
      </c>
      <c r="C17" s="1">
        <f>C$9/($K$9-$J$9-$I$9-$H$9)*-$H$17</f>
        <v>0</v>
      </c>
      <c r="D17" s="1">
        <f>D$9/($K$9-$J$9-$I$9-$H$9)*-$H$17</f>
        <v>146218.95554236294</v>
      </c>
      <c r="E17" s="1">
        <f>E$9/($K$9-$J$9-$I$9-$H$9)*-$H$17</f>
        <v>0</v>
      </c>
      <c r="G17" s="1">
        <f>G$9/($K$9-$J$9-$I$9-$H$9)*-$H$17</f>
        <v>1070721.866433657</v>
      </c>
      <c r="H17" s="1">
        <f>-H15</f>
        <v>-4978751.7554902015</v>
      </c>
      <c r="K17" s="1">
        <v>0</v>
      </c>
    </row>
    <row r="18" spans="1:11" x14ac:dyDescent="0.2">
      <c r="A18" t="s">
        <v>4</v>
      </c>
      <c r="B18" s="1">
        <f>+B15+B17</f>
        <v>22933969.674471483</v>
      </c>
      <c r="C18" s="1">
        <f>+C15+C17</f>
        <v>0</v>
      </c>
      <c r="D18" s="1">
        <f>+D15+D17</f>
        <v>891427.33420385048</v>
      </c>
      <c r="E18" s="1">
        <f>+E15+E17</f>
        <v>0</v>
      </c>
      <c r="G18" s="1">
        <f>+G15+G17</f>
        <v>6527681.2813246679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30353078.289999999</v>
      </c>
    </row>
    <row r="20" spans="1:11" x14ac:dyDescent="0.2">
      <c r="A20" t="s">
        <v>7</v>
      </c>
      <c r="B20" s="1">
        <f>B$9/($K$9-$J$9-$I$9-$H$9-$G$9)*-$G$20</f>
        <v>6283448.0573819634</v>
      </c>
      <c r="C20" s="1">
        <f>C$9/($K$9-$J$9-$I$9-$H$9-$G$9)*-$G$20</f>
        <v>0</v>
      </c>
      <c r="D20" s="1">
        <f>D$9/($K$9-$J$9-$I$9-$H$9-$G$9)*-$G$20</f>
        <v>244233.22394270363</v>
      </c>
      <c r="E20" s="1">
        <f>E$9/($K$9-$J$9-$I$9-$H$9-$G$9)*-$G$20</f>
        <v>0</v>
      </c>
      <c r="G20" s="1">
        <f>-G18</f>
        <v>-6527681.2813246679</v>
      </c>
      <c r="K20" s="1">
        <f>SUM(B20:J20)</f>
        <v>0</v>
      </c>
    </row>
    <row r="22" spans="1:11" x14ac:dyDescent="0.2">
      <c r="A22" t="s">
        <v>8</v>
      </c>
      <c r="B22" s="1">
        <f>+B20+B18</f>
        <v>29217417.731853448</v>
      </c>
      <c r="C22" s="1">
        <f t="shared" ref="C22:K22" si="3">+C20+C18</f>
        <v>0</v>
      </c>
      <c r="D22" s="1">
        <f t="shared" si="3"/>
        <v>1135660.558146554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30353078.289999999</v>
      </c>
    </row>
    <row r="27" spans="1:11" x14ac:dyDescent="0.2">
      <c r="A27" t="s">
        <v>9</v>
      </c>
      <c r="B27" s="1">
        <f>+B9</f>
        <v>14334982.32</v>
      </c>
    </row>
    <row r="28" spans="1:11" x14ac:dyDescent="0.2">
      <c r="A28" t="s">
        <v>10</v>
      </c>
      <c r="B28" s="1">
        <f>+B22-B27</f>
        <v>14882435.411853448</v>
      </c>
    </row>
    <row r="29" spans="1:11" x14ac:dyDescent="0.2">
      <c r="A29" s="29" t="s">
        <v>163</v>
      </c>
      <c r="B29" s="1">
        <v>3018</v>
      </c>
    </row>
    <row r="30" spans="1:11" x14ac:dyDescent="0.2">
      <c r="A30" t="s">
        <v>11</v>
      </c>
      <c r="B30" s="1">
        <f>+B28/B29</f>
        <v>4931.2244572079017</v>
      </c>
    </row>
  </sheetData>
  <phoneticPr fontId="0" type="noConversion"/>
  <pageMargins left="0.42" right="0.55000000000000004" top="1" bottom="0.57999999999999996" header="0.5" footer="0.5"/>
  <pageSetup orientation="landscape" horizontalDpi="4294967294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Table'!B18</f>
        <v>4288445.12</v>
      </c>
      <c r="C9" s="1">
        <f>'Master Expend Table'!C18</f>
        <v>0</v>
      </c>
      <c r="D9" s="1">
        <f>'Master Expend Table'!D18</f>
        <v>1620.53</v>
      </c>
      <c r="E9" s="1">
        <f>'Master Expend Table'!E18</f>
        <v>0</v>
      </c>
      <c r="G9" s="1">
        <f>'Master Expend Table'!G18</f>
        <v>1453059.93</v>
      </c>
      <c r="H9" s="1">
        <f>'Master Expend Table'!H18</f>
        <v>1094408.8999999999</v>
      </c>
      <c r="I9" s="1">
        <f>'Master Expend Table'!I18</f>
        <v>1528159.38</v>
      </c>
      <c r="J9" s="1">
        <f>'Master Expend Table'!J18</f>
        <v>988561.51</v>
      </c>
      <c r="K9" s="1">
        <f>SUM(B9:J9)</f>
        <v>9354255.370000001</v>
      </c>
    </row>
    <row r="11" spans="1:11" x14ac:dyDescent="0.2">
      <c r="A11" t="s">
        <v>3</v>
      </c>
      <c r="B11" s="1">
        <f>(B9/($K9-$J9))*-$J$11</f>
        <v>506759.13490567659</v>
      </c>
      <c r="C11" s="1">
        <f t="shared" ref="C11:I11" si="0">(C9/($K9-$J9))*-$J$11</f>
        <v>0</v>
      </c>
      <c r="D11" s="1">
        <f t="shared" si="0"/>
        <v>191.49560223093076</v>
      </c>
      <c r="E11" s="1">
        <f t="shared" si="0"/>
        <v>0</v>
      </c>
      <c r="G11" s="1">
        <f t="shared" si="0"/>
        <v>171705.91496176197</v>
      </c>
      <c r="H11" s="1">
        <f t="shared" si="0"/>
        <v>129324.66007564837</v>
      </c>
      <c r="I11" s="1">
        <f t="shared" si="0"/>
        <v>180580.30445468193</v>
      </c>
      <c r="J11" s="1">
        <f>-J9</f>
        <v>-988561.51</v>
      </c>
      <c r="K11" s="1">
        <v>0</v>
      </c>
    </row>
    <row r="12" spans="1:11" x14ac:dyDescent="0.2">
      <c r="A12" t="s">
        <v>4</v>
      </c>
      <c r="B12" s="1">
        <f>+B9+B11</f>
        <v>4795204.2549056765</v>
      </c>
      <c r="C12" s="1">
        <f t="shared" ref="C12:J12" si="1">+C9+C11</f>
        <v>0</v>
      </c>
      <c r="D12" s="1">
        <f t="shared" si="1"/>
        <v>1812.0256022309306</v>
      </c>
      <c r="E12" s="1">
        <f t="shared" si="1"/>
        <v>0</v>
      </c>
      <c r="G12" s="1">
        <f t="shared" si="1"/>
        <v>1624765.844961762</v>
      </c>
      <c r="H12" s="1">
        <f t="shared" si="1"/>
        <v>1223733.5600756484</v>
      </c>
      <c r="I12" s="1">
        <f t="shared" si="1"/>
        <v>1708739.6844546818</v>
      </c>
      <c r="J12" s="1">
        <f t="shared" si="1"/>
        <v>0</v>
      </c>
      <c r="K12" s="1">
        <f>SUM(B12:J12)</f>
        <v>9354255.3699999992</v>
      </c>
    </row>
    <row r="14" spans="1:11" x14ac:dyDescent="0.2">
      <c r="A14" t="s">
        <v>5</v>
      </c>
      <c r="B14" s="1">
        <f>B$9/($K$9-$J$9-$I$9)*-I14</f>
        <v>1071707.4089475039</v>
      </c>
      <c r="C14" s="1">
        <f t="shared" ref="C14:H14" si="2">C$9/($K$9-$J$9-$I$9)*-$I$14</f>
        <v>0</v>
      </c>
      <c r="D14" s="1">
        <f t="shared" si="2"/>
        <v>404.97988404284359</v>
      </c>
      <c r="E14" s="1">
        <f t="shared" si="2"/>
        <v>0</v>
      </c>
      <c r="G14" s="1">
        <f t="shared" si="2"/>
        <v>363128.13829963189</v>
      </c>
      <c r="H14" s="1">
        <f t="shared" si="2"/>
        <v>273499.15732350282</v>
      </c>
      <c r="I14" s="1">
        <f>-I12</f>
        <v>-1708739.6844546818</v>
      </c>
      <c r="K14" s="1">
        <v>0</v>
      </c>
    </row>
    <row r="15" spans="1:11" x14ac:dyDescent="0.2">
      <c r="A15" t="s">
        <v>4</v>
      </c>
      <c r="B15" s="1">
        <f>+B12+B14</f>
        <v>5866911.6638531806</v>
      </c>
      <c r="C15" s="1">
        <f>+C12+C14</f>
        <v>0</v>
      </c>
      <c r="D15" s="1">
        <f>+D12+D14</f>
        <v>2217.0054862737743</v>
      </c>
      <c r="E15" s="1">
        <f>+E12+E14</f>
        <v>0</v>
      </c>
      <c r="G15" s="1">
        <f>+G12+G14</f>
        <v>1987893.9832613938</v>
      </c>
      <c r="H15" s="1">
        <f>+H12+H14</f>
        <v>1497232.7173991511</v>
      </c>
      <c r="I15" s="1">
        <f>+I12+I14</f>
        <v>0</v>
      </c>
      <c r="J15" s="1">
        <f>+J12+J14</f>
        <v>0</v>
      </c>
      <c r="K15" s="1">
        <f>SUM(B15:J15)</f>
        <v>9354255.370000001</v>
      </c>
    </row>
    <row r="17" spans="1:11" x14ac:dyDescent="0.2">
      <c r="A17" t="s">
        <v>6</v>
      </c>
      <c r="B17" s="1">
        <f>B$9/($K$9-$J$9-$I$9-$H$9)*-$H$17</f>
        <v>1117997.5522030508</v>
      </c>
      <c r="C17" s="1">
        <f>C$9/($K$9-$J$9-$I$9-$H$9)*-$H$17</f>
        <v>0</v>
      </c>
      <c r="D17" s="1">
        <f>D$9/($K$9-$J$9-$I$9-$H$9)*-$H$17</f>
        <v>422.4721367710099</v>
      </c>
      <c r="E17" s="1">
        <f>E$9/($K$9-$J$9-$I$9-$H$9)*-$H$17</f>
        <v>0</v>
      </c>
      <c r="G17" s="1">
        <f>G$9/($K$9-$J$9-$I$9-$H$9)*-$H$17</f>
        <v>378812.69305932871</v>
      </c>
      <c r="H17" s="1">
        <f>-H15</f>
        <v>-1497232.7173991511</v>
      </c>
      <c r="K17" s="1">
        <v>0</v>
      </c>
    </row>
    <row r="18" spans="1:11" x14ac:dyDescent="0.2">
      <c r="A18" t="s">
        <v>4</v>
      </c>
      <c r="B18" s="1">
        <f>+B15+B17</f>
        <v>6984909.2160562314</v>
      </c>
      <c r="C18" s="1">
        <f>+C15+C17</f>
        <v>0</v>
      </c>
      <c r="D18" s="1">
        <f>+D15+D17</f>
        <v>2639.4776230447842</v>
      </c>
      <c r="E18" s="1">
        <f>+E15+E17</f>
        <v>0</v>
      </c>
      <c r="G18" s="1">
        <f>+G15+G17</f>
        <v>2366706.6763207223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9354255.3699999973</v>
      </c>
    </row>
    <row r="20" spans="1:11" x14ac:dyDescent="0.2">
      <c r="A20" t="s">
        <v>7</v>
      </c>
      <c r="B20" s="1">
        <f>B$9/($K$9-$J$9-$I$9-$H$9-$G$9)*-$G$20</f>
        <v>2365812.6762090498</v>
      </c>
      <c r="C20" s="1">
        <f>C$9/($K$9-$J$9-$I$9-$H$9-$G$9)*-$G$20</f>
        <v>0</v>
      </c>
      <c r="D20" s="1">
        <f>D$9/($K$9-$J$9-$I$9-$H$9-$G$9)*-$G$20</f>
        <v>894.00011167148875</v>
      </c>
      <c r="E20" s="1">
        <f>E$9/($K$9-$J$9-$I$9-$H$9-$G$9)*-$G$20</f>
        <v>0</v>
      </c>
      <c r="G20" s="1">
        <f>-G18</f>
        <v>-2366706.6763207223</v>
      </c>
      <c r="K20" s="1">
        <f>SUM(B20:J20)</f>
        <v>0</v>
      </c>
    </row>
    <row r="22" spans="1:11" x14ac:dyDescent="0.2">
      <c r="A22" t="s">
        <v>8</v>
      </c>
      <c r="B22" s="1">
        <f>+B20+B18</f>
        <v>9350721.8922652807</v>
      </c>
      <c r="C22" s="1">
        <f t="shared" ref="C22:K22" si="3">+C20+C18</f>
        <v>0</v>
      </c>
      <c r="D22" s="1">
        <f t="shared" si="3"/>
        <v>3533.4777347162731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9354255.3699999973</v>
      </c>
    </row>
    <row r="27" spans="1:11" x14ac:dyDescent="0.2">
      <c r="A27" t="s">
        <v>9</v>
      </c>
      <c r="B27" s="1">
        <f>+B9</f>
        <v>4288445.12</v>
      </c>
    </row>
    <row r="28" spans="1:11" x14ac:dyDescent="0.2">
      <c r="A28" t="s">
        <v>10</v>
      </c>
      <c r="B28" s="1">
        <f>+B22-B27</f>
        <v>5062276.7722652806</v>
      </c>
    </row>
    <row r="29" spans="1:11" x14ac:dyDescent="0.2">
      <c r="A29" s="29" t="s">
        <v>163</v>
      </c>
      <c r="B29" s="1">
        <v>1025</v>
      </c>
    </row>
    <row r="30" spans="1:11" x14ac:dyDescent="0.2">
      <c r="A30" t="s">
        <v>11</v>
      </c>
      <c r="B30" s="1">
        <f>+B28/B29</f>
        <v>4938.8066070880786</v>
      </c>
    </row>
  </sheetData>
  <phoneticPr fontId="0" type="noConversion"/>
  <pageMargins left="0.57999999999999996" right="0.55000000000000004" top="0.9" bottom="0.55000000000000004" header="0.5" footer="0.5"/>
  <pageSetup orientation="landscape" horizontalDpi="4294967294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Table'!B19</f>
        <v>19456054.280000001</v>
      </c>
      <c r="C9" s="1">
        <f>'Master Expend Table'!C19</f>
        <v>0</v>
      </c>
      <c r="D9" s="1">
        <f>'Master Expend Table'!D19</f>
        <v>2006191.14</v>
      </c>
      <c r="E9" s="1">
        <f>'Master Expend Table'!E19</f>
        <v>0</v>
      </c>
      <c r="G9" s="1">
        <f>'Master Expend Table'!G19</f>
        <v>4637896.09</v>
      </c>
      <c r="H9" s="1">
        <f>'Master Expend Table'!H19</f>
        <v>4403615.4800000004</v>
      </c>
      <c r="I9" s="1">
        <f>'Master Expend Table'!I19</f>
        <v>5432783.4800000004</v>
      </c>
      <c r="J9" s="1">
        <f>'Master Expend Table'!J19</f>
        <v>5032052.99</v>
      </c>
      <c r="K9" s="1">
        <f>SUM(B9:J9)</f>
        <v>40968593.460000001</v>
      </c>
    </row>
    <row r="11" spans="1:11" x14ac:dyDescent="0.2">
      <c r="A11" t="s">
        <v>3</v>
      </c>
      <c r="B11" s="1">
        <f>(B9/($K9-$J9))*-$J$11</f>
        <v>2724355.066815821</v>
      </c>
      <c r="C11" s="1">
        <f t="shared" ref="C11:I11" si="0">(C9/($K9-$J9))*-$J$11</f>
        <v>0</v>
      </c>
      <c r="D11" s="1">
        <f t="shared" si="0"/>
        <v>280919.08660423453</v>
      </c>
      <c r="E11" s="1">
        <f t="shared" si="0"/>
        <v>0</v>
      </c>
      <c r="G11" s="1">
        <f t="shared" si="0"/>
        <v>649426.42173574283</v>
      </c>
      <c r="H11" s="1">
        <f t="shared" si="0"/>
        <v>616621.02565056086</v>
      </c>
      <c r="I11" s="1">
        <f t="shared" si="0"/>
        <v>760731.38919364137</v>
      </c>
      <c r="J11" s="1">
        <f>-J9</f>
        <v>-5032052.99</v>
      </c>
      <c r="K11" s="1">
        <v>0</v>
      </c>
    </row>
    <row r="12" spans="1:11" x14ac:dyDescent="0.2">
      <c r="A12" t="s">
        <v>4</v>
      </c>
      <c r="B12" s="1">
        <f>+B9+B11</f>
        <v>22180409.346815821</v>
      </c>
      <c r="C12" s="1">
        <f t="shared" ref="C12:J12" si="1">+C9+C11</f>
        <v>0</v>
      </c>
      <c r="D12" s="1">
        <f t="shared" si="1"/>
        <v>2287110.2266042344</v>
      </c>
      <c r="E12" s="1">
        <f t="shared" si="1"/>
        <v>0</v>
      </c>
      <c r="G12" s="1">
        <f t="shared" si="1"/>
        <v>5287322.5117357429</v>
      </c>
      <c r="H12" s="1">
        <f t="shared" si="1"/>
        <v>5020236.5056505613</v>
      </c>
      <c r="I12" s="1">
        <f t="shared" si="1"/>
        <v>6193514.8691936415</v>
      </c>
      <c r="J12" s="1">
        <f t="shared" si="1"/>
        <v>0</v>
      </c>
      <c r="K12" s="1">
        <f>SUM(B12:J12)</f>
        <v>40968593.460000008</v>
      </c>
    </row>
    <row r="14" spans="1:11" x14ac:dyDescent="0.2">
      <c r="A14" t="s">
        <v>5</v>
      </c>
      <c r="B14" s="1">
        <f>B$9/($K$9-$J$9-$I$9)*-I14</f>
        <v>3950377.7032620073</v>
      </c>
      <c r="C14" s="1">
        <f t="shared" ref="C14:H14" si="2">C$9/($K$9-$J$9-$I$9)*-$I$14</f>
        <v>0</v>
      </c>
      <c r="D14" s="1">
        <f t="shared" si="2"/>
        <v>407339.15694738633</v>
      </c>
      <c r="E14" s="1">
        <f t="shared" si="2"/>
        <v>0</v>
      </c>
      <c r="G14" s="1">
        <f t="shared" si="2"/>
        <v>941683.2950972853</v>
      </c>
      <c r="H14" s="1">
        <f t="shared" si="2"/>
        <v>894114.71388696297</v>
      </c>
      <c r="I14" s="1">
        <f>-I12</f>
        <v>-6193514.8691936415</v>
      </c>
      <c r="K14" s="1">
        <v>0</v>
      </c>
    </row>
    <row r="15" spans="1:11" x14ac:dyDescent="0.2">
      <c r="A15" t="s">
        <v>4</v>
      </c>
      <c r="B15" s="1">
        <f>+B12+B14</f>
        <v>26130787.05007783</v>
      </c>
      <c r="C15" s="1">
        <f>+C12+C14</f>
        <v>0</v>
      </c>
      <c r="D15" s="1">
        <f>+D12+D14</f>
        <v>2694449.3835516209</v>
      </c>
      <c r="E15" s="1">
        <f>+E12+E14</f>
        <v>0</v>
      </c>
      <c r="G15" s="1">
        <f>+G12+G14</f>
        <v>6229005.8068330279</v>
      </c>
      <c r="H15" s="1">
        <f>+H12+H14</f>
        <v>5914351.2195375245</v>
      </c>
      <c r="I15" s="1">
        <f>+I12+I14</f>
        <v>0</v>
      </c>
      <c r="J15" s="1">
        <f>+J12+J14</f>
        <v>0</v>
      </c>
      <c r="K15" s="1">
        <f>SUM(B15:J15)</f>
        <v>40968593.460000001</v>
      </c>
    </row>
    <row r="17" spans="1:11" x14ac:dyDescent="0.2">
      <c r="A17" t="s">
        <v>6</v>
      </c>
      <c r="B17" s="1">
        <f>B$9/($K$9-$J$9-$I$9-$H$9)*-$H$17</f>
        <v>4408785.9950574758</v>
      </c>
      <c r="C17" s="1">
        <f>C$9/($K$9-$J$9-$I$9-$H$9)*-$H$17</f>
        <v>0</v>
      </c>
      <c r="D17" s="1">
        <f>D$9/($K$9-$J$9-$I$9-$H$9)*-$H$17</f>
        <v>454607.45915643033</v>
      </c>
      <c r="E17" s="1">
        <f>E$9/($K$9-$J$9-$I$9-$H$9)*-$H$17</f>
        <v>0</v>
      </c>
      <c r="G17" s="1">
        <f>G$9/($K$9-$J$9-$I$9-$H$9)*-$H$17</f>
        <v>1050957.7653236187</v>
      </c>
      <c r="H17" s="1">
        <f>-H15</f>
        <v>-5914351.2195375245</v>
      </c>
      <c r="K17" s="1">
        <v>0</v>
      </c>
    </row>
    <row r="18" spans="1:11" x14ac:dyDescent="0.2">
      <c r="A18" t="s">
        <v>4</v>
      </c>
      <c r="B18" s="1">
        <f>+B15+B17</f>
        <v>30539573.045135304</v>
      </c>
      <c r="C18" s="1">
        <f>+C15+C17</f>
        <v>0</v>
      </c>
      <c r="D18" s="1">
        <f>+D15+D17</f>
        <v>3149056.8427080512</v>
      </c>
      <c r="E18" s="1">
        <f>+E15+E17</f>
        <v>0</v>
      </c>
      <c r="G18" s="1">
        <f>+G15+G17</f>
        <v>7279963.5721566463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40968593.460000001</v>
      </c>
    </row>
    <row r="20" spans="1:11" x14ac:dyDescent="0.2">
      <c r="A20" t="s">
        <v>7</v>
      </c>
      <c r="B20" s="1">
        <f>B$9/($K$9-$J$9-$I$9-$H$9-$G$9)*-$G$20</f>
        <v>6599466.348675386</v>
      </c>
      <c r="C20" s="1">
        <f>C$9/($K$9-$J$9-$I$9-$H$9-$G$9)*-$G$20</f>
        <v>0</v>
      </c>
      <c r="D20" s="1">
        <f>D$9/($K$9-$J$9-$I$9-$H$9-$G$9)*-$G$20</f>
        <v>680497.22348126129</v>
      </c>
      <c r="E20" s="1">
        <f>E$9/($K$9-$J$9-$I$9-$H$9-$G$9)*-$G$20</f>
        <v>0</v>
      </c>
      <c r="G20" s="1">
        <f>-G18</f>
        <v>-7279963.5721566463</v>
      </c>
      <c r="K20" s="1">
        <f>SUM(B20:J20)</f>
        <v>0</v>
      </c>
    </row>
    <row r="22" spans="1:11" x14ac:dyDescent="0.2">
      <c r="A22" t="s">
        <v>8</v>
      </c>
      <c r="B22" s="1">
        <f>+B20+B18</f>
        <v>37139039.393810689</v>
      </c>
      <c r="C22" s="1">
        <f t="shared" ref="C22:K22" si="3">+C20+C18</f>
        <v>0</v>
      </c>
      <c r="D22" s="1">
        <f t="shared" si="3"/>
        <v>3829554.0661893124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40968593.460000001</v>
      </c>
    </row>
    <row r="27" spans="1:11" x14ac:dyDescent="0.2">
      <c r="A27" t="s">
        <v>9</v>
      </c>
      <c r="B27" s="1">
        <f>+B9</f>
        <v>19456054.280000001</v>
      </c>
    </row>
    <row r="28" spans="1:11" x14ac:dyDescent="0.2">
      <c r="A28" t="s">
        <v>10</v>
      </c>
      <c r="B28" s="1">
        <f>+B22-B27</f>
        <v>17682985.113810688</v>
      </c>
    </row>
    <row r="29" spans="1:11" x14ac:dyDescent="0.2">
      <c r="A29" s="29" t="s">
        <v>163</v>
      </c>
      <c r="B29" s="1">
        <v>3368</v>
      </c>
    </row>
    <row r="30" spans="1:11" x14ac:dyDescent="0.2">
      <c r="A30" t="s">
        <v>11</v>
      </c>
      <c r="B30" s="1">
        <f>+B28/B29</f>
        <v>5250.2924922240763</v>
      </c>
    </row>
  </sheetData>
  <phoneticPr fontId="0" type="noConversion"/>
  <pageMargins left="0.51" right="0.55000000000000004" top="1" bottom="0.56000000000000005" header="0.5" footer="0.5"/>
  <pageSetup orientation="landscape" horizontalDpi="4294967294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Table'!B20</f>
        <v>17784393.5</v>
      </c>
      <c r="C9" s="1">
        <f>'Master Expend Table'!C20</f>
        <v>0</v>
      </c>
      <c r="D9" s="1">
        <f>'Master Expend Table'!D20</f>
        <v>2559354.6</v>
      </c>
      <c r="E9" s="1">
        <f>'Master Expend Table'!E20</f>
        <v>0</v>
      </c>
      <c r="G9" s="1">
        <f>'Master Expend Table'!G20</f>
        <v>3386038.65</v>
      </c>
      <c r="H9" s="1">
        <f>'Master Expend Table'!H20</f>
        <v>3171252.7</v>
      </c>
      <c r="I9" s="1">
        <f>'Master Expend Table'!I20</f>
        <v>4932554.95</v>
      </c>
      <c r="J9" s="1">
        <f>'Master Expend Table'!J20</f>
        <v>4090925.78</v>
      </c>
      <c r="K9" s="1">
        <f>SUM(B9:J9)</f>
        <v>35924520.18</v>
      </c>
    </row>
    <row r="11" spans="1:11" x14ac:dyDescent="0.2">
      <c r="A11" t="s">
        <v>3</v>
      </c>
      <c r="B11" s="1">
        <f>(B9/($K9-$J9))*-$J$11</f>
        <v>2285467.1369066145</v>
      </c>
      <c r="C11" s="1">
        <f t="shared" ref="C11:I11" si="0">(C9/($K9-$J9))*-$J$11</f>
        <v>0</v>
      </c>
      <c r="D11" s="1">
        <f t="shared" si="0"/>
        <v>328901.90098362218</v>
      </c>
      <c r="E11" s="1">
        <f t="shared" si="0"/>
        <v>0</v>
      </c>
      <c r="G11" s="1">
        <f t="shared" si="0"/>
        <v>435138.82319746452</v>
      </c>
      <c r="H11" s="1">
        <f t="shared" si="0"/>
        <v>407536.74443136732</v>
      </c>
      <c r="I11" s="1">
        <f t="shared" si="0"/>
        <v>633881.17448093183</v>
      </c>
      <c r="J11" s="1">
        <f>-J9</f>
        <v>-4090925.78</v>
      </c>
      <c r="K11" s="1">
        <v>0</v>
      </c>
    </row>
    <row r="12" spans="1:11" x14ac:dyDescent="0.2">
      <c r="A12" t="s">
        <v>4</v>
      </c>
      <c r="B12" s="1">
        <f>+B9+B11</f>
        <v>20069860.636906616</v>
      </c>
      <c r="C12" s="1">
        <f t="shared" ref="C12:J12" si="1">+C9+C11</f>
        <v>0</v>
      </c>
      <c r="D12" s="1">
        <f t="shared" si="1"/>
        <v>2888256.5009836224</v>
      </c>
      <c r="E12" s="1">
        <f t="shared" si="1"/>
        <v>0</v>
      </c>
      <c r="G12" s="1">
        <f t="shared" si="1"/>
        <v>3821177.4731974644</v>
      </c>
      <c r="H12" s="1">
        <f t="shared" si="1"/>
        <v>3578789.4444313673</v>
      </c>
      <c r="I12" s="1">
        <f t="shared" si="1"/>
        <v>5566436.124480932</v>
      </c>
      <c r="J12" s="1">
        <f t="shared" si="1"/>
        <v>0</v>
      </c>
      <c r="K12" s="1">
        <f>SUM(B12:J12)</f>
        <v>35924520.18</v>
      </c>
    </row>
    <row r="14" spans="1:11" x14ac:dyDescent="0.2">
      <c r="A14" t="s">
        <v>5</v>
      </c>
      <c r="B14" s="1">
        <f>B$9/($K$9-$J$9-$I$9)*-I14</f>
        <v>3679994.9910628409</v>
      </c>
      <c r="C14" s="1">
        <f t="shared" ref="C14:H14" si="2">C$9/($K$9-$J$9-$I$9)*-$I$14</f>
        <v>0</v>
      </c>
      <c r="D14" s="1">
        <f t="shared" si="2"/>
        <v>529588.60297111853</v>
      </c>
      <c r="E14" s="1">
        <f t="shared" si="2"/>
        <v>0</v>
      </c>
      <c r="G14" s="1">
        <f t="shared" si="2"/>
        <v>700648.31120303215</v>
      </c>
      <c r="H14" s="1">
        <f t="shared" si="2"/>
        <v>656204.21924394055</v>
      </c>
      <c r="I14" s="1">
        <f>-I12</f>
        <v>-5566436.124480932</v>
      </c>
      <c r="K14" s="1">
        <v>0</v>
      </c>
    </row>
    <row r="15" spans="1:11" x14ac:dyDescent="0.2">
      <c r="A15" t="s">
        <v>4</v>
      </c>
      <c r="B15" s="1">
        <f>+B12+B14</f>
        <v>23749855.627969459</v>
      </c>
      <c r="C15" s="1">
        <f>+C12+C14</f>
        <v>0</v>
      </c>
      <c r="D15" s="1">
        <f>+D12+D14</f>
        <v>3417845.1039547408</v>
      </c>
      <c r="E15" s="1">
        <f>+E12+E14</f>
        <v>0</v>
      </c>
      <c r="G15" s="1">
        <f>+G12+G14</f>
        <v>4521825.7844004966</v>
      </c>
      <c r="H15" s="1">
        <f>+H12+H14</f>
        <v>4234993.6636753082</v>
      </c>
      <c r="I15" s="1">
        <f>+I12+I14</f>
        <v>0</v>
      </c>
      <c r="J15" s="1">
        <f>+J12+J14</f>
        <v>0</v>
      </c>
      <c r="K15" s="1">
        <f>SUM(B15:J15)</f>
        <v>35924520.180000007</v>
      </c>
    </row>
    <row r="17" spans="1:11" x14ac:dyDescent="0.2">
      <c r="A17" t="s">
        <v>6</v>
      </c>
      <c r="B17" s="1">
        <f>B$9/($K$9-$J$9-$I$9-$H$9)*-$H$17</f>
        <v>3173934.7082336647</v>
      </c>
      <c r="C17" s="1">
        <f>C$9/($K$9-$J$9-$I$9-$H$9)*-$H$17</f>
        <v>0</v>
      </c>
      <c r="D17" s="1">
        <f>D$9/($K$9-$J$9-$I$9-$H$9)*-$H$17</f>
        <v>456761.39563699422</v>
      </c>
      <c r="E17" s="1">
        <f>E$9/($K$9-$J$9-$I$9-$H$9)*-$H$17</f>
        <v>0</v>
      </c>
      <c r="G17" s="1">
        <f>G$9/($K$9-$J$9-$I$9-$H$9)*-$H$17</f>
        <v>604297.55980464909</v>
      </c>
      <c r="H17" s="1">
        <f>-H15</f>
        <v>-4234993.6636753082</v>
      </c>
      <c r="K17" s="1">
        <v>0</v>
      </c>
    </row>
    <row r="18" spans="1:11" x14ac:dyDescent="0.2">
      <c r="A18" t="s">
        <v>4</v>
      </c>
      <c r="B18" s="1">
        <f>+B15+B17</f>
        <v>26923790.336203124</v>
      </c>
      <c r="C18" s="1">
        <f>+C15+C17</f>
        <v>0</v>
      </c>
      <c r="D18" s="1">
        <f>+D15+D17</f>
        <v>3874606.4995917352</v>
      </c>
      <c r="E18" s="1">
        <f>+E15+E17</f>
        <v>0</v>
      </c>
      <c r="G18" s="1">
        <f>+G15+G17</f>
        <v>5126123.3442051457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35924520.180000007</v>
      </c>
    </row>
    <row r="20" spans="1:11" x14ac:dyDescent="0.2">
      <c r="A20" t="s">
        <v>7</v>
      </c>
      <c r="B20" s="1">
        <f>B$9/($K$9-$J$9-$I$9-$H$9-$G$9)*-$G$20</f>
        <v>4481229.0358078238</v>
      </c>
      <c r="C20" s="1">
        <f>C$9/($K$9-$J$9-$I$9-$H$9-$G$9)*-$G$20</f>
        <v>0</v>
      </c>
      <c r="D20" s="1">
        <f>D$9/($K$9-$J$9-$I$9-$H$9-$G$9)*-$G$20</f>
        <v>644894.30839732138</v>
      </c>
      <c r="E20" s="1">
        <f>E$9/($K$9-$J$9-$I$9-$H$9-$G$9)*-$G$20</f>
        <v>0</v>
      </c>
      <c r="G20" s="1">
        <f>-G18</f>
        <v>-5126123.3442051457</v>
      </c>
      <c r="K20" s="1">
        <f>SUM(B20:J20)</f>
        <v>0</v>
      </c>
    </row>
    <row r="22" spans="1:11" x14ac:dyDescent="0.2">
      <c r="A22" t="s">
        <v>8</v>
      </c>
      <c r="B22" s="1">
        <f>+B20+B18</f>
        <v>31405019.372010946</v>
      </c>
      <c r="C22" s="1">
        <f t="shared" ref="C22:K22" si="3">+C20+C18</f>
        <v>0</v>
      </c>
      <c r="D22" s="1">
        <f t="shared" si="3"/>
        <v>4519500.8079890562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35924520.180000007</v>
      </c>
    </row>
    <row r="27" spans="1:11" x14ac:dyDescent="0.2">
      <c r="A27" t="s">
        <v>9</v>
      </c>
      <c r="B27" s="1">
        <f>+B9</f>
        <v>17784393.5</v>
      </c>
    </row>
    <row r="28" spans="1:11" x14ac:dyDescent="0.2">
      <c r="A28" t="s">
        <v>10</v>
      </c>
      <c r="B28" s="1">
        <f>+B22-B27</f>
        <v>13620625.872010946</v>
      </c>
    </row>
    <row r="29" spans="1:11" x14ac:dyDescent="0.2">
      <c r="A29" s="29" t="s">
        <v>163</v>
      </c>
      <c r="B29" s="1">
        <v>3146</v>
      </c>
    </row>
    <row r="30" spans="1:11" x14ac:dyDescent="0.2">
      <c r="A30" t="s">
        <v>11</v>
      </c>
      <c r="B30" s="1">
        <f>+B28/B29</f>
        <v>4329.5059987320237</v>
      </c>
    </row>
  </sheetData>
  <phoneticPr fontId="0" type="noConversion"/>
  <pageMargins left="0.49" right="0.55000000000000004" top="1" bottom="0.51" header="0.5" footer="0.5"/>
  <pageSetup orientation="landscape" horizontalDpi="4294967294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10" width="10.28515625" style="1" customWidth="1"/>
    <col min="11" max="11" width="13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Table'!B21</f>
        <v>30203034.539999999</v>
      </c>
      <c r="C9" s="1">
        <f>'Master Expend Table'!C21</f>
        <v>32422.09</v>
      </c>
      <c r="D9" s="1">
        <f>'Master Expend Table'!D21</f>
        <v>23669.01</v>
      </c>
      <c r="E9" s="1">
        <f>'Master Expend Table'!E21</f>
        <v>0</v>
      </c>
      <c r="G9" s="1">
        <f>'Master Expend Table'!G21</f>
        <v>19864757.800000001</v>
      </c>
      <c r="H9" s="1">
        <f>'Master Expend Table'!H21</f>
        <v>5089205.05</v>
      </c>
      <c r="I9" s="1">
        <f>'Master Expend Table'!I21</f>
        <v>15509579</v>
      </c>
      <c r="J9" s="1">
        <f>'Master Expend Table'!J21</f>
        <v>7678601.3799999999</v>
      </c>
      <c r="K9" s="1">
        <f>SUM(B9:J9)</f>
        <v>78401268.86999999</v>
      </c>
    </row>
    <row r="11" spans="1:11" x14ac:dyDescent="0.2">
      <c r="A11" t="s">
        <v>3</v>
      </c>
      <c r="B11" s="1">
        <f>(B9/($K9-$J9))*-$J$11</f>
        <v>3279246.5404648962</v>
      </c>
      <c r="C11" s="1">
        <f t="shared" ref="C11:I11" si="0">(C9/($K9-$J9))*-$J$11</f>
        <v>3520.1769652097182</v>
      </c>
      <c r="D11" s="1">
        <f t="shared" si="0"/>
        <v>2569.8251960721368</v>
      </c>
      <c r="E11" s="1">
        <f t="shared" si="0"/>
        <v>0</v>
      </c>
      <c r="G11" s="1">
        <f t="shared" si="0"/>
        <v>2156784.5511202421</v>
      </c>
      <c r="H11" s="1">
        <f t="shared" si="0"/>
        <v>552552.36131412175</v>
      </c>
      <c r="I11" s="1">
        <f t="shared" si="0"/>
        <v>1683927.9249394587</v>
      </c>
      <c r="J11" s="1">
        <f>-J9</f>
        <v>-7678601.3799999999</v>
      </c>
      <c r="K11" s="1">
        <v>0</v>
      </c>
    </row>
    <row r="12" spans="1:11" x14ac:dyDescent="0.2">
      <c r="A12" t="s">
        <v>4</v>
      </c>
      <c r="B12" s="1">
        <f>+B9+B11</f>
        <v>33482281.080464896</v>
      </c>
      <c r="C12" s="1">
        <f t="shared" ref="C12:J12" si="1">+C9+C11</f>
        <v>35942.266965209717</v>
      </c>
      <c r="D12" s="1">
        <f t="shared" si="1"/>
        <v>26238.835196072134</v>
      </c>
      <c r="E12" s="1">
        <f t="shared" si="1"/>
        <v>0</v>
      </c>
      <c r="G12" s="1">
        <f t="shared" si="1"/>
        <v>22021542.351120241</v>
      </c>
      <c r="H12" s="1">
        <f t="shared" si="1"/>
        <v>5641757.4113141214</v>
      </c>
      <c r="I12" s="1">
        <f t="shared" si="1"/>
        <v>17193506.924939457</v>
      </c>
      <c r="J12" s="1">
        <f t="shared" si="1"/>
        <v>0</v>
      </c>
      <c r="K12" s="1">
        <f>SUM(B12:J12)</f>
        <v>78401268.870000005</v>
      </c>
    </row>
    <row r="14" spans="1:11" x14ac:dyDescent="0.2">
      <c r="A14" t="s">
        <v>5</v>
      </c>
      <c r="B14" s="1">
        <f>B$9/($K$9-$J$9-$I$9)*-I14</f>
        <v>9405307.6493217498</v>
      </c>
      <c r="C14" s="1">
        <f t="shared" ref="C14:H14" si="2">C$9/($K$9-$J$9-$I$9)*-$I$14</f>
        <v>10096.32759516747</v>
      </c>
      <c r="D14" s="1">
        <f t="shared" si="2"/>
        <v>7370.5945179133969</v>
      </c>
      <c r="E14" s="1">
        <f t="shared" si="2"/>
        <v>0</v>
      </c>
      <c r="G14" s="1">
        <f t="shared" si="2"/>
        <v>6185939.9670859668</v>
      </c>
      <c r="H14" s="1">
        <f t="shared" si="2"/>
        <v>1584792.386418662</v>
      </c>
      <c r="I14" s="1">
        <f>-I12</f>
        <v>-17193506.924939457</v>
      </c>
      <c r="K14" s="1">
        <v>0</v>
      </c>
    </row>
    <row r="15" spans="1:11" x14ac:dyDescent="0.2">
      <c r="A15" t="s">
        <v>4</v>
      </c>
      <c r="B15" s="1">
        <f>+B12+B14</f>
        <v>42887588.729786649</v>
      </c>
      <c r="C15" s="1">
        <f>+C12+C14</f>
        <v>46038.594560377183</v>
      </c>
      <c r="D15" s="1">
        <f>+D12+D14</f>
        <v>33609.429713985533</v>
      </c>
      <c r="E15" s="1">
        <f>+E12+E14</f>
        <v>0</v>
      </c>
      <c r="G15" s="1">
        <f>+G12+G14</f>
        <v>28207482.318206206</v>
      </c>
      <c r="H15" s="1">
        <f>+H12+H14</f>
        <v>7226549.7977327835</v>
      </c>
      <c r="I15" s="1">
        <f>+I12+I14</f>
        <v>0</v>
      </c>
      <c r="J15" s="1">
        <f>+J12+J14</f>
        <v>0</v>
      </c>
      <c r="K15" s="1">
        <f>SUM(B15:J15)</f>
        <v>78401268.870000005</v>
      </c>
    </row>
    <row r="17" spans="1:11" x14ac:dyDescent="0.2">
      <c r="A17" t="s">
        <v>6</v>
      </c>
      <c r="B17" s="1">
        <f>B$9/($K$9-$J$9-$I$9-$H$9)*-$H$17</f>
        <v>4354485.6895859316</v>
      </c>
      <c r="C17" s="1">
        <f>C$9/($K$9-$J$9-$I$9-$H$9)*-$H$17</f>
        <v>4674.4153056703808</v>
      </c>
      <c r="D17" s="1">
        <f>D$9/($K$9-$J$9-$I$9-$H$9)*-$H$17</f>
        <v>3412.4506660139823</v>
      </c>
      <c r="E17" s="1">
        <f>E$9/($K$9-$J$9-$I$9-$H$9)*-$H$17</f>
        <v>0</v>
      </c>
      <c r="G17" s="1">
        <f>G$9/($K$9-$J$9-$I$9-$H$9)*-$H$17</f>
        <v>2863977.2421751674</v>
      </c>
      <c r="H17" s="1">
        <f>-H15</f>
        <v>-7226549.7977327835</v>
      </c>
      <c r="K17" s="1">
        <v>0</v>
      </c>
    </row>
    <row r="18" spans="1:11" x14ac:dyDescent="0.2">
      <c r="A18" t="s">
        <v>4</v>
      </c>
      <c r="B18" s="1">
        <f>+B15+B17</f>
        <v>47242074.419372581</v>
      </c>
      <c r="C18" s="1">
        <f>+C15+C17</f>
        <v>50713.009866047563</v>
      </c>
      <c r="D18" s="1">
        <f>+D15+D17</f>
        <v>37021.880379999515</v>
      </c>
      <c r="E18" s="1">
        <f>+E15+E17</f>
        <v>0</v>
      </c>
      <c r="G18" s="1">
        <f>+G15+G17</f>
        <v>31071459.560381375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78401268.870000005</v>
      </c>
    </row>
    <row r="20" spans="1:11" x14ac:dyDescent="0.2">
      <c r="A20" t="s">
        <v>7</v>
      </c>
      <c r="B20" s="1">
        <f>B$9/($K$9-$J$9-$I$9-$H$9-$G$9)*-$G$20</f>
        <v>31013862.643468373</v>
      </c>
      <c r="C20" s="1">
        <f>C$9/($K$9-$J$9-$I$9-$H$9-$G$9)*-$G$20</f>
        <v>33292.490678129368</v>
      </c>
      <c r="D20" s="1">
        <f>D$9/($K$9-$J$9-$I$9-$H$9-$G$9)*-$G$20</f>
        <v>24304.426234877235</v>
      </c>
      <c r="E20" s="1">
        <f>E$9/($K$9-$J$9-$I$9-$H$9-$G$9)*-$G$20</f>
        <v>0</v>
      </c>
      <c r="G20" s="1">
        <f>-G18</f>
        <v>-31071459.560381375</v>
      </c>
      <c r="K20" s="1">
        <f>SUM(B20:J20)</f>
        <v>0</v>
      </c>
    </row>
    <row r="22" spans="1:11" x14ac:dyDescent="0.2">
      <c r="A22" t="s">
        <v>8</v>
      </c>
      <c r="B22" s="1">
        <f>+B20+B18</f>
        <v>78255937.062840953</v>
      </c>
      <c r="C22" s="1">
        <f t="shared" ref="C22:K22" si="3">+C20+C18</f>
        <v>84005.500544176932</v>
      </c>
      <c r="D22" s="1">
        <f t="shared" si="3"/>
        <v>61326.306614876754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78401268.870000005</v>
      </c>
    </row>
    <row r="27" spans="1:11" x14ac:dyDescent="0.2">
      <c r="A27" t="s">
        <v>9</v>
      </c>
      <c r="B27" s="1">
        <f>+B9</f>
        <v>30203034.539999999</v>
      </c>
    </row>
    <row r="28" spans="1:11" x14ac:dyDescent="0.2">
      <c r="A28" t="s">
        <v>10</v>
      </c>
      <c r="B28" s="1">
        <f>+B22-B27</f>
        <v>48052902.522840954</v>
      </c>
    </row>
    <row r="29" spans="1:11" x14ac:dyDescent="0.2">
      <c r="A29" s="29" t="s">
        <v>163</v>
      </c>
      <c r="B29" s="1">
        <v>6064</v>
      </c>
    </row>
    <row r="30" spans="1:11" x14ac:dyDescent="0.2">
      <c r="A30" t="s">
        <v>11</v>
      </c>
      <c r="B30" s="1">
        <f>+B28/B29</f>
        <v>7924.2913131334026</v>
      </c>
    </row>
  </sheetData>
  <phoneticPr fontId="0" type="noConversion"/>
  <pageMargins left="0.63" right="0.55000000000000004" top="1" bottom="0.55000000000000004" header="0.5" footer="0.5"/>
  <pageSetup scale="97" orientation="landscape" horizontalDpi="4294967294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Table'!B22</f>
        <v>21514543.449999999</v>
      </c>
      <c r="C9" s="1">
        <f>'Master Expend Table'!C22</f>
        <v>0</v>
      </c>
      <c r="D9" s="1">
        <f>'Master Expend Table'!D22</f>
        <v>1139587.46</v>
      </c>
      <c r="E9" s="1">
        <f>'Master Expend Table'!E22</f>
        <v>0</v>
      </c>
      <c r="G9" s="1">
        <f>'Master Expend Table'!G22</f>
        <v>7056417.8499999996</v>
      </c>
      <c r="H9" s="1">
        <f>'Master Expend Table'!H22</f>
        <v>6243003.3799999999</v>
      </c>
      <c r="I9" s="1">
        <f>'Master Expend Table'!I22</f>
        <v>6820624.7999999998</v>
      </c>
      <c r="J9" s="1">
        <f>'Master Expend Table'!J22</f>
        <v>6271797.2599999998</v>
      </c>
      <c r="K9" s="1">
        <f>SUM(B9:J9)</f>
        <v>49045974.199999996</v>
      </c>
    </row>
    <row r="11" spans="1:11" x14ac:dyDescent="0.2">
      <c r="A11" t="s">
        <v>3</v>
      </c>
      <c r="B11" s="1">
        <f>(B9/($K9-$J9))*-$J$11</f>
        <v>3154586.8164602248</v>
      </c>
      <c r="C11" s="1">
        <f t="shared" ref="C11:I11" si="0">(C9/($K9-$J9))*-$J$11</f>
        <v>0</v>
      </c>
      <c r="D11" s="1">
        <f t="shared" si="0"/>
        <v>167092.90559077114</v>
      </c>
      <c r="E11" s="1">
        <f t="shared" si="0"/>
        <v>0</v>
      </c>
      <c r="G11" s="1">
        <f t="shared" si="0"/>
        <v>1034652.8046378135</v>
      </c>
      <c r="H11" s="1">
        <f t="shared" si="0"/>
        <v>915385.26966346672</v>
      </c>
      <c r="I11" s="1">
        <f t="shared" si="0"/>
        <v>1000079.4636477241</v>
      </c>
      <c r="J11" s="1">
        <f>-J9</f>
        <v>-6271797.2599999998</v>
      </c>
      <c r="K11" s="1">
        <v>0</v>
      </c>
    </row>
    <row r="12" spans="1:11" x14ac:dyDescent="0.2">
      <c r="A12" t="s">
        <v>4</v>
      </c>
      <c r="B12" s="1">
        <f>+B9+B11</f>
        <v>24669130.266460225</v>
      </c>
      <c r="C12" s="1">
        <f t="shared" ref="C12:J12" si="1">+C9+C11</f>
        <v>0</v>
      </c>
      <c r="D12" s="1">
        <f t="shared" si="1"/>
        <v>1306680.3655907712</v>
      </c>
      <c r="E12" s="1">
        <f t="shared" si="1"/>
        <v>0</v>
      </c>
      <c r="G12" s="1">
        <f t="shared" si="1"/>
        <v>8091070.6546378136</v>
      </c>
      <c r="H12" s="1">
        <f t="shared" si="1"/>
        <v>7158388.649663467</v>
      </c>
      <c r="I12" s="1">
        <f t="shared" si="1"/>
        <v>7820704.2636477239</v>
      </c>
      <c r="J12" s="1">
        <f t="shared" si="1"/>
        <v>0</v>
      </c>
      <c r="K12" s="1">
        <f>SUM(B12:J12)</f>
        <v>49045974.199999988</v>
      </c>
    </row>
    <row r="14" spans="1:11" x14ac:dyDescent="0.2">
      <c r="A14" t="s">
        <v>5</v>
      </c>
      <c r="B14" s="1">
        <f>B$9/($K$9-$J$9-$I$9)*-I14</f>
        <v>4679895.9122220743</v>
      </c>
      <c r="C14" s="1">
        <f t="shared" ref="C14:H14" si="2">C$9/($K$9-$J$9-$I$9)*-$I$14</f>
        <v>0</v>
      </c>
      <c r="D14" s="1">
        <f t="shared" si="2"/>
        <v>247885.84094604792</v>
      </c>
      <c r="E14" s="1">
        <f t="shared" si="2"/>
        <v>0</v>
      </c>
      <c r="G14" s="1">
        <f t="shared" si="2"/>
        <v>1534929.2039541688</v>
      </c>
      <c r="H14" s="1">
        <f t="shared" si="2"/>
        <v>1357993.306525433</v>
      </c>
      <c r="I14" s="1">
        <f>-I12</f>
        <v>-7820704.2636477239</v>
      </c>
      <c r="K14" s="1">
        <v>0</v>
      </c>
    </row>
    <row r="15" spans="1:11" x14ac:dyDescent="0.2">
      <c r="A15" t="s">
        <v>4</v>
      </c>
      <c r="B15" s="1">
        <f>+B12+B14</f>
        <v>29349026.178682297</v>
      </c>
      <c r="C15" s="1">
        <f>+C12+C14</f>
        <v>0</v>
      </c>
      <c r="D15" s="1">
        <f>+D12+D14</f>
        <v>1554566.2065368192</v>
      </c>
      <c r="E15" s="1">
        <f>+E12+E14</f>
        <v>0</v>
      </c>
      <c r="G15" s="1">
        <f>+G12+G14</f>
        <v>9625999.8585919831</v>
      </c>
      <c r="H15" s="1">
        <f>+H12+H14</f>
        <v>8516381.9561889004</v>
      </c>
      <c r="I15" s="1">
        <f>+I12+I14</f>
        <v>0</v>
      </c>
      <c r="J15" s="1">
        <f>+J12+J14</f>
        <v>0</v>
      </c>
      <c r="K15" s="1">
        <f>SUM(B15:J15)</f>
        <v>49045974.200000003</v>
      </c>
    </row>
    <row r="17" spans="1:11" x14ac:dyDescent="0.2">
      <c r="A17" t="s">
        <v>6</v>
      </c>
      <c r="B17" s="1">
        <f>B$9/($K$9-$J$9-$I$9-$H$9)*-$H$17</f>
        <v>6167037.5432413276</v>
      </c>
      <c r="C17" s="1">
        <f>C$9/($K$9-$J$9-$I$9-$H$9)*-$H$17</f>
        <v>0</v>
      </c>
      <c r="D17" s="1">
        <f>D$9/($K$9-$J$9-$I$9-$H$9)*-$H$17</f>
        <v>326657.11294129392</v>
      </c>
      <c r="E17" s="1">
        <f>E$9/($K$9-$J$9-$I$9-$H$9)*-$H$17</f>
        <v>0</v>
      </c>
      <c r="G17" s="1">
        <f>G$9/($K$9-$J$9-$I$9-$H$9)*-$H$17</f>
        <v>2022687.3000062779</v>
      </c>
      <c r="H17" s="1">
        <f>-H15</f>
        <v>-8516381.9561889004</v>
      </c>
      <c r="K17" s="1">
        <v>0</v>
      </c>
    </row>
    <row r="18" spans="1:11" x14ac:dyDescent="0.2">
      <c r="A18" t="s">
        <v>4</v>
      </c>
      <c r="B18" s="1">
        <f>+B15+B17</f>
        <v>35516063.721923627</v>
      </c>
      <c r="C18" s="1">
        <f>+C15+C17</f>
        <v>0</v>
      </c>
      <c r="D18" s="1">
        <f>+D15+D17</f>
        <v>1881223.3194781132</v>
      </c>
      <c r="E18" s="1">
        <f>+E15+E17</f>
        <v>0</v>
      </c>
      <c r="G18" s="1">
        <f>+G15+G17</f>
        <v>11648687.158598261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49045974.200000003</v>
      </c>
    </row>
    <row r="20" spans="1:11" x14ac:dyDescent="0.2">
      <c r="A20" t="s">
        <v>7</v>
      </c>
      <c r="B20" s="1">
        <f>B$9/($K$9-$J$9-$I$9-$H$9-$G$9)*-$G$20</f>
        <v>11062714.654769305</v>
      </c>
      <c r="C20" s="1">
        <f>C$9/($K$9-$J$9-$I$9-$H$9-$G$9)*-$G$20</f>
        <v>0</v>
      </c>
      <c r="D20" s="1">
        <f>D$9/($K$9-$J$9-$I$9-$H$9-$G$9)*-$G$20</f>
        <v>585972.5038289543</v>
      </c>
      <c r="E20" s="1">
        <f>E$9/($K$9-$J$9-$I$9-$H$9-$G$9)*-$G$20</f>
        <v>0</v>
      </c>
      <c r="G20" s="1">
        <f>-G18</f>
        <v>-11648687.158598261</v>
      </c>
      <c r="K20" s="1">
        <f>SUM(B20:J20)</f>
        <v>0</v>
      </c>
    </row>
    <row r="22" spans="1:11" x14ac:dyDescent="0.2">
      <c r="A22" t="s">
        <v>8</v>
      </c>
      <c r="B22" s="1">
        <f>+B20+B18</f>
        <v>46578778.376692936</v>
      </c>
      <c r="C22" s="1">
        <f t="shared" ref="C22:K22" si="3">+C20+C18</f>
        <v>0</v>
      </c>
      <c r="D22" s="1">
        <f t="shared" si="3"/>
        <v>2467195.8233070676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49045974.200000003</v>
      </c>
    </row>
    <row r="27" spans="1:11" x14ac:dyDescent="0.2">
      <c r="A27" t="s">
        <v>9</v>
      </c>
      <c r="B27" s="1">
        <f>+B9</f>
        <v>21514543.449999999</v>
      </c>
    </row>
    <row r="28" spans="1:11" x14ac:dyDescent="0.2">
      <c r="A28" t="s">
        <v>10</v>
      </c>
      <c r="B28" s="1">
        <f>+B22-B27</f>
        <v>25064234.926692937</v>
      </c>
    </row>
    <row r="29" spans="1:11" x14ac:dyDescent="0.2">
      <c r="A29" s="29" t="s">
        <v>163</v>
      </c>
      <c r="B29" s="1">
        <v>4792</v>
      </c>
    </row>
    <row r="30" spans="1:11" x14ac:dyDescent="0.2">
      <c r="A30" t="s">
        <v>11</v>
      </c>
      <c r="B30" s="1">
        <f>+B28/B29</f>
        <v>5230.4329980577913</v>
      </c>
    </row>
  </sheetData>
  <phoneticPr fontId="0" type="noConversion"/>
  <pageMargins left="0.59" right="0.55000000000000004" top="1" bottom="0.56000000000000005" header="0.5" footer="0.5"/>
  <pageSetup scale="97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30"/>
  <sheetViews>
    <sheetView zoomScale="75" workbookViewId="0">
      <selection activeCell="B29" sqref="B29"/>
    </sheetView>
  </sheetViews>
  <sheetFormatPr defaultRowHeight="12.75" x14ac:dyDescent="0.2"/>
  <cols>
    <col min="1" max="1" width="24.5703125" customWidth="1"/>
    <col min="2" max="2" width="14.28515625" style="1" customWidth="1"/>
    <col min="3" max="3" width="11.28515625" style="1" customWidth="1"/>
    <col min="4" max="4" width="11" style="1" customWidth="1"/>
    <col min="5" max="5" width="11.140625" style="1" customWidth="1"/>
    <col min="6" max="6" width="2.7109375" style="3" customWidth="1"/>
    <col min="7" max="7" width="13.5703125" style="1" bestFit="1" customWidth="1"/>
    <col min="8" max="9" width="13.28515625" style="1" bestFit="1" customWidth="1"/>
    <col min="10" max="10" width="12.42578125" style="1" customWidth="1"/>
    <col min="11" max="11" width="13" style="1" customWidth="1"/>
  </cols>
  <sheetData>
    <row r="1" spans="1:11" ht="15.75" x14ac:dyDescent="0.25">
      <c r="A1" s="5" t="s">
        <v>164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+'Master Expend Table'!B50</f>
        <v>687545949.19000006</v>
      </c>
      <c r="C9" s="1">
        <f>+'Master Expend Table'!C50</f>
        <v>2855032.3400000003</v>
      </c>
      <c r="D9" s="1">
        <f>+'Master Expend Table'!D50</f>
        <v>32837261.669999994</v>
      </c>
      <c r="E9" s="1">
        <f>+'Master Expend Table'!E50</f>
        <v>27795453.250000007</v>
      </c>
      <c r="G9" s="1">
        <f>+'Master Expend Table'!G50</f>
        <v>216310711.95999998</v>
      </c>
      <c r="H9" s="1">
        <f>+'Master Expend Table'!H50</f>
        <v>150098939.06999999</v>
      </c>
      <c r="I9" s="1">
        <f>+'Master Expend Table'!I50</f>
        <v>228290045.50999999</v>
      </c>
      <c r="J9" s="1">
        <f>+'Master Expend Table'!J50</f>
        <v>157920536.43999994</v>
      </c>
      <c r="K9" s="1">
        <f>SUM(B9:J9)</f>
        <v>1503653929.4299998</v>
      </c>
    </row>
    <row r="11" spans="1:11" x14ac:dyDescent="0.2">
      <c r="A11" t="s">
        <v>3</v>
      </c>
      <c r="B11" s="1">
        <f>(B9/($K9-$J9))*-$J$11</f>
        <v>80682864.591768816</v>
      </c>
      <c r="C11" s="1">
        <f t="shared" ref="C11:I11" si="0">(C9/($K9-$J9))*-$J$11</f>
        <v>335035.3354051747</v>
      </c>
      <c r="D11" s="1">
        <f t="shared" si="0"/>
        <v>3853421.4913292131</v>
      </c>
      <c r="E11" s="1">
        <f t="shared" si="0"/>
        <v>3261770.0583919142</v>
      </c>
      <c r="G11" s="1">
        <f t="shared" si="0"/>
        <v>25383856.749325197</v>
      </c>
      <c r="H11" s="1">
        <f t="shared" si="0"/>
        <v>17613968.041874554</v>
      </c>
      <c r="I11" s="1">
        <f t="shared" si="0"/>
        <v>26789620.171905108</v>
      </c>
      <c r="J11" s="1">
        <f>-J9</f>
        <v>-157920536.43999994</v>
      </c>
      <c r="K11" s="1">
        <v>0</v>
      </c>
    </row>
    <row r="12" spans="1:11" x14ac:dyDescent="0.2">
      <c r="A12" t="s">
        <v>4</v>
      </c>
      <c r="B12" s="1">
        <f>+B9+B11</f>
        <v>768228813.78176892</v>
      </c>
      <c r="C12" s="1">
        <f t="shared" ref="C12:J12" si="1">+C9+C11</f>
        <v>3190067.675405175</v>
      </c>
      <c r="D12" s="1">
        <f t="shared" si="1"/>
        <v>36690683.16132921</v>
      </c>
      <c r="E12" s="1">
        <f t="shared" si="1"/>
        <v>31057223.308391921</v>
      </c>
      <c r="G12" s="1">
        <f t="shared" si="1"/>
        <v>241694568.70932516</v>
      </c>
      <c r="H12" s="1">
        <f t="shared" si="1"/>
        <v>167712907.11187455</v>
      </c>
      <c r="I12" s="1">
        <f t="shared" si="1"/>
        <v>255079665.68190509</v>
      </c>
      <c r="J12" s="1">
        <f t="shared" si="1"/>
        <v>0</v>
      </c>
      <c r="K12" s="1">
        <f>SUM(B12:J12)</f>
        <v>1503653929.4300001</v>
      </c>
    </row>
    <row r="14" spans="1:11" x14ac:dyDescent="0.2">
      <c r="A14" t="s">
        <v>5</v>
      </c>
      <c r="B14" s="1">
        <f>B$9/($K$9-$J$9-$I$9)*-I14</f>
        <v>156946650.81307158</v>
      </c>
      <c r="C14" s="1">
        <f t="shared" ref="C14:H14" si="2">C$9/($K$9-$J$9-$I$9)*-$I$14</f>
        <v>651720.46210715105</v>
      </c>
      <c r="D14" s="1">
        <f t="shared" si="2"/>
        <v>7495787.3681759536</v>
      </c>
      <c r="E14" s="1">
        <f t="shared" si="2"/>
        <v>6344889.8223575708</v>
      </c>
      <c r="G14" s="1">
        <f t="shared" si="2"/>
        <v>49377415.163464665</v>
      </c>
      <c r="H14" s="1">
        <f t="shared" si="2"/>
        <v>34263202.052728243</v>
      </c>
      <c r="I14" s="1">
        <f>-I12</f>
        <v>-255079665.68190509</v>
      </c>
      <c r="K14" s="1">
        <v>0</v>
      </c>
    </row>
    <row r="15" spans="1:11" x14ac:dyDescent="0.2">
      <c r="A15" t="s">
        <v>4</v>
      </c>
      <c r="B15" s="1">
        <f>+B12+B14</f>
        <v>925175464.59484053</v>
      </c>
      <c r="C15" s="1">
        <f>+C12+C14</f>
        <v>3841788.1375123262</v>
      </c>
      <c r="D15" s="1">
        <f>+D12+D14</f>
        <v>44186470.529505163</v>
      </c>
      <c r="E15" s="1">
        <f>+E12+E14</f>
        <v>37402113.130749494</v>
      </c>
      <c r="G15" s="1">
        <f>+G12+G14</f>
        <v>291071983.87278986</v>
      </c>
      <c r="H15" s="1">
        <f>+H12+H14</f>
        <v>201976109.16460279</v>
      </c>
      <c r="I15" s="1">
        <f>+I12+I14</f>
        <v>0</v>
      </c>
      <c r="J15" s="1">
        <f>+J12+J14</f>
        <v>0</v>
      </c>
      <c r="K15" s="1">
        <f>SUM(B15:J15)</f>
        <v>1503653929.4300001</v>
      </c>
    </row>
    <row r="17" spans="1:11" x14ac:dyDescent="0.2">
      <c r="A17" t="s">
        <v>6</v>
      </c>
      <c r="B17" s="1">
        <f>B$9/($K$9-$J$9-$I$9-$H$9)*-$H$17</f>
        <v>143555753.7542741</v>
      </c>
      <c r="C17" s="1">
        <f>C$9/($K$9-$J$9-$I$9-$H$9)*-$H$17</f>
        <v>596114.80519139406</v>
      </c>
      <c r="D17" s="1">
        <f>D$9/($K$9-$J$9-$I$9-$H$9)*-$H$17</f>
        <v>6856236.8170690769</v>
      </c>
      <c r="E17" s="1">
        <f>E$9/($K$9-$J$9-$I$9-$H$9)*-$H$17</f>
        <v>5803535.3810844235</v>
      </c>
      <c r="G17" s="1">
        <f>G$9/($K$9-$J$9-$I$9-$H$9)*-$H$17</f>
        <v>45164468.40698383</v>
      </c>
      <c r="H17" s="1">
        <f>-H15</f>
        <v>-201976109.16460279</v>
      </c>
      <c r="K17" s="1">
        <v>0</v>
      </c>
    </row>
    <row r="18" spans="1:11" x14ac:dyDescent="0.2">
      <c r="A18" t="s">
        <v>4</v>
      </c>
      <c r="B18" s="1">
        <f>+B15+B17</f>
        <v>1068731218.3491147</v>
      </c>
      <c r="C18" s="1">
        <f>+C15+C17</f>
        <v>4437902.9427037202</v>
      </c>
      <c r="D18" s="1">
        <f>+D15+D17</f>
        <v>51042707.346574239</v>
      </c>
      <c r="E18" s="1">
        <f>+E15+E17</f>
        <v>43205648.511833921</v>
      </c>
      <c r="G18" s="1">
        <f>+G15+G17</f>
        <v>336236452.27977371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1503653929.4300003</v>
      </c>
    </row>
    <row r="20" spans="1:11" x14ac:dyDescent="0.2">
      <c r="A20" t="s">
        <v>7</v>
      </c>
      <c r="B20" s="1">
        <f>B$9/($K$9-$J$9-$I$9-$H$9-$G$9)*-$G$20</f>
        <v>307813100.56754011</v>
      </c>
      <c r="C20" s="1">
        <f>C$9/($K$9-$J$9-$I$9-$H$9-$G$9)*-$G$20</f>
        <v>1278192.9088977044</v>
      </c>
      <c r="D20" s="1">
        <f>D$9/($K$9-$J$9-$I$9-$H$9-$G$9)*-$G$20</f>
        <v>14701183.740080638</v>
      </c>
      <c r="E20" s="1">
        <f>E$9/($K$9-$J$9-$I$9-$H$9-$G$9)*-$G$20</f>
        <v>12443975.063255381</v>
      </c>
      <c r="G20" s="1">
        <f>-G18</f>
        <v>-336236452.27977371</v>
      </c>
      <c r="K20" s="1">
        <f>SUM(B20:J20)</f>
        <v>0</v>
      </c>
    </row>
    <row r="22" spans="1:11" x14ac:dyDescent="0.2">
      <c r="A22" t="s">
        <v>8</v>
      </c>
      <c r="B22" s="1">
        <f>+B20+B18</f>
        <v>1376544318.9166548</v>
      </c>
      <c r="C22" s="1">
        <f t="shared" ref="C22:K22" si="3">+C20+C18</f>
        <v>5716095.8516014246</v>
      </c>
      <c r="D22" s="1">
        <f t="shared" si="3"/>
        <v>65743891.086654879</v>
      </c>
      <c r="E22" s="1">
        <f t="shared" si="3"/>
        <v>55649623.575089306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1503653929.4300003</v>
      </c>
    </row>
    <row r="27" spans="1:11" x14ac:dyDescent="0.2">
      <c r="A27" t="s">
        <v>9</v>
      </c>
      <c r="B27" s="1">
        <f>+B9</f>
        <v>687545949.19000006</v>
      </c>
    </row>
    <row r="28" spans="1:11" x14ac:dyDescent="0.2">
      <c r="A28" t="s">
        <v>10</v>
      </c>
      <c r="B28" s="1">
        <f>+B22-B27</f>
        <v>688998369.72665477</v>
      </c>
    </row>
    <row r="29" spans="1:11" x14ac:dyDescent="0.2">
      <c r="A29" s="29" t="s">
        <v>163</v>
      </c>
      <c r="B29" s="1">
        <v>128830</v>
      </c>
    </row>
    <row r="30" spans="1:11" x14ac:dyDescent="0.2">
      <c r="A30" t="s">
        <v>11</v>
      </c>
      <c r="B30" s="1">
        <f>+B28/B29</f>
        <v>5348.120544334819</v>
      </c>
    </row>
  </sheetData>
  <phoneticPr fontId="0" type="noConversion"/>
  <pageMargins left="0.32" right="0.18" top="1" bottom="1" header="0.5" footer="0.5"/>
  <pageSetup scale="9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Table'!B23</f>
        <v>8103480.7300000004</v>
      </c>
      <c r="C9" s="1">
        <f>'Master Expend Table'!C23</f>
        <v>5308.71</v>
      </c>
      <c r="D9" s="1">
        <f>'Master Expend Table'!D23</f>
        <v>372307.74</v>
      </c>
      <c r="E9" s="1">
        <f>'Master Expend Table'!E23</f>
        <v>20000</v>
      </c>
      <c r="G9" s="1">
        <f>'Master Expend Table'!G23</f>
        <v>2325505.7200000002</v>
      </c>
      <c r="H9" s="1">
        <f>'Master Expend Table'!H23</f>
        <v>1545263.6</v>
      </c>
      <c r="I9" s="1">
        <f>'Master Expend Table'!I23</f>
        <v>2580385.79</v>
      </c>
      <c r="J9" s="1">
        <f>'Master Expend Table'!J23</f>
        <v>1581326.34</v>
      </c>
      <c r="K9" s="1">
        <f>SUM(B9:J9)</f>
        <v>16533578.629999999</v>
      </c>
    </row>
    <row r="11" spans="1:11" x14ac:dyDescent="0.2">
      <c r="A11" t="s">
        <v>3</v>
      </c>
      <c r="B11" s="1">
        <f>(B9/($K9-$J9))*-$J$11</f>
        <v>857011.18971899245</v>
      </c>
      <c r="C11" s="1">
        <f t="shared" ref="C11:I11" si="0">(C9/($K9-$J9))*-$J$11</f>
        <v>561.44069746842138</v>
      </c>
      <c r="D11" s="1">
        <f t="shared" si="0"/>
        <v>39374.672419192546</v>
      </c>
      <c r="E11" s="1">
        <f t="shared" si="0"/>
        <v>2115.1680821458372</v>
      </c>
      <c r="G11" s="1">
        <f t="shared" si="0"/>
        <v>245941.77368957875</v>
      </c>
      <c r="H11" s="1">
        <f t="shared" si="0"/>
        <v>163424.61226108862</v>
      </c>
      <c r="I11" s="1">
        <f t="shared" si="0"/>
        <v>272897.48313153355</v>
      </c>
      <c r="J11" s="1">
        <f>-J9</f>
        <v>-1581326.34</v>
      </c>
      <c r="K11" s="1">
        <v>0</v>
      </c>
    </row>
    <row r="12" spans="1:11" x14ac:dyDescent="0.2">
      <c r="A12" t="s">
        <v>4</v>
      </c>
      <c r="B12" s="1">
        <f>+B9+B11</f>
        <v>8960491.919718992</v>
      </c>
      <c r="C12" s="1">
        <f t="shared" ref="C12:J12" si="1">+C9+C11</f>
        <v>5870.1506974684216</v>
      </c>
      <c r="D12" s="1">
        <f t="shared" si="1"/>
        <v>411682.41241919255</v>
      </c>
      <c r="E12" s="1">
        <f t="shared" si="1"/>
        <v>22115.168082145836</v>
      </c>
      <c r="G12" s="1">
        <f t="shared" si="1"/>
        <v>2571447.493689579</v>
      </c>
      <c r="H12" s="1">
        <f t="shared" si="1"/>
        <v>1708688.2122610887</v>
      </c>
      <c r="I12" s="1">
        <f t="shared" si="1"/>
        <v>2853283.2731315335</v>
      </c>
      <c r="J12" s="1">
        <f t="shared" si="1"/>
        <v>0</v>
      </c>
      <c r="K12" s="1">
        <f>SUM(B12:J12)</f>
        <v>16533578.629999999</v>
      </c>
    </row>
    <row r="14" spans="1:11" x14ac:dyDescent="0.2">
      <c r="A14" t="s">
        <v>5</v>
      </c>
      <c r="B14" s="1">
        <f>B$9/($K$9-$J$9-$I$9)*-I14</f>
        <v>1868879.366023931</v>
      </c>
      <c r="C14" s="1">
        <f t="shared" ref="C14:H14" si="2">C$9/($K$9-$J$9-$I$9)*-$I$14</f>
        <v>1224.3304957183384</v>
      </c>
      <c r="D14" s="1">
        <f t="shared" si="2"/>
        <v>85864.121391821027</v>
      </c>
      <c r="E14" s="1">
        <f t="shared" si="2"/>
        <v>4612.5348558061687</v>
      </c>
      <c r="G14" s="1">
        <f t="shared" si="2"/>
        <v>536323.80954383116</v>
      </c>
      <c r="H14" s="1">
        <f t="shared" si="2"/>
        <v>356379.11082042608</v>
      </c>
      <c r="I14" s="1">
        <f>-I12</f>
        <v>-2853283.2731315335</v>
      </c>
      <c r="K14" s="1">
        <v>0</v>
      </c>
    </row>
    <row r="15" spans="1:11" x14ac:dyDescent="0.2">
      <c r="A15" t="s">
        <v>4</v>
      </c>
      <c r="B15" s="1">
        <f>+B12+B14</f>
        <v>10829371.285742924</v>
      </c>
      <c r="C15" s="1">
        <f>+C12+C14</f>
        <v>7094.4811931867598</v>
      </c>
      <c r="D15" s="1">
        <f>+D12+D14</f>
        <v>497546.53381101356</v>
      </c>
      <c r="E15" s="1">
        <f>+E12+E14</f>
        <v>26727.702937952003</v>
      </c>
      <c r="G15" s="1">
        <f>+G12+G14</f>
        <v>3107771.3032334102</v>
      </c>
      <c r="H15" s="1">
        <f>+H12+H14</f>
        <v>2065067.3230815148</v>
      </c>
      <c r="I15" s="1">
        <f>+I12+I14</f>
        <v>0</v>
      </c>
      <c r="J15" s="1">
        <f>+J12+J14</f>
        <v>0</v>
      </c>
      <c r="K15" s="1">
        <f>SUM(B15:J15)</f>
        <v>16533578.630000003</v>
      </c>
    </row>
    <row r="17" spans="1:11" x14ac:dyDescent="0.2">
      <c r="A17" t="s">
        <v>6</v>
      </c>
      <c r="B17" s="1">
        <f>B$9/($K$9-$J$9-$I$9-$H$9)*-$H$17</f>
        <v>1545658.7272397086</v>
      </c>
      <c r="C17" s="1">
        <f>C$9/($K$9-$J$9-$I$9-$H$9)*-$H$17</f>
        <v>1012.5838778769718</v>
      </c>
      <c r="D17" s="1">
        <f>D$9/($K$9-$J$9-$I$9-$H$9)*-$H$17</f>
        <v>71014.015671003188</v>
      </c>
      <c r="E17" s="1">
        <f>E$9/($K$9-$J$9-$I$9-$H$9)*-$H$17</f>
        <v>3814.8020060503277</v>
      </c>
      <c r="G17" s="1">
        <f>G$9/($K$9-$J$9-$I$9-$H$9)*-$H$17</f>
        <v>443567.19428687566</v>
      </c>
      <c r="H17" s="1">
        <f>-H15</f>
        <v>-2065067.3230815148</v>
      </c>
      <c r="K17" s="1">
        <v>0</v>
      </c>
    </row>
    <row r="18" spans="1:11" x14ac:dyDescent="0.2">
      <c r="A18" t="s">
        <v>4</v>
      </c>
      <c r="B18" s="1">
        <f>+B15+B17</f>
        <v>12375030.012982633</v>
      </c>
      <c r="C18" s="1">
        <f>+C15+C17</f>
        <v>8107.0650710637319</v>
      </c>
      <c r="D18" s="1">
        <f>+D15+D17</f>
        <v>568560.54948201671</v>
      </c>
      <c r="E18" s="1">
        <f>+E15+E17</f>
        <v>30542.504944002329</v>
      </c>
      <c r="G18" s="1">
        <f>+G15+G17</f>
        <v>3551338.4975202857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16533578.629999999</v>
      </c>
    </row>
    <row r="20" spans="1:11" x14ac:dyDescent="0.2">
      <c r="A20" t="s">
        <v>7</v>
      </c>
      <c r="B20" s="1">
        <f>B$9/($K$9-$J$9-$I$9-$H$9-$G$9)*-$G$20</f>
        <v>3385233.984628181</v>
      </c>
      <c r="C20" s="1">
        <f>C$9/($K$9-$J$9-$I$9-$H$9-$G$9)*-$G$20</f>
        <v>2217.7168188978303</v>
      </c>
      <c r="D20" s="1">
        <f>D$9/($K$9-$J$9-$I$9-$H$9-$G$9)*-$G$20</f>
        <v>155531.78395577089</v>
      </c>
      <c r="E20" s="1">
        <f>E$9/($K$9-$J$9-$I$9-$H$9-$G$9)*-$G$20</f>
        <v>8355.012117436554</v>
      </c>
      <c r="G20" s="1">
        <f>-G18</f>
        <v>-3551338.4975202857</v>
      </c>
      <c r="K20" s="1">
        <f>SUM(B20:J20)</f>
        <v>0</v>
      </c>
    </row>
    <row r="22" spans="1:11" x14ac:dyDescent="0.2">
      <c r="A22" t="s">
        <v>8</v>
      </c>
      <c r="B22" s="1">
        <f>+B20+B18</f>
        <v>15760263.997610815</v>
      </c>
      <c r="C22" s="1">
        <f t="shared" ref="C22:K22" si="3">+C20+C18</f>
        <v>10324.781889961563</v>
      </c>
      <c r="D22" s="1">
        <f t="shared" si="3"/>
        <v>724092.3334377876</v>
      </c>
      <c r="E22" s="1">
        <f t="shared" si="3"/>
        <v>38897.517061438884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16533578.629999999</v>
      </c>
    </row>
    <row r="27" spans="1:11" x14ac:dyDescent="0.2">
      <c r="A27" t="s">
        <v>9</v>
      </c>
      <c r="B27" s="1">
        <f>+B9</f>
        <v>8103480.7300000004</v>
      </c>
    </row>
    <row r="28" spans="1:11" x14ac:dyDescent="0.2">
      <c r="A28" t="s">
        <v>10</v>
      </c>
      <c r="B28" s="1">
        <f>+B22-B27</f>
        <v>7656783.2676108144</v>
      </c>
    </row>
    <row r="29" spans="1:11" x14ac:dyDescent="0.2">
      <c r="A29" s="29" t="s">
        <v>163</v>
      </c>
      <c r="B29" s="1">
        <v>1220</v>
      </c>
    </row>
    <row r="30" spans="1:11" x14ac:dyDescent="0.2">
      <c r="A30" t="s">
        <v>11</v>
      </c>
      <c r="B30" s="1">
        <f>+B28/B29</f>
        <v>6276.0518586973885</v>
      </c>
    </row>
  </sheetData>
  <phoneticPr fontId="0" type="noConversion"/>
  <pageMargins left="0.56000000000000005" right="0.55000000000000004" top="1" bottom="0.53" header="0.5" footer="0.5"/>
  <pageSetup scale="97" orientation="landscape" horizontalDpi="4294967294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4.570312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Table'!B24</f>
        <v>20570617.870000001</v>
      </c>
      <c r="C9" s="1">
        <f>'Master Expend Table'!C24</f>
        <v>0</v>
      </c>
      <c r="D9" s="1">
        <f>'Master Expend Table'!D24</f>
        <v>1473512.35</v>
      </c>
      <c r="E9" s="1">
        <f>'Master Expend Table'!E24</f>
        <v>9240.9599999999991</v>
      </c>
      <c r="G9" s="1">
        <f>'Master Expend Table'!G24</f>
        <v>4679478.96</v>
      </c>
      <c r="H9" s="1">
        <f>'Master Expend Table'!H24</f>
        <v>6038251.8499999996</v>
      </c>
      <c r="I9" s="1">
        <f>'Master Expend Table'!I24</f>
        <v>6800507.8600000003</v>
      </c>
      <c r="J9" s="1">
        <f>'Master Expend Table'!J24</f>
        <v>3930582.38</v>
      </c>
      <c r="K9" s="1">
        <f>SUM(B9:J9)</f>
        <v>43502192.230000004</v>
      </c>
    </row>
    <row r="11" spans="1:11" x14ac:dyDescent="0.2">
      <c r="A11" t="s">
        <v>3</v>
      </c>
      <c r="B11" s="1">
        <f>(B9/($K9-$J9))*-$J$11</f>
        <v>2043245.3582763483</v>
      </c>
      <c r="C11" s="1">
        <f t="shared" ref="C11:I11" si="0">(C9/($K9-$J9))*-$J$11</f>
        <v>0</v>
      </c>
      <c r="D11" s="1">
        <f t="shared" si="0"/>
        <v>146361.53802123855</v>
      </c>
      <c r="E11" s="1">
        <f t="shared" si="0"/>
        <v>917.88923139513849</v>
      </c>
      <c r="G11" s="1">
        <f t="shared" si="0"/>
        <v>464804.88454923761</v>
      </c>
      <c r="H11" s="1">
        <f t="shared" si="0"/>
        <v>599769.5422950401</v>
      </c>
      <c r="I11" s="1">
        <f t="shared" si="0"/>
        <v>675483.16762674006</v>
      </c>
      <c r="J11" s="1">
        <f>-J9</f>
        <v>-3930582.38</v>
      </c>
      <c r="K11" s="1">
        <v>0</v>
      </c>
    </row>
    <row r="12" spans="1:11" x14ac:dyDescent="0.2">
      <c r="A12" t="s">
        <v>4</v>
      </c>
      <c r="B12" s="1">
        <f>+B9+B11</f>
        <v>22613863.22827635</v>
      </c>
      <c r="C12" s="1">
        <f t="shared" ref="C12:J12" si="1">+C9+C11</f>
        <v>0</v>
      </c>
      <c r="D12" s="1">
        <f t="shared" si="1"/>
        <v>1619873.8880212386</v>
      </c>
      <c r="E12" s="1">
        <f t="shared" si="1"/>
        <v>10158.849231395137</v>
      </c>
      <c r="G12" s="1">
        <f t="shared" si="1"/>
        <v>5144283.8445492378</v>
      </c>
      <c r="H12" s="1">
        <f t="shared" si="1"/>
        <v>6638021.3922950402</v>
      </c>
      <c r="I12" s="1">
        <f t="shared" si="1"/>
        <v>7475991.0276267407</v>
      </c>
      <c r="J12" s="1">
        <f t="shared" si="1"/>
        <v>0</v>
      </c>
      <c r="K12" s="1">
        <f>SUM(B12:J12)</f>
        <v>43502192.230000004</v>
      </c>
    </row>
    <row r="14" spans="1:11" x14ac:dyDescent="0.2">
      <c r="A14" t="s">
        <v>5</v>
      </c>
      <c r="B14" s="1">
        <f>B$9/($K$9-$J$9-$I$9)*-I14</f>
        <v>4692724.5435867719</v>
      </c>
      <c r="C14" s="1">
        <f t="shared" ref="C14:H14" si="2">C$9/($K$9-$J$9-$I$9)*-$I$14</f>
        <v>0</v>
      </c>
      <c r="D14" s="1">
        <f t="shared" si="2"/>
        <v>336148.75419992534</v>
      </c>
      <c r="E14" s="1">
        <f t="shared" si="2"/>
        <v>2108.11751364781</v>
      </c>
      <c r="G14" s="1">
        <f t="shared" si="2"/>
        <v>1067518.0446969189</v>
      </c>
      <c r="H14" s="1">
        <f t="shared" si="2"/>
        <v>1377491.5676294768</v>
      </c>
      <c r="I14" s="1">
        <f>-I12</f>
        <v>-7475991.0276267407</v>
      </c>
      <c r="K14" s="1">
        <v>0</v>
      </c>
    </row>
    <row r="15" spans="1:11" x14ac:dyDescent="0.2">
      <c r="A15" t="s">
        <v>4</v>
      </c>
      <c r="B15" s="1">
        <f>+B12+B14</f>
        <v>27306587.771863122</v>
      </c>
      <c r="C15" s="1">
        <f>+C12+C14</f>
        <v>0</v>
      </c>
      <c r="D15" s="1">
        <f>+D12+D14</f>
        <v>1956022.642221164</v>
      </c>
      <c r="E15" s="1">
        <f>+E12+E14</f>
        <v>12266.966745042948</v>
      </c>
      <c r="G15" s="1">
        <f>+G12+G14</f>
        <v>6211801.8892461564</v>
      </c>
      <c r="H15" s="1">
        <f>+H12+H14</f>
        <v>8015512.9599245172</v>
      </c>
      <c r="I15" s="1">
        <f>+I12+I14</f>
        <v>0</v>
      </c>
      <c r="J15" s="1">
        <f>+J12+J14</f>
        <v>0</v>
      </c>
      <c r="K15" s="1">
        <f>SUM(B15:J15)</f>
        <v>43502192.230000004</v>
      </c>
    </row>
    <row r="17" spans="1:11" x14ac:dyDescent="0.2">
      <c r="A17" t="s">
        <v>6</v>
      </c>
      <c r="B17" s="1">
        <f>B$9/($K$9-$J$9-$I$9-$H$9)*-$H$17</f>
        <v>6167844.1792454477</v>
      </c>
      <c r="C17" s="1">
        <f>C$9/($K$9-$J$9-$I$9-$H$9)*-$H$17</f>
        <v>0</v>
      </c>
      <c r="D17" s="1">
        <f>D$9/($K$9-$J$9-$I$9-$H$9)*-$H$17</f>
        <v>441814.36981765204</v>
      </c>
      <c r="E17" s="1">
        <f>E$9/($K$9-$J$9-$I$9-$H$9)*-$H$17</f>
        <v>2770.7870374551862</v>
      </c>
      <c r="G17" s="1">
        <f>G$9/($K$9-$J$9-$I$9-$H$9)*-$H$17</f>
        <v>1403083.6238239617</v>
      </c>
      <c r="H17" s="1">
        <f>-H15</f>
        <v>-8015512.9599245172</v>
      </c>
      <c r="K17" s="1">
        <v>0</v>
      </c>
    </row>
    <row r="18" spans="1:11" x14ac:dyDescent="0.2">
      <c r="A18" t="s">
        <v>4</v>
      </c>
      <c r="B18" s="1">
        <f>+B15+B17</f>
        <v>33474431.951108567</v>
      </c>
      <c r="C18" s="1">
        <f>+C15+C17</f>
        <v>0</v>
      </c>
      <c r="D18" s="1">
        <f>+D15+D17</f>
        <v>2397837.0120388158</v>
      </c>
      <c r="E18" s="1">
        <f>+E15+E17</f>
        <v>15037.753782498134</v>
      </c>
      <c r="G18" s="1">
        <f>+G15+G17</f>
        <v>7614885.5130701177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43502192.230000004</v>
      </c>
    </row>
    <row r="20" spans="1:11" x14ac:dyDescent="0.2">
      <c r="A20" t="s">
        <v>7</v>
      </c>
      <c r="B20" s="1">
        <f>B$9/($K$9-$J$9-$I$9-$H$9-$G$9)*-$G$20</f>
        <v>7102900.4470401471</v>
      </c>
      <c r="C20" s="1">
        <f>C$9/($K$9-$J$9-$I$9-$H$9-$G$9)*-$G$20</f>
        <v>0</v>
      </c>
      <c r="D20" s="1">
        <f>D$9/($K$9-$J$9-$I$9-$H$9-$G$9)*-$G$20</f>
        <v>508794.22269556636</v>
      </c>
      <c r="E20" s="1">
        <f>E$9/($K$9-$J$9-$I$9-$H$9-$G$9)*-$G$20</f>
        <v>3190.843334404914</v>
      </c>
      <c r="G20" s="1">
        <f>-G18</f>
        <v>-7614885.5130701177</v>
      </c>
      <c r="K20" s="1">
        <f>SUM(B20:J20)</f>
        <v>0</v>
      </c>
    </row>
    <row r="22" spans="1:11" x14ac:dyDescent="0.2">
      <c r="A22" t="s">
        <v>8</v>
      </c>
      <c r="B22" s="1">
        <f>+B20+B18</f>
        <v>40577332.398148715</v>
      </c>
      <c r="C22" s="1">
        <f t="shared" ref="C22:K22" si="3">+C20+C18</f>
        <v>0</v>
      </c>
      <c r="D22" s="1">
        <f t="shared" si="3"/>
        <v>2906631.234734382</v>
      </c>
      <c r="E22" s="1">
        <f t="shared" si="3"/>
        <v>18228.597116903049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43502192.230000004</v>
      </c>
    </row>
    <row r="27" spans="1:11" x14ac:dyDescent="0.2">
      <c r="A27" t="s">
        <v>9</v>
      </c>
      <c r="B27" s="1">
        <f>+B9</f>
        <v>20570617.870000001</v>
      </c>
    </row>
    <row r="28" spans="1:11" x14ac:dyDescent="0.2">
      <c r="A28" t="s">
        <v>10</v>
      </c>
      <c r="B28" s="1">
        <f>+B22-B27</f>
        <v>20006714.528148714</v>
      </c>
    </row>
    <row r="29" spans="1:11" x14ac:dyDescent="0.2">
      <c r="A29" s="29" t="s">
        <v>163</v>
      </c>
      <c r="B29" s="1">
        <v>4059</v>
      </c>
    </row>
    <row r="30" spans="1:11" x14ac:dyDescent="0.2">
      <c r="A30" t="s">
        <v>11</v>
      </c>
      <c r="B30" s="1">
        <f>+B28/B29</f>
        <v>4928.9762326062364</v>
      </c>
    </row>
  </sheetData>
  <phoneticPr fontId="11" type="noConversion"/>
  <pageMargins left="0.64" right="0.51" top="1" bottom="1" header="0.5" footer="0.5"/>
  <pageSetup scale="97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M46"/>
  <sheetViews>
    <sheetView topLeftCell="A5"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Table'!B25</f>
        <v>32384910.280000001</v>
      </c>
      <c r="C9" s="1">
        <f>'Master Expend Table'!C25</f>
        <v>0</v>
      </c>
      <c r="D9" s="1">
        <f>'Master Expend Table'!D25</f>
        <v>878859.47</v>
      </c>
      <c r="E9" s="1">
        <f>'Master Expend Table'!E25</f>
        <v>3261317.39</v>
      </c>
      <c r="G9" s="1">
        <f>'Master Expend Table'!G25</f>
        <v>12547499.039999999</v>
      </c>
      <c r="H9" s="1">
        <f>'Master Expend Table'!H25</f>
        <v>8763276.9900000002</v>
      </c>
      <c r="I9" s="1">
        <f>'Master Expend Table'!I25</f>
        <v>7748749.6500000004</v>
      </c>
      <c r="J9" s="1">
        <f>'Master Expend Table'!J25</f>
        <v>8166978.6900000004</v>
      </c>
      <c r="K9" s="1">
        <f>SUM(B9:J9)</f>
        <v>73751591.510000005</v>
      </c>
    </row>
    <row r="11" spans="1:11" x14ac:dyDescent="0.2">
      <c r="A11" t="s">
        <v>3</v>
      </c>
      <c r="B11" s="1">
        <f>(B9/($K9-$J9))*-$J$11</f>
        <v>4032758.0016400851</v>
      </c>
      <c r="C11" s="1">
        <f t="shared" ref="C11:I11" si="0">(C9/($K9-$J9))*-$J$11</f>
        <v>0</v>
      </c>
      <c r="D11" s="1">
        <f t="shared" si="0"/>
        <v>109440.70955627994</v>
      </c>
      <c r="E11" s="1">
        <f t="shared" si="0"/>
        <v>406118.27195744385</v>
      </c>
      <c r="G11" s="1">
        <f t="shared" si="0"/>
        <v>1562487.7980712221</v>
      </c>
      <c r="H11" s="1">
        <f t="shared" si="0"/>
        <v>1091254.386578802</v>
      </c>
      <c r="I11" s="1">
        <f t="shared" si="0"/>
        <v>964919.52219616622</v>
      </c>
      <c r="J11" s="1">
        <f>-J9</f>
        <v>-8166978.6900000004</v>
      </c>
      <c r="K11" s="1">
        <v>0</v>
      </c>
    </row>
    <row r="12" spans="1:11" x14ac:dyDescent="0.2">
      <c r="A12" t="s">
        <v>4</v>
      </c>
      <c r="B12" s="1">
        <f>+B9+B11</f>
        <v>36417668.281640083</v>
      </c>
      <c r="C12" s="1">
        <f t="shared" ref="C12:J12" si="1">+C9+C11</f>
        <v>0</v>
      </c>
      <c r="D12" s="1">
        <f t="shared" si="1"/>
        <v>988300.17955627991</v>
      </c>
      <c r="E12" s="1">
        <f t="shared" si="1"/>
        <v>3667435.6619574442</v>
      </c>
      <c r="G12" s="1">
        <f t="shared" si="1"/>
        <v>14109986.838071221</v>
      </c>
      <c r="H12" s="1">
        <f t="shared" si="1"/>
        <v>9854531.3765788022</v>
      </c>
      <c r="I12" s="1">
        <f t="shared" si="1"/>
        <v>8713669.1721961666</v>
      </c>
      <c r="J12" s="1">
        <f t="shared" si="1"/>
        <v>0</v>
      </c>
      <c r="K12" s="1">
        <f>SUM(B12:J12)</f>
        <v>73751591.50999999</v>
      </c>
    </row>
    <row r="14" spans="1:11" x14ac:dyDescent="0.2">
      <c r="A14" t="s">
        <v>5</v>
      </c>
      <c r="B14" s="1">
        <f>B$9/($K$9-$J$9-$I$9)*-I14</f>
        <v>4879176.6714316104</v>
      </c>
      <c r="C14" s="1">
        <f t="shared" ref="C14:H14" si="2">C$9/($K$9-$J$9-$I$9)*-$I$14</f>
        <v>0</v>
      </c>
      <c r="D14" s="1">
        <f t="shared" si="2"/>
        <v>132410.76125935616</v>
      </c>
      <c r="E14" s="1">
        <f t="shared" si="2"/>
        <v>491356.73342437396</v>
      </c>
      <c r="G14" s="1">
        <f t="shared" si="2"/>
        <v>1890431.8113423078</v>
      </c>
      <c r="H14" s="1">
        <f t="shared" si="2"/>
        <v>1320293.1947385166</v>
      </c>
      <c r="I14" s="1">
        <f>-I12</f>
        <v>-8713669.1721961666</v>
      </c>
      <c r="K14" s="1">
        <v>0</v>
      </c>
    </row>
    <row r="15" spans="1:11" x14ac:dyDescent="0.2">
      <c r="A15" t="s">
        <v>4</v>
      </c>
      <c r="B15" s="1">
        <f>+B12+B14</f>
        <v>41296844.953071691</v>
      </c>
      <c r="C15" s="1">
        <f>+C12+C14</f>
        <v>0</v>
      </c>
      <c r="D15" s="1">
        <f>+D12+D14</f>
        <v>1120710.940815636</v>
      </c>
      <c r="E15" s="1">
        <f>+E12+E14</f>
        <v>4158792.3953818181</v>
      </c>
      <c r="G15" s="1">
        <f>+G12+G14</f>
        <v>16000418.64941353</v>
      </c>
      <c r="H15" s="1">
        <f>+H12+H14</f>
        <v>11174824.571317319</v>
      </c>
      <c r="I15" s="1">
        <f>+I12+I14</f>
        <v>0</v>
      </c>
      <c r="J15" s="1">
        <f>+J12+J14</f>
        <v>0</v>
      </c>
      <c r="K15" s="1">
        <f>SUM(B15:J15)</f>
        <v>73751591.50999999</v>
      </c>
    </row>
    <row r="17" spans="1:11" x14ac:dyDescent="0.2">
      <c r="A17" t="s">
        <v>6</v>
      </c>
      <c r="B17" s="1">
        <f>B$9/($K$9-$J$9-$I$9-$H$9)*-$H$17</f>
        <v>7374701.8306596773</v>
      </c>
      <c r="C17" s="1">
        <f>C$9/($K$9-$J$9-$I$9-$H$9)*-$H$17</f>
        <v>0</v>
      </c>
      <c r="D17" s="1">
        <f>D$9/($K$9-$J$9-$I$9-$H$9)*-$H$17</f>
        <v>200134.15156207106</v>
      </c>
      <c r="E17" s="1">
        <f>E$9/($K$9-$J$9-$I$9-$H$9)*-$H$17</f>
        <v>742668.20931255142</v>
      </c>
      <c r="G17" s="1">
        <f>G$9/($K$9-$J$9-$I$9-$H$9)*-$H$17</f>
        <v>2857320.3797830171</v>
      </c>
      <c r="H17" s="1">
        <f>-H15</f>
        <v>-11174824.571317319</v>
      </c>
      <c r="K17" s="1">
        <v>0</v>
      </c>
    </row>
    <row r="18" spans="1:11" x14ac:dyDescent="0.2">
      <c r="A18" t="s">
        <v>4</v>
      </c>
      <c r="B18" s="1">
        <f>+B15+B17</f>
        <v>48671546.783731371</v>
      </c>
      <c r="C18" s="1">
        <f>+C15+C17</f>
        <v>0</v>
      </c>
      <c r="D18" s="1">
        <f>+D15+D17</f>
        <v>1320845.0923777069</v>
      </c>
      <c r="E18" s="1">
        <f>+E15+E17</f>
        <v>4901460.6046943692</v>
      </c>
      <c r="G18" s="1">
        <f>+G15+G17</f>
        <v>18857739.029196545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73751591.50999999</v>
      </c>
    </row>
    <row r="20" spans="1:11" x14ac:dyDescent="0.2">
      <c r="A20" t="s">
        <v>7</v>
      </c>
      <c r="B20" s="1">
        <f>B$9/($K$9-$J$9-$I$9-$H$9-$G$9)*-$G$20</f>
        <v>16720184.244964523</v>
      </c>
      <c r="C20" s="1">
        <f>C$9/($K$9-$J$9-$I$9-$H$9-$G$9)*-$G$20</f>
        <v>0</v>
      </c>
      <c r="D20" s="1">
        <f>D$9/($K$9-$J$9-$I$9-$H$9-$G$9)*-$G$20</f>
        <v>453751.21119007369</v>
      </c>
      <c r="E20" s="1">
        <f>E$9/($K$9-$J$9-$I$9-$H$9-$G$9)*-$G$20</f>
        <v>1683803.573041945</v>
      </c>
      <c r="G20" s="1">
        <f>-G18</f>
        <v>-18857739.029196545</v>
      </c>
      <c r="K20" s="1">
        <f>SUM(B20:J20)</f>
        <v>0</v>
      </c>
    </row>
    <row r="22" spans="1:11" x14ac:dyDescent="0.2">
      <c r="A22" t="s">
        <v>8</v>
      </c>
      <c r="B22" s="1">
        <f>+B20+B18</f>
        <v>65391731.028695896</v>
      </c>
      <c r="C22" s="1">
        <f t="shared" ref="C22:K22" si="3">+C20+C18</f>
        <v>0</v>
      </c>
      <c r="D22" s="1">
        <f t="shared" si="3"/>
        <v>1774596.3035677806</v>
      </c>
      <c r="E22" s="1">
        <f t="shared" si="3"/>
        <v>6585264.177736314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73751591.50999999</v>
      </c>
    </row>
    <row r="27" spans="1:11" x14ac:dyDescent="0.2">
      <c r="A27" t="s">
        <v>9</v>
      </c>
      <c r="B27" s="1">
        <f>+B9</f>
        <v>32384910.280000001</v>
      </c>
    </row>
    <row r="28" spans="1:11" x14ac:dyDescent="0.2">
      <c r="A28" t="s">
        <v>10</v>
      </c>
      <c r="B28" s="1">
        <f>+B22-B27</f>
        <v>33006820.748695895</v>
      </c>
    </row>
    <row r="29" spans="1:11" x14ac:dyDescent="0.2">
      <c r="A29" s="29" t="s">
        <v>163</v>
      </c>
      <c r="B29" s="1">
        <v>5297</v>
      </c>
    </row>
    <row r="30" spans="1:11" x14ac:dyDescent="0.2">
      <c r="A30" t="s">
        <v>11</v>
      </c>
      <c r="B30" s="1">
        <f>+B28/B29</f>
        <v>6231.2291388891626</v>
      </c>
    </row>
    <row r="46" spans="13:13" x14ac:dyDescent="0.2">
      <c r="M46" s="29"/>
    </row>
  </sheetData>
  <phoneticPr fontId="0" type="noConversion"/>
  <pageMargins left="0.49" right="0.55000000000000004" top="1" bottom="0.48" header="0.5" footer="0.5"/>
  <pageSetup scale="97" orientation="landscape" horizontalDpi="4294967294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42578125" style="1" customWidth="1"/>
    <col min="8" max="8" width="11.140625" style="1" customWidth="1"/>
    <col min="9" max="9" width="11" style="1" customWidth="1"/>
    <col min="10" max="10" width="11.85546875" style="1" customWidth="1"/>
    <col min="11" max="11" width="14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Table'!B26</f>
        <v>80126057</v>
      </c>
      <c r="C9" s="1">
        <f>'Master Expend Table'!C26</f>
        <v>1123052.76</v>
      </c>
      <c r="D9" s="1">
        <f>'Master Expend Table'!D26</f>
        <v>2232941.42</v>
      </c>
      <c r="E9" s="1">
        <f>'Master Expend Table'!E26</f>
        <v>7216025.5899999999</v>
      </c>
      <c r="G9" s="1">
        <f>'Master Expend Table'!G26</f>
        <v>28291045.120000001</v>
      </c>
      <c r="H9" s="1">
        <f>'Master Expend Table'!H26</f>
        <v>17270957.620000001</v>
      </c>
      <c r="I9" s="1">
        <f>'Master Expend Table'!I26</f>
        <v>20320211.620000001</v>
      </c>
      <c r="J9" s="1">
        <f>'Master Expend Table'!J26</f>
        <v>17753558.559999999</v>
      </c>
      <c r="K9" s="1">
        <f>SUM(B9:J9)</f>
        <v>174333849.69000003</v>
      </c>
    </row>
    <row r="11" spans="1:11" x14ac:dyDescent="0.2">
      <c r="A11" t="s">
        <v>3</v>
      </c>
      <c r="B11" s="1">
        <f>(B9/($K9-$J9))*-$J$11</f>
        <v>9084940.6069270577</v>
      </c>
      <c r="C11" s="1">
        <f t="shared" ref="C11:I11" si="0">(C9/($K9-$J9))*-$J$11</f>
        <v>127335.20161918747</v>
      </c>
      <c r="D11" s="1">
        <f t="shared" si="0"/>
        <v>253177.81679244951</v>
      </c>
      <c r="E11" s="1">
        <f t="shared" si="0"/>
        <v>818175.33968027134</v>
      </c>
      <c r="G11" s="1">
        <f t="shared" si="0"/>
        <v>3207726.3532772316</v>
      </c>
      <c r="H11" s="1">
        <f t="shared" si="0"/>
        <v>1958234.6876554065</v>
      </c>
      <c r="I11" s="1">
        <f t="shared" si="0"/>
        <v>2303968.5540483925</v>
      </c>
      <c r="J11" s="1">
        <f>-J9</f>
        <v>-17753558.559999999</v>
      </c>
      <c r="K11" s="1">
        <v>0</v>
      </c>
    </row>
    <row r="12" spans="1:11" x14ac:dyDescent="0.2">
      <c r="A12" t="s">
        <v>4</v>
      </c>
      <c r="B12" s="1">
        <f>+B9+B11</f>
        <v>89210997.606927052</v>
      </c>
      <c r="C12" s="1">
        <f t="shared" ref="C12:J12" si="1">+C9+C11</f>
        <v>1250387.9616191874</v>
      </c>
      <c r="D12" s="1">
        <f t="shared" si="1"/>
        <v>2486119.2367924494</v>
      </c>
      <c r="E12" s="1">
        <f t="shared" si="1"/>
        <v>8034200.9296802711</v>
      </c>
      <c r="G12" s="1">
        <f t="shared" si="1"/>
        <v>31498771.473277234</v>
      </c>
      <c r="H12" s="1">
        <f t="shared" si="1"/>
        <v>19229192.307655409</v>
      </c>
      <c r="I12" s="1">
        <f t="shared" si="1"/>
        <v>22624180.174048394</v>
      </c>
      <c r="J12" s="1">
        <f t="shared" si="1"/>
        <v>0</v>
      </c>
      <c r="K12" s="1">
        <f>SUM(B12:J12)</f>
        <v>174333849.68999997</v>
      </c>
    </row>
    <row r="14" spans="1:11" x14ac:dyDescent="0.2">
      <c r="A14" t="s">
        <v>5</v>
      </c>
      <c r="B14" s="1">
        <f>B$9/($K$9-$J$9-$I$9)*-I14</f>
        <v>13303869.752043059</v>
      </c>
      <c r="C14" s="1">
        <f t="shared" ref="C14:H14" si="2">C$9/($K$9-$J$9-$I$9)*-$I$14</f>
        <v>186468.02554770009</v>
      </c>
      <c r="D14" s="1">
        <f t="shared" si="2"/>
        <v>370750.32677100383</v>
      </c>
      <c r="E14" s="1">
        <f t="shared" si="2"/>
        <v>1198125.4060307706</v>
      </c>
      <c r="G14" s="1">
        <f t="shared" si="2"/>
        <v>4697353.0648794239</v>
      </c>
      <c r="H14" s="1">
        <f t="shared" si="2"/>
        <v>2867613.5987764332</v>
      </c>
      <c r="I14" s="1">
        <f>-I12</f>
        <v>-22624180.174048394</v>
      </c>
      <c r="K14" s="1">
        <v>0</v>
      </c>
    </row>
    <row r="15" spans="1:11" x14ac:dyDescent="0.2">
      <c r="A15" t="s">
        <v>4</v>
      </c>
      <c r="B15" s="1">
        <f>+B12+B14</f>
        <v>102514867.35897011</v>
      </c>
      <c r="C15" s="1">
        <f>+C12+C14</f>
        <v>1436855.9871668874</v>
      </c>
      <c r="D15" s="1">
        <f>+D12+D14</f>
        <v>2856869.563563453</v>
      </c>
      <c r="E15" s="1">
        <f>+E12+E14</f>
        <v>9232326.3357110415</v>
      </c>
      <c r="G15" s="1">
        <f>+G12+G14</f>
        <v>36196124.538156658</v>
      </c>
      <c r="H15" s="1">
        <f>+H12+H14</f>
        <v>22096805.906431843</v>
      </c>
      <c r="I15" s="1">
        <f>+I12+I14</f>
        <v>0</v>
      </c>
      <c r="J15" s="1">
        <f>+J12+J14</f>
        <v>0</v>
      </c>
      <c r="K15" s="1">
        <f>SUM(B15:J15)</f>
        <v>174333849.69</v>
      </c>
    </row>
    <row r="17" spans="1:11" x14ac:dyDescent="0.2">
      <c r="A17" t="s">
        <v>6</v>
      </c>
      <c r="B17" s="1">
        <f>B$9/($K$9-$J$9-$I$9-$H$9)*-$H$17</f>
        <v>14879762.968697829</v>
      </c>
      <c r="C17" s="1">
        <f>C$9/($K$9-$J$9-$I$9-$H$9)*-$H$17</f>
        <v>208555.86179838964</v>
      </c>
      <c r="D17" s="1">
        <f>D$9/($K$9-$J$9-$I$9-$H$9)*-$H$17</f>
        <v>414667.09203708282</v>
      </c>
      <c r="E17" s="1">
        <f>E$9/($K$9-$J$9-$I$9-$H$9)*-$H$17</f>
        <v>1340047.8492939931</v>
      </c>
      <c r="G17" s="1">
        <f>G$9/($K$9-$J$9-$I$9-$H$9)*-$H$17</f>
        <v>5253772.1346045444</v>
      </c>
      <c r="H17" s="1">
        <f>-H15</f>
        <v>-22096805.906431843</v>
      </c>
      <c r="K17" s="1">
        <v>0</v>
      </c>
    </row>
    <row r="18" spans="1:11" x14ac:dyDescent="0.2">
      <c r="A18" t="s">
        <v>4</v>
      </c>
      <c r="B18" s="1">
        <f>+B15+B17</f>
        <v>117394630.32766794</v>
      </c>
      <c r="C18" s="1">
        <f>+C15+C17</f>
        <v>1645411.848965277</v>
      </c>
      <c r="D18" s="1">
        <f>+D15+D17</f>
        <v>3271536.6556005357</v>
      </c>
      <c r="E18" s="1">
        <f>+E15+E17</f>
        <v>10572374.185005035</v>
      </c>
      <c r="G18" s="1">
        <f>+G15+G17</f>
        <v>41449896.672761202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174333849.69</v>
      </c>
    </row>
    <row r="20" spans="1:11" x14ac:dyDescent="0.2">
      <c r="A20" t="s">
        <v>7</v>
      </c>
      <c r="B20" s="1">
        <f>B$9/($K$9-$J$9-$I$9-$H$9-$G$9)*-$G$20</f>
        <v>36618381.576800153</v>
      </c>
      <c r="C20" s="1">
        <f>C$9/($K$9-$J$9-$I$9-$H$9-$G$9)*-$G$20</f>
        <v>513245.95314304018</v>
      </c>
      <c r="D20" s="1">
        <f>D$9/($K$9-$J$9-$I$9-$H$9-$G$9)*-$G$20</f>
        <v>1020475.7855013629</v>
      </c>
      <c r="E20" s="1">
        <f>E$9/($K$9-$J$9-$I$9-$H$9-$G$9)*-$G$20</f>
        <v>3297793.3573166397</v>
      </c>
      <c r="G20" s="1">
        <f>-G18</f>
        <v>-41449896.672761202</v>
      </c>
      <c r="K20" s="1">
        <f>SUM(B20:J20)</f>
        <v>0</v>
      </c>
    </row>
    <row r="22" spans="1:11" x14ac:dyDescent="0.2">
      <c r="A22" t="s">
        <v>8</v>
      </c>
      <c r="B22" s="1">
        <f>+B20+B18</f>
        <v>154013011.90446809</v>
      </c>
      <c r="C22" s="1">
        <f t="shared" ref="C22:K22" si="3">+C20+C18</f>
        <v>2158657.8021083171</v>
      </c>
      <c r="D22" s="1">
        <f t="shared" si="3"/>
        <v>4292012.4411018984</v>
      </c>
      <c r="E22" s="1">
        <f t="shared" si="3"/>
        <v>13870167.542321675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174333849.69</v>
      </c>
    </row>
    <row r="27" spans="1:11" x14ac:dyDescent="0.2">
      <c r="A27" t="s">
        <v>9</v>
      </c>
      <c r="B27" s="1">
        <f>+B9</f>
        <v>80126057</v>
      </c>
    </row>
    <row r="28" spans="1:11" x14ac:dyDescent="0.2">
      <c r="A28" t="s">
        <v>10</v>
      </c>
      <c r="B28" s="1">
        <f>+B22-B27</f>
        <v>73886954.904468089</v>
      </c>
    </row>
    <row r="29" spans="1:11" x14ac:dyDescent="0.2">
      <c r="A29" s="29" t="s">
        <v>163</v>
      </c>
      <c r="B29" s="1">
        <v>13456</v>
      </c>
    </row>
    <row r="30" spans="1:11" x14ac:dyDescent="0.2">
      <c r="A30" t="s">
        <v>11</v>
      </c>
      <c r="B30" s="1">
        <f>+B28/B29</f>
        <v>5491.0043775615404</v>
      </c>
    </row>
  </sheetData>
  <phoneticPr fontId="0" type="noConversion"/>
  <pageMargins left="0.52" right="0.55000000000000004" top="1" bottom="1" header="0.5" footer="0.5"/>
  <pageSetup scale="97" orientation="landscape" horizontalDpi="4294967294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Table'!B27</f>
        <v>10120160.359999999</v>
      </c>
      <c r="C9" s="1">
        <f>'Master Expend Table'!C27</f>
        <v>0</v>
      </c>
      <c r="D9" s="1">
        <f>'Master Expend Table'!D27</f>
        <v>1296812.06</v>
      </c>
      <c r="E9" s="1">
        <f>'Master Expend Table'!E27</f>
        <v>275385.67</v>
      </c>
      <c r="G9" s="1">
        <f>'Master Expend Table'!G27</f>
        <v>2788448.25</v>
      </c>
      <c r="H9" s="1">
        <f>'Master Expend Table'!H27</f>
        <v>3189773.84</v>
      </c>
      <c r="I9" s="1">
        <f>'Master Expend Table'!I27</f>
        <v>2920059.35</v>
      </c>
      <c r="J9" s="1">
        <f>'Master Expend Table'!J27</f>
        <v>2324604.34</v>
      </c>
      <c r="K9" s="1">
        <f>SUM(B9:J9)</f>
        <v>22915243.870000001</v>
      </c>
    </row>
    <row r="11" spans="1:11" x14ac:dyDescent="0.2">
      <c r="A11" t="s">
        <v>3</v>
      </c>
      <c r="B11" s="1">
        <f>(B9/($K9-$J9))*-$J$11</f>
        <v>1142527.3440427207</v>
      </c>
      <c r="C11" s="1">
        <f t="shared" ref="C11:I11" si="0">(C9/($K9-$J9))*-$J$11</f>
        <v>0</v>
      </c>
      <c r="D11" s="1">
        <f t="shared" si="0"/>
        <v>146405.11473420661</v>
      </c>
      <c r="E11" s="1">
        <f t="shared" si="0"/>
        <v>31089.987405350286</v>
      </c>
      <c r="G11" s="1">
        <f t="shared" si="0"/>
        <v>314805.12756154325</v>
      </c>
      <c r="H11" s="1">
        <f t="shared" si="0"/>
        <v>360113.2495801826</v>
      </c>
      <c r="I11" s="1">
        <f t="shared" si="0"/>
        <v>329663.51667599607</v>
      </c>
      <c r="J11" s="1">
        <f>-J9</f>
        <v>-2324604.34</v>
      </c>
      <c r="K11" s="1">
        <v>0</v>
      </c>
    </row>
    <row r="12" spans="1:11" x14ac:dyDescent="0.2">
      <c r="A12" t="s">
        <v>4</v>
      </c>
      <c r="B12" s="1">
        <f>+B9+B11</f>
        <v>11262687.70404272</v>
      </c>
      <c r="C12" s="1">
        <f t="shared" ref="C12:J12" si="1">+C9+C11</f>
        <v>0</v>
      </c>
      <c r="D12" s="1">
        <f t="shared" si="1"/>
        <v>1443217.1747342066</v>
      </c>
      <c r="E12" s="1">
        <f t="shared" si="1"/>
        <v>306475.65740535024</v>
      </c>
      <c r="G12" s="1">
        <f t="shared" si="1"/>
        <v>3103253.3775615431</v>
      </c>
      <c r="H12" s="1">
        <f t="shared" si="1"/>
        <v>3549887.0895801825</v>
      </c>
      <c r="I12" s="1">
        <f t="shared" si="1"/>
        <v>3249722.8666759962</v>
      </c>
      <c r="J12" s="1">
        <f t="shared" si="1"/>
        <v>0</v>
      </c>
      <c r="K12" s="1">
        <f>SUM(B12:J12)</f>
        <v>22915243.869999997</v>
      </c>
    </row>
    <row r="14" spans="1:11" x14ac:dyDescent="0.2">
      <c r="A14" t="s">
        <v>5</v>
      </c>
      <c r="B14" s="1">
        <f>B$9/($K$9-$J$9-$I$9)*-I14</f>
        <v>1861156.5778436132</v>
      </c>
      <c r="C14" s="1">
        <f t="shared" ref="C14:H14" si="2">C$9/($K$9-$J$9-$I$9)*-$I$14</f>
        <v>0</v>
      </c>
      <c r="D14" s="1">
        <f t="shared" si="2"/>
        <v>238491.30941003459</v>
      </c>
      <c r="E14" s="1">
        <f t="shared" si="2"/>
        <v>50645.032581714011</v>
      </c>
      <c r="G14" s="1">
        <f t="shared" si="2"/>
        <v>512811.91382860782</v>
      </c>
      <c r="H14" s="1">
        <f t="shared" si="2"/>
        <v>586618.03301202646</v>
      </c>
      <c r="I14" s="1">
        <f>-I12</f>
        <v>-3249722.8666759962</v>
      </c>
      <c r="K14" s="1">
        <v>0</v>
      </c>
    </row>
    <row r="15" spans="1:11" x14ac:dyDescent="0.2">
      <c r="A15" t="s">
        <v>4</v>
      </c>
      <c r="B15" s="1">
        <f>+B12+B14</f>
        <v>13123844.281886334</v>
      </c>
      <c r="C15" s="1">
        <f>+C12+C14</f>
        <v>0</v>
      </c>
      <c r="D15" s="1">
        <f>+D12+D14</f>
        <v>1681708.4841442413</v>
      </c>
      <c r="E15" s="1">
        <f>+E12+E14</f>
        <v>357120.68998706422</v>
      </c>
      <c r="G15" s="1">
        <f>+G12+G14</f>
        <v>3616065.2913901508</v>
      </c>
      <c r="H15" s="1">
        <f>+H12+H14</f>
        <v>4136505.1225922089</v>
      </c>
      <c r="I15" s="1">
        <f>+I12+I14</f>
        <v>0</v>
      </c>
      <c r="J15" s="1">
        <f>+J12+J14</f>
        <v>0</v>
      </c>
      <c r="K15" s="1">
        <f>SUM(B15:J15)</f>
        <v>22915243.869999997</v>
      </c>
    </row>
    <row r="17" spans="1:11" x14ac:dyDescent="0.2">
      <c r="A17" t="s">
        <v>6</v>
      </c>
      <c r="B17" s="1">
        <f>B$9/($K$9-$J$9-$I$9-$H$9)*-$H$17</f>
        <v>2890867.6898025977</v>
      </c>
      <c r="C17" s="1">
        <f>C$9/($K$9-$J$9-$I$9-$H$9)*-$H$17</f>
        <v>0</v>
      </c>
      <c r="D17" s="1">
        <f>D$9/($K$9-$J$9-$I$9-$H$9)*-$H$17</f>
        <v>370439.98816638789</v>
      </c>
      <c r="E17" s="1">
        <f>E$9/($K$9-$J$9-$I$9-$H$9)*-$H$17</f>
        <v>78665.110760916898</v>
      </c>
      <c r="G17" s="1">
        <f>G$9/($K$9-$J$9-$I$9-$H$9)*-$H$17</f>
        <v>796532.3338623062</v>
      </c>
      <c r="H17" s="1">
        <f>-H15</f>
        <v>-4136505.1225922089</v>
      </c>
      <c r="K17" s="1">
        <v>0</v>
      </c>
    </row>
    <row r="18" spans="1:11" x14ac:dyDescent="0.2">
      <c r="A18" t="s">
        <v>4</v>
      </c>
      <c r="B18" s="1">
        <f>+B15+B17</f>
        <v>16014711.971688932</v>
      </c>
      <c r="C18" s="1">
        <f>+C15+C17</f>
        <v>0</v>
      </c>
      <c r="D18" s="1">
        <f>+D15+D17</f>
        <v>2052148.4723106292</v>
      </c>
      <c r="E18" s="1">
        <f>+E15+E17</f>
        <v>435785.80074798112</v>
      </c>
      <c r="G18" s="1">
        <f>+G15+G17</f>
        <v>4412597.6252524573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22915243.869999997</v>
      </c>
    </row>
    <row r="20" spans="1:11" x14ac:dyDescent="0.2">
      <c r="A20" t="s">
        <v>7</v>
      </c>
      <c r="B20" s="1">
        <f>B$9/($K$9-$J$9-$I$9-$H$9-$G$9)*-$G$20</f>
        <v>3819263.4221408842</v>
      </c>
      <c r="C20" s="1">
        <f>C$9/($K$9-$J$9-$I$9-$H$9-$G$9)*-$G$20</f>
        <v>0</v>
      </c>
      <c r="D20" s="1">
        <f>D$9/($K$9-$J$9-$I$9-$H$9-$G$9)*-$G$20</f>
        <v>489405.96689805517</v>
      </c>
      <c r="E20" s="1">
        <f>E$9/($K$9-$J$9-$I$9-$H$9-$G$9)*-$G$20</f>
        <v>103928.23621351788</v>
      </c>
      <c r="G20" s="1">
        <f>-G18</f>
        <v>-4412597.6252524573</v>
      </c>
      <c r="K20" s="1">
        <f>SUM(B20:J20)</f>
        <v>0</v>
      </c>
    </row>
    <row r="22" spans="1:11" x14ac:dyDescent="0.2">
      <c r="A22" t="s">
        <v>8</v>
      </c>
      <c r="B22" s="1">
        <f>+B20+B18</f>
        <v>19833975.393829815</v>
      </c>
      <c r="C22" s="1">
        <f t="shared" ref="C22:K22" si="3">+C20+C18</f>
        <v>0</v>
      </c>
      <c r="D22" s="1">
        <f t="shared" si="3"/>
        <v>2541554.4392086845</v>
      </c>
      <c r="E22" s="1">
        <f t="shared" si="3"/>
        <v>539714.03696149902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22915243.869999997</v>
      </c>
    </row>
    <row r="27" spans="1:11" x14ac:dyDescent="0.2">
      <c r="A27" t="s">
        <v>9</v>
      </c>
      <c r="B27" s="1">
        <f>+B9</f>
        <v>10120160.359999999</v>
      </c>
    </row>
    <row r="28" spans="1:11" x14ac:dyDescent="0.2">
      <c r="A28" t="s">
        <v>10</v>
      </c>
      <c r="B28" s="1">
        <f>+B22-B27</f>
        <v>9713815.0338298157</v>
      </c>
    </row>
    <row r="29" spans="1:11" x14ac:dyDescent="0.2">
      <c r="A29" s="29" t="s">
        <v>163</v>
      </c>
      <c r="B29" s="1">
        <v>1917</v>
      </c>
    </row>
    <row r="30" spans="1:11" x14ac:dyDescent="0.2">
      <c r="A30" t="s">
        <v>11</v>
      </c>
      <c r="B30" s="1">
        <f>+B28/B29</f>
        <v>5067.1961574490433</v>
      </c>
    </row>
  </sheetData>
  <phoneticPr fontId="0" type="noConversion"/>
  <pageMargins left="0.44" right="0.55000000000000004" top="1" bottom="0.53" header="0.5" footer="0.5"/>
  <pageSetup scale="97" orientation="landscape" horizontalDpi="4294967294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Table'!B29</f>
        <v>28802114.050000001</v>
      </c>
      <c r="C9" s="1">
        <f>'Master Expend Table'!C29</f>
        <v>4652.2</v>
      </c>
      <c r="D9" s="1">
        <f>'Master Expend Table'!D29</f>
        <v>1133248.32</v>
      </c>
      <c r="E9" s="1">
        <f>'Master Expend Table'!E29</f>
        <v>0</v>
      </c>
      <c r="G9" s="1">
        <f>'Master Expend Table'!G29</f>
        <v>10991202.66</v>
      </c>
      <c r="H9" s="1">
        <f>'Master Expend Table'!H29</f>
        <v>5280799.18</v>
      </c>
      <c r="I9" s="1">
        <f>'Master Expend Table'!I29</f>
        <v>8650105.1799999997</v>
      </c>
      <c r="J9" s="1">
        <f>'Master Expend Table'!J29</f>
        <v>5457315.7400000002</v>
      </c>
      <c r="K9" s="1">
        <f>SUM(B9:J9)</f>
        <v>60319437.330000006</v>
      </c>
    </row>
    <row r="11" spans="1:11" x14ac:dyDescent="0.2">
      <c r="A11" t="s">
        <v>3</v>
      </c>
      <c r="B11" s="1">
        <f>(B9/($K9-$J9))*-$J$11</f>
        <v>2865041.0482665435</v>
      </c>
      <c r="C11" s="1">
        <f t="shared" ref="C11:I11" si="0">(C9/($K9-$J9))*-$J$11</f>
        <v>462.7696405064965</v>
      </c>
      <c r="D11" s="1">
        <f t="shared" si="0"/>
        <v>112727.93896457399</v>
      </c>
      <c r="E11" s="1">
        <f t="shared" si="0"/>
        <v>0</v>
      </c>
      <c r="G11" s="1">
        <f t="shared" si="0"/>
        <v>1093331.0914625872</v>
      </c>
      <c r="H11" s="1">
        <f t="shared" si="0"/>
        <v>525298.46913623693</v>
      </c>
      <c r="I11" s="1">
        <f t="shared" si="0"/>
        <v>860454.42252955225</v>
      </c>
      <c r="J11" s="1">
        <f>-J9</f>
        <v>-5457315.7400000002</v>
      </c>
      <c r="K11" s="1">
        <v>0</v>
      </c>
    </row>
    <row r="12" spans="1:11" x14ac:dyDescent="0.2">
      <c r="A12" t="s">
        <v>4</v>
      </c>
      <c r="B12" s="1">
        <f>+B9+B11</f>
        <v>31667155.098266546</v>
      </c>
      <c r="C12" s="1">
        <f t="shared" ref="C12:J12" si="1">+C9+C11</f>
        <v>5114.969640506496</v>
      </c>
      <c r="D12" s="1">
        <f t="shared" si="1"/>
        <v>1245976.258964574</v>
      </c>
      <c r="E12" s="1">
        <f t="shared" si="1"/>
        <v>0</v>
      </c>
      <c r="G12" s="1">
        <f t="shared" si="1"/>
        <v>12084533.751462588</v>
      </c>
      <c r="H12" s="1">
        <f t="shared" si="1"/>
        <v>5806097.6491362369</v>
      </c>
      <c r="I12" s="1">
        <f t="shared" si="1"/>
        <v>9510559.6025295518</v>
      </c>
      <c r="J12" s="1">
        <f t="shared" si="1"/>
        <v>0</v>
      </c>
      <c r="K12" s="1">
        <f>SUM(B12:J12)</f>
        <v>60319437.329999998</v>
      </c>
    </row>
    <row r="14" spans="1:11" x14ac:dyDescent="0.2">
      <c r="A14" t="s">
        <v>5</v>
      </c>
      <c r="B14" s="1">
        <f>B$9/($K$9-$J$9-$I$9)*-I14</f>
        <v>5927553.9920414137</v>
      </c>
      <c r="C14" s="1">
        <f t="shared" ref="C14:H14" si="2">C$9/($K$9-$J$9-$I$9)*-$I$14</f>
        <v>957.43550747362792</v>
      </c>
      <c r="D14" s="1">
        <f t="shared" si="2"/>
        <v>233225.60946494917</v>
      </c>
      <c r="E14" s="1">
        <f t="shared" si="2"/>
        <v>0</v>
      </c>
      <c r="G14" s="1">
        <f t="shared" si="2"/>
        <v>2262019.624376121</v>
      </c>
      <c r="H14" s="1">
        <f t="shared" si="2"/>
        <v>1086802.941139594</v>
      </c>
      <c r="I14" s="1">
        <f>-I12</f>
        <v>-9510559.6025295518</v>
      </c>
      <c r="K14" s="1">
        <v>0</v>
      </c>
    </row>
    <row r="15" spans="1:11" x14ac:dyDescent="0.2">
      <c r="A15" t="s">
        <v>4</v>
      </c>
      <c r="B15" s="1">
        <f>+B12+B14</f>
        <v>37594709.090307958</v>
      </c>
      <c r="C15" s="1">
        <f>+C12+C14</f>
        <v>6072.4051479801237</v>
      </c>
      <c r="D15" s="1">
        <f>+D12+D14</f>
        <v>1479201.8684295232</v>
      </c>
      <c r="E15" s="1">
        <f>+E12+E14</f>
        <v>0</v>
      </c>
      <c r="G15" s="1">
        <f>+G12+G14</f>
        <v>14346553.375838708</v>
      </c>
      <c r="H15" s="1">
        <f>+H12+H14</f>
        <v>6892900.5902758306</v>
      </c>
      <c r="I15" s="1">
        <f>+I12+I14</f>
        <v>0</v>
      </c>
      <c r="J15" s="1">
        <f>+J12+J14</f>
        <v>0</v>
      </c>
      <c r="K15" s="1">
        <f>SUM(B15:J15)</f>
        <v>60319437.330000006</v>
      </c>
    </row>
    <row r="17" spans="1:11" x14ac:dyDescent="0.2">
      <c r="A17" t="s">
        <v>6</v>
      </c>
      <c r="B17" s="1">
        <f>B$9/($K$9-$J$9-$I$9-$H$9)*-$H$17</f>
        <v>4850334.8390755095</v>
      </c>
      <c r="C17" s="1">
        <f>C$9/($K$9-$J$9-$I$9-$H$9)*-$H$17</f>
        <v>783.43998288372472</v>
      </c>
      <c r="D17" s="1">
        <f>D$9/($K$9-$J$9-$I$9-$H$9)*-$H$17</f>
        <v>190841.33193409781</v>
      </c>
      <c r="E17" s="1">
        <f>E$9/($K$9-$J$9-$I$9-$H$9)*-$H$17</f>
        <v>0</v>
      </c>
      <c r="G17" s="1">
        <f>G$9/($K$9-$J$9-$I$9-$H$9)*-$H$17</f>
        <v>1850940.9792833391</v>
      </c>
      <c r="H17" s="1">
        <f>-H15</f>
        <v>-6892900.5902758306</v>
      </c>
      <c r="K17" s="1">
        <v>0</v>
      </c>
    </row>
    <row r="18" spans="1:11" x14ac:dyDescent="0.2">
      <c r="A18" t="s">
        <v>4</v>
      </c>
      <c r="B18" s="1">
        <f>+B15+B17</f>
        <v>42445043.929383472</v>
      </c>
      <c r="C18" s="1">
        <f>+C15+C17</f>
        <v>6855.8451308638487</v>
      </c>
      <c r="D18" s="1">
        <f>+D15+D17</f>
        <v>1670043.2003636211</v>
      </c>
      <c r="E18" s="1">
        <f>+E15+E17</f>
        <v>0</v>
      </c>
      <c r="G18" s="1">
        <f>+G15+G17</f>
        <v>16197494.355122047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60319437.329999998</v>
      </c>
    </row>
    <row r="20" spans="1:11" x14ac:dyDescent="0.2">
      <c r="A20" t="s">
        <v>7</v>
      </c>
      <c r="B20" s="1">
        <f>B$9/($K$9-$J$9-$I$9-$H$9-$G$9)*-$G$20</f>
        <v>15581892.208159214</v>
      </c>
      <c r="C20" s="1">
        <f>C$9/($K$9-$J$9-$I$9-$H$9-$G$9)*-$G$20</f>
        <v>2516.8318827207158</v>
      </c>
      <c r="D20" s="1">
        <f>D$9/($K$9-$J$9-$I$9-$H$9-$G$9)*-$G$20</f>
        <v>613085.31508011022</v>
      </c>
      <c r="E20" s="1">
        <f>E$9/($K$9-$J$9-$I$9-$H$9-$G$9)*-$G$20</f>
        <v>0</v>
      </c>
      <c r="G20" s="1">
        <f>-G18</f>
        <v>-16197494.355122047</v>
      </c>
      <c r="K20" s="1">
        <f>SUM(B20:J20)</f>
        <v>0</v>
      </c>
    </row>
    <row r="22" spans="1:11" x14ac:dyDescent="0.2">
      <c r="A22" t="s">
        <v>8</v>
      </c>
      <c r="B22" s="1">
        <f>+B20+B18</f>
        <v>58026936.137542687</v>
      </c>
      <c r="C22" s="1">
        <f t="shared" ref="C22:K22" si="3">+C20+C18</f>
        <v>9372.6770135845654</v>
      </c>
      <c r="D22" s="1">
        <f t="shared" si="3"/>
        <v>2283128.5154437311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60319437.329999998</v>
      </c>
    </row>
    <row r="27" spans="1:11" x14ac:dyDescent="0.2">
      <c r="A27" t="s">
        <v>9</v>
      </c>
      <c r="B27" s="1">
        <f>+B9</f>
        <v>28802114.050000001</v>
      </c>
    </row>
    <row r="28" spans="1:11" x14ac:dyDescent="0.2">
      <c r="A28" t="s">
        <v>10</v>
      </c>
      <c r="B28" s="1">
        <f>+B22-B27</f>
        <v>29224822.087542687</v>
      </c>
    </row>
    <row r="29" spans="1:11" x14ac:dyDescent="0.2">
      <c r="A29" s="29" t="s">
        <v>163</v>
      </c>
      <c r="B29" s="1">
        <v>6843</v>
      </c>
    </row>
    <row r="30" spans="1:11" x14ac:dyDescent="0.2">
      <c r="A30" t="s">
        <v>11</v>
      </c>
      <c r="B30" s="1">
        <f>+B28/B29</f>
        <v>4270.7616670382413</v>
      </c>
    </row>
  </sheetData>
  <phoneticPr fontId="0" type="noConversion"/>
  <pageMargins left="0.54" right="0.55000000000000004" top="1" bottom="0.57999999999999996" header="0.5" footer="0.5"/>
  <pageSetup scale="97" orientation="landscape" horizontalDpi="4294967294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Table'!B30</f>
        <v>18767464.48</v>
      </c>
      <c r="C9" s="1">
        <f>'Master Expend Table'!C30</f>
        <v>77.459999999999994</v>
      </c>
      <c r="D9" s="1">
        <f>'Master Expend Table'!D30</f>
        <v>0</v>
      </c>
      <c r="E9" s="1">
        <f>'Master Expend Table'!E30</f>
        <v>0</v>
      </c>
      <c r="G9" s="1">
        <f>'Master Expend Table'!G30</f>
        <v>6111997.2300000004</v>
      </c>
      <c r="H9" s="1">
        <f>'Master Expend Table'!H30</f>
        <v>4487258.07</v>
      </c>
      <c r="I9" s="1">
        <f>'Master Expend Table'!I30</f>
        <v>5296794.9800000004</v>
      </c>
      <c r="J9" s="1">
        <f>'Master Expend Table'!J30</f>
        <v>4671510.3600000003</v>
      </c>
      <c r="K9" s="1">
        <f>SUM(B9:J9)</f>
        <v>39335102.579999998</v>
      </c>
    </row>
    <row r="11" spans="1:11" x14ac:dyDescent="0.2">
      <c r="A11" t="s">
        <v>3</v>
      </c>
      <c r="B11" s="1">
        <f>(B9/($K9-$J9))*-$J$11</f>
        <v>2529235.9831843195</v>
      </c>
      <c r="C11" s="1">
        <f t="shared" ref="C11:I11" si="0">(C9/($K9-$J9))*-$J$11</f>
        <v>10.439056350219204</v>
      </c>
      <c r="D11" s="1">
        <f t="shared" si="0"/>
        <v>0</v>
      </c>
      <c r="E11" s="1">
        <f t="shared" si="0"/>
        <v>0</v>
      </c>
      <c r="G11" s="1">
        <f t="shared" si="0"/>
        <v>823695.88815328805</v>
      </c>
      <c r="H11" s="1">
        <f t="shared" si="0"/>
        <v>604734.57075530442</v>
      </c>
      <c r="I11" s="1">
        <f t="shared" si="0"/>
        <v>713833.47885073861</v>
      </c>
      <c r="J11" s="1">
        <f>-J9</f>
        <v>-4671510.3600000003</v>
      </c>
      <c r="K11" s="1">
        <v>0</v>
      </c>
    </row>
    <row r="12" spans="1:11" x14ac:dyDescent="0.2">
      <c r="A12" t="s">
        <v>4</v>
      </c>
      <c r="B12" s="1">
        <f>+B9+B11</f>
        <v>21296700.463184319</v>
      </c>
      <c r="C12" s="1">
        <f t="shared" ref="C12:J12" si="1">+C9+C11</f>
        <v>87.899056350219197</v>
      </c>
      <c r="D12" s="1">
        <f t="shared" si="1"/>
        <v>0</v>
      </c>
      <c r="E12" s="1">
        <f t="shared" si="1"/>
        <v>0</v>
      </c>
      <c r="G12" s="1">
        <f t="shared" si="1"/>
        <v>6935693.118153289</v>
      </c>
      <c r="H12" s="1">
        <f t="shared" si="1"/>
        <v>5091992.6407553051</v>
      </c>
      <c r="I12" s="1">
        <f t="shared" si="1"/>
        <v>6010628.4588507395</v>
      </c>
      <c r="J12" s="1">
        <f t="shared" si="1"/>
        <v>0</v>
      </c>
      <c r="K12" s="1">
        <f>SUM(B12:J12)</f>
        <v>39335102.580000006</v>
      </c>
    </row>
    <row r="14" spans="1:11" x14ac:dyDescent="0.2">
      <c r="A14" t="s">
        <v>5</v>
      </c>
      <c r="B14" s="1">
        <f>B$9/($K$9-$J$9-$I$9)*-I14</f>
        <v>3841217.5213410645</v>
      </c>
      <c r="C14" s="1">
        <f t="shared" ref="C14:H14" si="2">C$9/($K$9-$J$9-$I$9)*-$I$14</f>
        <v>15.854070725438708</v>
      </c>
      <c r="D14" s="1">
        <f t="shared" si="2"/>
        <v>0</v>
      </c>
      <c r="E14" s="1">
        <f t="shared" si="2"/>
        <v>0</v>
      </c>
      <c r="G14" s="1">
        <f t="shared" si="2"/>
        <v>1250968.7110522268</v>
      </c>
      <c r="H14" s="1">
        <f t="shared" si="2"/>
        <v>918426.37238672364</v>
      </c>
      <c r="I14" s="1">
        <f>-I12</f>
        <v>-6010628.4588507395</v>
      </c>
      <c r="K14" s="1">
        <v>0</v>
      </c>
    </row>
    <row r="15" spans="1:11" x14ac:dyDescent="0.2">
      <c r="A15" t="s">
        <v>4</v>
      </c>
      <c r="B15" s="1">
        <f>+B12+B14</f>
        <v>25137917.984525383</v>
      </c>
      <c r="C15" s="1">
        <f>+C12+C14</f>
        <v>103.7531270756579</v>
      </c>
      <c r="D15" s="1">
        <f>+D12+D14</f>
        <v>0</v>
      </c>
      <c r="E15" s="1">
        <f>+E12+E14</f>
        <v>0</v>
      </c>
      <c r="G15" s="1">
        <f>+G12+G14</f>
        <v>8186661.8292055158</v>
      </c>
      <c r="H15" s="1">
        <f>+H12+H14</f>
        <v>6010419.0131420288</v>
      </c>
      <c r="I15" s="1">
        <f>+I12+I14</f>
        <v>0</v>
      </c>
      <c r="J15" s="1">
        <f>+J12+J14</f>
        <v>0</v>
      </c>
      <c r="K15" s="1">
        <f>SUM(B15:J15)</f>
        <v>39335102.580000006</v>
      </c>
    </row>
    <row r="17" spans="1:11" x14ac:dyDescent="0.2">
      <c r="A17" t="s">
        <v>6</v>
      </c>
      <c r="B17" s="1">
        <f>B$9/($K$9-$J$9-$I$9-$H$9)*-$H$17</f>
        <v>4533859.1108261151</v>
      </c>
      <c r="C17" s="1">
        <f>C$9/($K$9-$J$9-$I$9-$H$9)*-$H$17</f>
        <v>18.712848882641968</v>
      </c>
      <c r="D17" s="1">
        <f>D$9/($K$9-$J$9-$I$9-$H$9)*-$H$17</f>
        <v>0</v>
      </c>
      <c r="E17" s="1">
        <f>E$9/($K$9-$J$9-$I$9-$H$9)*-$H$17</f>
        <v>0</v>
      </c>
      <c r="G17" s="1">
        <f>G$9/($K$9-$J$9-$I$9-$H$9)*-$H$17</f>
        <v>1476541.1894670322</v>
      </c>
      <c r="H17" s="1">
        <f>-H15</f>
        <v>-6010419.0131420288</v>
      </c>
      <c r="K17" s="1">
        <v>0</v>
      </c>
    </row>
    <row r="18" spans="1:11" x14ac:dyDescent="0.2">
      <c r="A18" t="s">
        <v>4</v>
      </c>
      <c r="B18" s="1">
        <f>+B15+B17</f>
        <v>29671777.095351499</v>
      </c>
      <c r="C18" s="1">
        <f>+C15+C17</f>
        <v>122.46597595829986</v>
      </c>
      <c r="D18" s="1">
        <f>+D15+D17</f>
        <v>0</v>
      </c>
      <c r="E18" s="1">
        <f>+E15+E17</f>
        <v>0</v>
      </c>
      <c r="G18" s="1">
        <f>+G15+G17</f>
        <v>9663203.0186725482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39335102.580000006</v>
      </c>
    </row>
    <row r="20" spans="1:11" x14ac:dyDescent="0.2">
      <c r="A20" t="s">
        <v>7</v>
      </c>
      <c r="B20" s="1">
        <f>B$9/($K$9-$J$9-$I$9-$H$9-$G$9)*-$G$20</f>
        <v>9663163.1353618726</v>
      </c>
      <c r="C20" s="1">
        <f>C$9/($K$9-$J$9-$I$9-$H$9-$G$9)*-$G$20</f>
        <v>39.883310676452687</v>
      </c>
      <c r="D20" s="1">
        <f>D$9/($K$9-$J$9-$I$9-$H$9-$G$9)*-$G$20</f>
        <v>0</v>
      </c>
      <c r="E20" s="1">
        <f>E$9/($K$9-$J$9-$I$9-$H$9-$G$9)*-$G$20</f>
        <v>0</v>
      </c>
      <c r="G20" s="1">
        <f>-G18</f>
        <v>-9663203.0186725482</v>
      </c>
      <c r="K20" s="1">
        <f>SUM(B20:J20)</f>
        <v>0</v>
      </c>
    </row>
    <row r="22" spans="1:11" x14ac:dyDescent="0.2">
      <c r="A22" t="s">
        <v>8</v>
      </c>
      <c r="B22" s="1">
        <f>+B20+B18</f>
        <v>39334940.230713367</v>
      </c>
      <c r="C22" s="1">
        <f t="shared" ref="C22:K22" si="3">+C20+C18</f>
        <v>162.34928663475256</v>
      </c>
      <c r="D22" s="1">
        <f t="shared" si="3"/>
        <v>0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39335102.580000006</v>
      </c>
    </row>
    <row r="27" spans="1:11" x14ac:dyDescent="0.2">
      <c r="A27" t="s">
        <v>9</v>
      </c>
      <c r="B27" s="1">
        <f>+B9</f>
        <v>18767464.48</v>
      </c>
    </row>
    <row r="28" spans="1:11" x14ac:dyDescent="0.2">
      <c r="A28" t="s">
        <v>10</v>
      </c>
      <c r="B28" s="1">
        <f>+B22-B27</f>
        <v>20567475.750713367</v>
      </c>
    </row>
    <row r="29" spans="1:11" x14ac:dyDescent="0.2">
      <c r="A29" s="29" t="s">
        <v>163</v>
      </c>
      <c r="B29" s="1">
        <v>4154</v>
      </c>
    </row>
    <row r="30" spans="1:11" x14ac:dyDescent="0.2">
      <c r="A30" t="s">
        <v>11</v>
      </c>
      <c r="B30" s="1">
        <f>+B28/B29</f>
        <v>4951.2459679136655</v>
      </c>
    </row>
  </sheetData>
  <phoneticPr fontId="0" type="noConversion"/>
  <pageMargins left="0.56000000000000005" right="0.55000000000000004" top="1" bottom="0.46" header="0.5" footer="0.5"/>
  <pageSetup scale="97" orientation="landscape" horizontalDpi="4294967294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30"/>
  <sheetViews>
    <sheetView zoomScale="75" workbookViewId="0">
      <selection activeCell="A28" sqref="A28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Table'!B31</f>
        <v>18431890.359999999</v>
      </c>
      <c r="C9" s="1">
        <f>'Master Expend Table'!C31</f>
        <v>19866.75</v>
      </c>
      <c r="D9" s="1">
        <f>'Master Expend Table'!D31</f>
        <v>997296.52999999991</v>
      </c>
      <c r="E9" s="1">
        <f>'Master Expend Table'!E31</f>
        <v>640881.03</v>
      </c>
      <c r="G9" s="1">
        <f>'Master Expend Table'!G31</f>
        <v>3377778.7700000005</v>
      </c>
      <c r="H9" s="1">
        <f>'Master Expend Table'!H31</f>
        <v>5310131.12</v>
      </c>
      <c r="I9" s="1">
        <f>'Master Expend Table'!I31</f>
        <v>7021888.3300000001</v>
      </c>
      <c r="J9" s="1">
        <f>'Master Expend Table'!J31</f>
        <v>5121944.01</v>
      </c>
      <c r="K9" s="1">
        <f>SUM(B9:J9)</f>
        <v>40921676.899999999</v>
      </c>
    </row>
    <row r="11" spans="1:11" x14ac:dyDescent="0.2">
      <c r="A11" t="s">
        <v>3</v>
      </c>
      <c r="B11" s="1">
        <f>(B9/($K9-$J9))*-$J$11</f>
        <v>2637089.7993138274</v>
      </c>
      <c r="C11" s="1">
        <f t="shared" ref="C11:I11" si="0">(C9/($K9-$J9))*-$J$11</f>
        <v>2842.3782231372816</v>
      </c>
      <c r="D11" s="1">
        <f t="shared" si="0"/>
        <v>142685.33800860113</v>
      </c>
      <c r="E11" s="1">
        <f t="shared" si="0"/>
        <v>91692.21353738234</v>
      </c>
      <c r="G11" s="1">
        <f t="shared" si="0"/>
        <v>483266.00065050565</v>
      </c>
      <c r="H11" s="1">
        <f t="shared" si="0"/>
        <v>759731.76576398162</v>
      </c>
      <c r="I11" s="1">
        <f t="shared" si="0"/>
        <v>1004636.514502564</v>
      </c>
      <c r="J11" s="1">
        <f>-J9</f>
        <v>-5121944.01</v>
      </c>
      <c r="K11" s="1">
        <v>0</v>
      </c>
    </row>
    <row r="12" spans="1:11" x14ac:dyDescent="0.2">
      <c r="A12" t="s">
        <v>4</v>
      </c>
      <c r="B12" s="1">
        <f>+B9+B11</f>
        <v>21068980.159313828</v>
      </c>
      <c r="C12" s="1">
        <f t="shared" ref="C12:J12" si="1">+C9+C11</f>
        <v>22709.128223137282</v>
      </c>
      <c r="D12" s="1">
        <f t="shared" si="1"/>
        <v>1139981.868008601</v>
      </c>
      <c r="E12" s="1">
        <f t="shared" si="1"/>
        <v>732573.24353738234</v>
      </c>
      <c r="G12" s="1">
        <f t="shared" si="1"/>
        <v>3861044.770650506</v>
      </c>
      <c r="H12" s="1">
        <f t="shared" si="1"/>
        <v>6069862.8857639814</v>
      </c>
      <c r="I12" s="1">
        <f t="shared" si="1"/>
        <v>8026524.8445025645</v>
      </c>
      <c r="J12" s="1">
        <f t="shared" si="1"/>
        <v>0</v>
      </c>
      <c r="K12" s="1">
        <f>SUM(B12:J12)</f>
        <v>40921676.899999999</v>
      </c>
    </row>
    <row r="14" spans="1:11" x14ac:dyDescent="0.2">
      <c r="A14" t="s">
        <v>5</v>
      </c>
      <c r="B14" s="1">
        <f>B$9/($K$9-$J$9-$I$9)*-I14</f>
        <v>5140900.1670445921</v>
      </c>
      <c r="C14" s="1">
        <f t="shared" ref="C14:H14" si="2">C$9/($K$9-$J$9-$I$9)*-$I$14</f>
        <v>5541.101666667746</v>
      </c>
      <c r="D14" s="1">
        <f t="shared" si="2"/>
        <v>278159.3096276421</v>
      </c>
      <c r="E14" s="1">
        <f t="shared" si="2"/>
        <v>178750.27085299513</v>
      </c>
      <c r="G14" s="1">
        <f t="shared" si="2"/>
        <v>942107.5702911613</v>
      </c>
      <c r="H14" s="1">
        <f t="shared" si="2"/>
        <v>1481066.4250195057</v>
      </c>
      <c r="I14" s="1">
        <f>-I12</f>
        <v>-8026524.8445025645</v>
      </c>
      <c r="K14" s="1">
        <v>0</v>
      </c>
    </row>
    <row r="15" spans="1:11" x14ac:dyDescent="0.2">
      <c r="A15" t="s">
        <v>4</v>
      </c>
      <c r="B15" s="1">
        <f>+B12+B14</f>
        <v>26209880.326358419</v>
      </c>
      <c r="C15" s="1">
        <f>+C12+C14</f>
        <v>28250.229889805029</v>
      </c>
      <c r="D15" s="1">
        <f>+D12+D14</f>
        <v>1418141.1776362432</v>
      </c>
      <c r="E15" s="1">
        <f>+E12+E14</f>
        <v>911323.51439037744</v>
      </c>
      <c r="G15" s="1">
        <f>+G12+G14</f>
        <v>4803152.3409416676</v>
      </c>
      <c r="H15" s="1">
        <f>+H12+H14</f>
        <v>7550929.3107834868</v>
      </c>
      <c r="I15" s="1">
        <f>+I12+I14</f>
        <v>0</v>
      </c>
      <c r="J15" s="1">
        <f>+J12+J14</f>
        <v>0</v>
      </c>
      <c r="K15" s="1">
        <f>SUM(B15:J15)</f>
        <v>40921676.900000006</v>
      </c>
    </row>
    <row r="17" spans="1:11" x14ac:dyDescent="0.2">
      <c r="A17" t="s">
        <v>6</v>
      </c>
      <c r="B17" s="1">
        <f>B$9/($K$9-$J$9-$I$9-$H$9)*-$H$17</f>
        <v>5930611.9246899914</v>
      </c>
      <c r="C17" s="1">
        <f>C$9/($K$9-$J$9-$I$9-$H$9)*-$H$17</f>
        <v>6392.2897843688615</v>
      </c>
      <c r="D17" s="1">
        <f>D$9/($K$9-$J$9-$I$9-$H$9)*-$H$17</f>
        <v>320888.33959784626</v>
      </c>
      <c r="E17" s="1">
        <f>E$9/($K$9-$J$9-$I$9-$H$9)*-$H$17</f>
        <v>206208.72870825848</v>
      </c>
      <c r="G17" s="1">
        <f>G$9/($K$9-$J$9-$I$9-$H$9)*-$H$17</f>
        <v>1086828.0280030211</v>
      </c>
      <c r="H17" s="1">
        <f>-H15</f>
        <v>-7550929.3107834868</v>
      </c>
      <c r="K17" s="1">
        <v>0</v>
      </c>
    </row>
    <row r="18" spans="1:11" x14ac:dyDescent="0.2">
      <c r="A18" t="s">
        <v>4</v>
      </c>
      <c r="B18" s="1">
        <f>+B15+B17</f>
        <v>32140492.251048408</v>
      </c>
      <c r="C18" s="1">
        <f>+C15+C17</f>
        <v>34642.519674173891</v>
      </c>
      <c r="D18" s="1">
        <f>+D15+D17</f>
        <v>1739029.5172340893</v>
      </c>
      <c r="E18" s="1">
        <f>+E15+E17</f>
        <v>1117532.2430986359</v>
      </c>
      <c r="G18" s="1">
        <f>+G15+G17</f>
        <v>5889980.3689446887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40921676.899999999</v>
      </c>
    </row>
    <row r="20" spans="1:11" x14ac:dyDescent="0.2">
      <c r="A20" t="s">
        <v>7</v>
      </c>
      <c r="B20" s="1">
        <f>B$9/($K$9-$J$9-$I$9-$H$9-$G$9)*-$G$20</f>
        <v>5403873.838627114</v>
      </c>
      <c r="C20" s="1">
        <f>C$9/($K$9-$J$9-$I$9-$H$9-$G$9)*-$G$20</f>
        <v>5824.5469393919084</v>
      </c>
      <c r="D20" s="1">
        <f>D$9/($K$9-$J$9-$I$9-$H$9-$G$9)*-$G$20</f>
        <v>292388.05801037763</v>
      </c>
      <c r="E20" s="1">
        <f>E$9/($K$9-$J$9-$I$9-$H$9-$G$9)*-$G$20</f>
        <v>187893.92536780471</v>
      </c>
      <c r="G20" s="1">
        <f>-G18</f>
        <v>-5889980.3689446887</v>
      </c>
      <c r="K20" s="1">
        <f>SUM(B20:J20)</f>
        <v>0</v>
      </c>
    </row>
    <row r="22" spans="1:11" x14ac:dyDescent="0.2">
      <c r="A22" t="s">
        <v>8</v>
      </c>
      <c r="B22" s="1">
        <f>+B20+B18</f>
        <v>37544366.089675523</v>
      </c>
      <c r="C22" s="1">
        <f t="shared" ref="C22:K22" si="3">+C20+C18</f>
        <v>40467.066613565796</v>
      </c>
      <c r="D22" s="1">
        <f t="shared" si="3"/>
        <v>2031417.575244467</v>
      </c>
      <c r="E22" s="1">
        <f t="shared" si="3"/>
        <v>1305426.1684664406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40921676.899999999</v>
      </c>
    </row>
    <row r="27" spans="1:11" x14ac:dyDescent="0.2">
      <c r="A27" t="s">
        <v>9</v>
      </c>
      <c r="B27" s="1">
        <f>+B9</f>
        <v>18431890.359999999</v>
      </c>
    </row>
    <row r="28" spans="1:11" x14ac:dyDescent="0.2">
      <c r="A28" s="29" t="s">
        <v>163</v>
      </c>
      <c r="B28" s="1">
        <f>+B22-B27</f>
        <v>19112475.729675524</v>
      </c>
    </row>
    <row r="29" spans="1:11" x14ac:dyDescent="0.2">
      <c r="A29" s="29" t="s">
        <v>121</v>
      </c>
      <c r="B29" s="1">
        <f>HIBBING!B29+'ITASCA CC'!B29+'MESABI RANGE'!B29+'RAINY RIVER'!B29+VERMILION!B29</f>
        <v>3466</v>
      </c>
    </row>
    <row r="30" spans="1:11" x14ac:dyDescent="0.2">
      <c r="A30" t="s">
        <v>11</v>
      </c>
      <c r="B30" s="1">
        <f>+B28/B29</f>
        <v>5514.2745902122115</v>
      </c>
    </row>
  </sheetData>
  <phoneticPr fontId="0" type="noConversion"/>
  <pageMargins left="0.56000000000000005" right="0.59" top="0.82" bottom="1" header="0.5" footer="0.5"/>
  <pageSetup scale="96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Table'!B32</f>
        <v>6559090.0800000001</v>
      </c>
      <c r="C9" s="1">
        <f>'Master Expend Table'!C32</f>
        <v>16659.04</v>
      </c>
      <c r="D9" s="1">
        <f>'Master Expend Table'!D32</f>
        <v>510664.63</v>
      </c>
      <c r="E9" s="1">
        <f>'Master Expend Table'!E32</f>
        <v>26929.59</v>
      </c>
      <c r="G9" s="1">
        <f>'Master Expend Table'!G32</f>
        <v>1109956.77</v>
      </c>
      <c r="H9" s="1">
        <f>'Master Expend Table'!H32</f>
        <v>1218935.44</v>
      </c>
      <c r="I9" s="1">
        <f>'Master Expend Table'!I32</f>
        <v>2130506.81</v>
      </c>
      <c r="J9" s="1">
        <f>'Master Expend Table'!J32</f>
        <v>1707688.91</v>
      </c>
      <c r="K9" s="1">
        <f>SUM(B9:J9)</f>
        <v>13280431.27</v>
      </c>
    </row>
    <row r="11" spans="1:11" x14ac:dyDescent="0.2">
      <c r="A11" t="s">
        <v>3</v>
      </c>
      <c r="B11" s="1">
        <f>(B9/($K9-$J9))*-$J$11</f>
        <v>967867.86060508247</v>
      </c>
      <c r="C11" s="1">
        <f t="shared" ref="C11:I11" si="0">(C9/($K9-$J9))*-$J$11</f>
        <v>2458.2296031730202</v>
      </c>
      <c r="D11" s="1">
        <f t="shared" si="0"/>
        <v>75354.33679007896</v>
      </c>
      <c r="E11" s="1">
        <f t="shared" si="0"/>
        <v>3973.7653153670394</v>
      </c>
      <c r="G11" s="1">
        <f t="shared" si="0"/>
        <v>163786.6641929131</v>
      </c>
      <c r="H11" s="1">
        <f t="shared" si="0"/>
        <v>179867.69843668846</v>
      </c>
      <c r="I11" s="1">
        <f t="shared" si="0"/>
        <v>314380.35505669698</v>
      </c>
      <c r="J11" s="1">
        <f>-J9</f>
        <v>-1707688.91</v>
      </c>
      <c r="K11" s="1">
        <v>0</v>
      </c>
    </row>
    <row r="12" spans="1:11" x14ac:dyDescent="0.2">
      <c r="A12" t="s">
        <v>4</v>
      </c>
      <c r="B12" s="1">
        <f>+B9+B11</f>
        <v>7526957.9406050825</v>
      </c>
      <c r="C12" s="1">
        <f t="shared" ref="C12:J12" si="1">+C9+C11</f>
        <v>19117.269603173023</v>
      </c>
      <c r="D12" s="1">
        <f t="shared" si="1"/>
        <v>586018.96679007891</v>
      </c>
      <c r="E12" s="1">
        <f t="shared" si="1"/>
        <v>30903.35531536704</v>
      </c>
      <c r="G12" s="1">
        <f t="shared" si="1"/>
        <v>1273743.4341929131</v>
      </c>
      <c r="H12" s="1">
        <f t="shared" si="1"/>
        <v>1398803.1384366883</v>
      </c>
      <c r="I12" s="1">
        <f t="shared" si="1"/>
        <v>2444887.1650566971</v>
      </c>
      <c r="J12" s="1">
        <f t="shared" si="1"/>
        <v>0</v>
      </c>
      <c r="K12" s="1">
        <f>SUM(B12:J12)</f>
        <v>13280431.27</v>
      </c>
    </row>
    <row r="14" spans="1:11" x14ac:dyDescent="0.2">
      <c r="A14" t="s">
        <v>5</v>
      </c>
      <c r="B14" s="1">
        <f>B$9/($K$9-$J$9-$I$9)*-I14</f>
        <v>1698351.5255603539</v>
      </c>
      <c r="C14" s="1">
        <f t="shared" ref="C14:H14" si="2">C$9/($K$9-$J$9-$I$9)*-$I$14</f>
        <v>4313.5413072983683</v>
      </c>
      <c r="D14" s="1">
        <f t="shared" si="2"/>
        <v>132226.8855637082</v>
      </c>
      <c r="E14" s="1">
        <f t="shared" si="2"/>
        <v>6972.9047324220992</v>
      </c>
      <c r="G14" s="1">
        <f t="shared" si="2"/>
        <v>287402.1778392077</v>
      </c>
      <c r="H14" s="1">
        <f t="shared" si="2"/>
        <v>315620.13005370728</v>
      </c>
      <c r="I14" s="1">
        <f>-I12</f>
        <v>-2444887.1650566971</v>
      </c>
      <c r="K14" s="1">
        <v>0</v>
      </c>
    </row>
    <row r="15" spans="1:11" x14ac:dyDescent="0.2">
      <c r="A15" t="s">
        <v>4</v>
      </c>
      <c r="B15" s="1">
        <f>+B12+B14</f>
        <v>9225309.4661654364</v>
      </c>
      <c r="C15" s="1">
        <f>+C12+C14</f>
        <v>23430.810910471391</v>
      </c>
      <c r="D15" s="1">
        <f>+D12+D14</f>
        <v>718245.85235378705</v>
      </c>
      <c r="E15" s="1">
        <f>+E12+E14</f>
        <v>37876.260047789139</v>
      </c>
      <c r="G15" s="1">
        <f>+G12+G14</f>
        <v>1561145.6120321208</v>
      </c>
      <c r="H15" s="1">
        <f>+H12+H14</f>
        <v>1714423.2684903955</v>
      </c>
      <c r="I15" s="1">
        <f>+I12+I14</f>
        <v>0</v>
      </c>
      <c r="J15" s="1">
        <f>+J12+J14</f>
        <v>0</v>
      </c>
      <c r="K15" s="1">
        <f>SUM(B15:J15)</f>
        <v>13280431.27</v>
      </c>
    </row>
    <row r="17" spans="1:11" x14ac:dyDescent="0.2">
      <c r="A17" t="s">
        <v>6</v>
      </c>
      <c r="B17" s="1">
        <f>B$9/($K$9-$J$9-$I$9-$H$9)*-$H$17</f>
        <v>1367462.7586073265</v>
      </c>
      <c r="C17" s="1">
        <f>C$9/($K$9-$J$9-$I$9-$H$9)*-$H$17</f>
        <v>3473.1367485884257</v>
      </c>
      <c r="D17" s="1">
        <f>D$9/($K$9-$J$9-$I$9-$H$9)*-$H$17</f>
        <v>106465.20403680592</v>
      </c>
      <c r="E17" s="1">
        <f>E$9/($K$9-$J$9-$I$9-$H$9)*-$H$17</f>
        <v>5614.3780586047797</v>
      </c>
      <c r="G17" s="1">
        <f>G$9/($K$9-$J$9-$I$9-$H$9)*-$H$17</f>
        <v>231407.79103907011</v>
      </c>
      <c r="H17" s="1">
        <f>-H15</f>
        <v>-1714423.2684903955</v>
      </c>
      <c r="K17" s="1">
        <v>0</v>
      </c>
    </row>
    <row r="18" spans="1:11" x14ac:dyDescent="0.2">
      <c r="A18" t="s">
        <v>4</v>
      </c>
      <c r="B18" s="1">
        <f>+B15+B17</f>
        <v>10592772.224772763</v>
      </c>
      <c r="C18" s="1">
        <f>+C15+C17</f>
        <v>26903.947659059817</v>
      </c>
      <c r="D18" s="1">
        <f>+D15+D17</f>
        <v>824711.05639059294</v>
      </c>
      <c r="E18" s="1">
        <f>+E15+E17</f>
        <v>43490.638106393919</v>
      </c>
      <c r="G18" s="1">
        <f>+G15+G17</f>
        <v>1792553.4030711909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13280431.270000001</v>
      </c>
    </row>
    <row r="20" spans="1:11" x14ac:dyDescent="0.2">
      <c r="A20" t="s">
        <v>7</v>
      </c>
      <c r="B20" s="1">
        <f>B$9/($K$9-$J$9-$I$9-$H$9-$G$9)*-$G$20</f>
        <v>1652882.2920495344</v>
      </c>
      <c r="C20" s="1">
        <f>C$9/($K$9-$J$9-$I$9-$H$9-$G$9)*-$G$20</f>
        <v>4198.0567247438803</v>
      </c>
      <c r="D20" s="1">
        <f>D$9/($K$9-$J$9-$I$9-$H$9-$G$9)*-$G$20</f>
        <v>128686.83213800708</v>
      </c>
      <c r="E20" s="1">
        <f>E$9/($K$9-$J$9-$I$9-$H$9-$G$9)*-$G$20</f>
        <v>6786.222158905648</v>
      </c>
      <c r="G20" s="1">
        <f>-G18</f>
        <v>-1792553.4030711909</v>
      </c>
      <c r="K20" s="1">
        <f>SUM(B20:J20)</f>
        <v>0</v>
      </c>
    </row>
    <row r="22" spans="1:11" x14ac:dyDescent="0.2">
      <c r="A22" t="s">
        <v>8</v>
      </c>
      <c r="B22" s="1">
        <f>+B20+B18</f>
        <v>12245654.516822297</v>
      </c>
      <c r="C22" s="1">
        <f t="shared" ref="C22:K22" si="3">+C20+C18</f>
        <v>31102.004383803698</v>
      </c>
      <c r="D22" s="1">
        <f t="shared" si="3"/>
        <v>953397.88852859999</v>
      </c>
      <c r="E22" s="1">
        <f t="shared" si="3"/>
        <v>50276.860265299569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13280431.270000001</v>
      </c>
    </row>
    <row r="27" spans="1:11" x14ac:dyDescent="0.2">
      <c r="A27" t="s">
        <v>9</v>
      </c>
      <c r="B27" s="1">
        <f>+B9</f>
        <v>6559090.0800000001</v>
      </c>
    </row>
    <row r="28" spans="1:11" x14ac:dyDescent="0.2">
      <c r="A28" t="s">
        <v>10</v>
      </c>
      <c r="B28" s="1">
        <f>+B22-B27</f>
        <v>5686564.4368222971</v>
      </c>
    </row>
    <row r="29" spans="1:11" x14ac:dyDescent="0.2">
      <c r="A29" s="29" t="s">
        <v>163</v>
      </c>
      <c r="B29" s="1">
        <v>922</v>
      </c>
    </row>
    <row r="30" spans="1:11" x14ac:dyDescent="0.2">
      <c r="A30" t="s">
        <v>11</v>
      </c>
      <c r="B30" s="1">
        <f>+B28/B29</f>
        <v>6167.6403870089989</v>
      </c>
    </row>
  </sheetData>
  <phoneticPr fontId="0" type="noConversion"/>
  <pageMargins left="0.46" right="0.55000000000000004" top="1" bottom="0.51" header="0.5" footer="0.5"/>
  <pageSetup orientation="landscape" horizontalDpi="4294967294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Table'!B33</f>
        <v>4316993.58</v>
      </c>
      <c r="C9" s="1">
        <f>'Master Expend Table'!C33</f>
        <v>0</v>
      </c>
      <c r="D9" s="1">
        <f>'Master Expend Table'!D33</f>
        <v>332443.07</v>
      </c>
      <c r="E9" s="1">
        <f>'Master Expend Table'!E33</f>
        <v>218276.89</v>
      </c>
      <c r="G9" s="1">
        <f>'Master Expend Table'!G33</f>
        <v>887611.15</v>
      </c>
      <c r="H9" s="1">
        <f>'Master Expend Table'!H33</f>
        <v>1422743.15</v>
      </c>
      <c r="I9" s="1">
        <f>'Master Expend Table'!I33</f>
        <v>1463129.95</v>
      </c>
      <c r="J9" s="1">
        <f>'Master Expend Table'!J33</f>
        <v>1127760.6599999999</v>
      </c>
      <c r="K9" s="1">
        <f>SUM(B9:J9)</f>
        <v>9768958.4499999993</v>
      </c>
    </row>
    <row r="11" spans="1:11" x14ac:dyDescent="0.2">
      <c r="A11" t="s">
        <v>3</v>
      </c>
      <c r="B11" s="1">
        <f>(B9/($K9-$J9))*-$J$11</f>
        <v>563409.80120032222</v>
      </c>
      <c r="C11" s="1">
        <f t="shared" ref="C11:I11" si="0">(C9/($K9-$J9))*-$J$11</f>
        <v>0</v>
      </c>
      <c r="D11" s="1">
        <f t="shared" si="0"/>
        <v>43387.065676184022</v>
      </c>
      <c r="E11" s="1">
        <f t="shared" si="0"/>
        <v>28487.26478799271</v>
      </c>
      <c r="G11" s="1">
        <f t="shared" si="0"/>
        <v>115841.91921932145</v>
      </c>
      <c r="H11" s="1">
        <f t="shared" si="0"/>
        <v>185681.868746402</v>
      </c>
      <c r="I11" s="1">
        <f t="shared" si="0"/>
        <v>190952.74036977772</v>
      </c>
      <c r="J11" s="1">
        <f>-J9</f>
        <v>-1127760.6599999999</v>
      </c>
      <c r="K11" s="1">
        <v>0</v>
      </c>
    </row>
    <row r="12" spans="1:11" x14ac:dyDescent="0.2">
      <c r="A12" t="s">
        <v>4</v>
      </c>
      <c r="B12" s="1">
        <f>+B9+B11</f>
        <v>4880403.381200322</v>
      </c>
      <c r="C12" s="1">
        <f t="shared" ref="C12:J12" si="1">+C9+C11</f>
        <v>0</v>
      </c>
      <c r="D12" s="1">
        <f t="shared" si="1"/>
        <v>375830.13567618403</v>
      </c>
      <c r="E12" s="1">
        <f t="shared" si="1"/>
        <v>246764.15478799271</v>
      </c>
      <c r="G12" s="1">
        <f t="shared" si="1"/>
        <v>1003453.0692193215</v>
      </c>
      <c r="H12" s="1">
        <f t="shared" si="1"/>
        <v>1608425.0187464019</v>
      </c>
      <c r="I12" s="1">
        <f t="shared" si="1"/>
        <v>1654082.6903697776</v>
      </c>
      <c r="J12" s="1">
        <f t="shared" si="1"/>
        <v>0</v>
      </c>
      <c r="K12" s="1">
        <f>SUM(B12:J12)</f>
        <v>9768958.4499999993</v>
      </c>
    </row>
    <row r="14" spans="1:11" x14ac:dyDescent="0.2">
      <c r="A14" t="s">
        <v>5</v>
      </c>
      <c r="B14" s="1">
        <f>B$9/($K$9-$J$9-$I$9)*-I14</f>
        <v>994789.19874842791</v>
      </c>
      <c r="C14" s="1">
        <f t="shared" ref="C14:H14" si="2">C$9/($K$9-$J$9-$I$9)*-$I$14</f>
        <v>0</v>
      </c>
      <c r="D14" s="1">
        <f t="shared" si="2"/>
        <v>76606.733159600291</v>
      </c>
      <c r="E14" s="1">
        <f t="shared" si="2"/>
        <v>50298.775869015481</v>
      </c>
      <c r="G14" s="1">
        <f t="shared" si="2"/>
        <v>204537.24758809363</v>
      </c>
      <c r="H14" s="1">
        <f t="shared" si="2"/>
        <v>327850.73500464053</v>
      </c>
      <c r="I14" s="1">
        <f>-I12</f>
        <v>-1654082.6903697776</v>
      </c>
      <c r="K14" s="1">
        <v>0</v>
      </c>
    </row>
    <row r="15" spans="1:11" x14ac:dyDescent="0.2">
      <c r="A15" t="s">
        <v>4</v>
      </c>
      <c r="B15" s="1">
        <f>+B12+B14</f>
        <v>5875192.5799487494</v>
      </c>
      <c r="C15" s="1">
        <f>+C12+C14</f>
        <v>0</v>
      </c>
      <c r="D15" s="1">
        <f>+D12+D14</f>
        <v>452436.86883578432</v>
      </c>
      <c r="E15" s="1">
        <f>+E12+E14</f>
        <v>297062.9306570082</v>
      </c>
      <c r="G15" s="1">
        <f>+G12+G14</f>
        <v>1207990.3168074151</v>
      </c>
      <c r="H15" s="1">
        <f>+H12+H14</f>
        <v>1936275.7537510423</v>
      </c>
      <c r="I15" s="1">
        <f>+I12+I14</f>
        <v>0</v>
      </c>
      <c r="J15" s="1">
        <f>+J12+J14</f>
        <v>0</v>
      </c>
      <c r="K15" s="1">
        <f>SUM(B15:J15)</f>
        <v>9768958.4499999993</v>
      </c>
    </row>
    <row r="17" spans="1:11" x14ac:dyDescent="0.2">
      <c r="A17" t="s">
        <v>6</v>
      </c>
      <c r="B17" s="1">
        <f>B$9/($K$9-$J$9-$I$9-$H$9)*-$H$17</f>
        <v>1452375.0523713564</v>
      </c>
      <c r="C17" s="1">
        <f>C$9/($K$9-$J$9-$I$9-$H$9)*-$H$17</f>
        <v>0</v>
      </c>
      <c r="D17" s="1">
        <f>D$9/($K$9-$J$9-$I$9-$H$9)*-$H$17</f>
        <v>111844.50758477722</v>
      </c>
      <c r="E17" s="1">
        <f>E$9/($K$9-$J$9-$I$9-$H$9)*-$H$17</f>
        <v>73435.344220550556</v>
      </c>
      <c r="G17" s="1">
        <f>G$9/($K$9-$J$9-$I$9-$H$9)*-$H$17</f>
        <v>298620.8495743582</v>
      </c>
      <c r="H17" s="1">
        <f>-H15</f>
        <v>-1936275.7537510423</v>
      </c>
      <c r="K17" s="1">
        <v>0</v>
      </c>
    </row>
    <row r="18" spans="1:11" x14ac:dyDescent="0.2">
      <c r="A18" t="s">
        <v>4</v>
      </c>
      <c r="B18" s="1">
        <f>+B15+B17</f>
        <v>7327567.632320106</v>
      </c>
      <c r="C18" s="1">
        <f>+C15+C17</f>
        <v>0</v>
      </c>
      <c r="D18" s="1">
        <f>+D15+D17</f>
        <v>564281.37642056157</v>
      </c>
      <c r="E18" s="1">
        <f>+E15+E17</f>
        <v>370498.27487755875</v>
      </c>
      <c r="G18" s="1">
        <f>+G15+G17</f>
        <v>1506611.1663817733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9768958.4499999993</v>
      </c>
    </row>
    <row r="20" spans="1:11" x14ac:dyDescent="0.2">
      <c r="A20" t="s">
        <v>7</v>
      </c>
      <c r="B20" s="1">
        <f>B$9/($K$9-$J$9-$I$9-$H$9-$G$9)*-$G$20</f>
        <v>1336157.2490616259</v>
      </c>
      <c r="C20" s="1">
        <f>C$9/($K$9-$J$9-$I$9-$H$9-$G$9)*-$G$20</f>
        <v>0</v>
      </c>
      <c r="D20" s="1">
        <f>D$9/($K$9-$J$9-$I$9-$H$9-$G$9)*-$G$20</f>
        <v>102894.80622317754</v>
      </c>
      <c r="E20" s="1">
        <f>E$9/($K$9-$J$9-$I$9-$H$9-$G$9)*-$G$20</f>
        <v>67559.111096970199</v>
      </c>
      <c r="G20" s="1">
        <f>-G18</f>
        <v>-1506611.1663817733</v>
      </c>
      <c r="K20" s="1">
        <f>SUM(B20:J20)</f>
        <v>0</v>
      </c>
    </row>
    <row r="22" spans="1:11" x14ac:dyDescent="0.2">
      <c r="A22" t="s">
        <v>8</v>
      </c>
      <c r="B22" s="1">
        <f>+B20+B18</f>
        <v>8663724.8813817315</v>
      </c>
      <c r="C22" s="1">
        <f t="shared" ref="C22:K22" si="3">+C20+C18</f>
        <v>0</v>
      </c>
      <c r="D22" s="1">
        <f t="shared" si="3"/>
        <v>667176.18264373916</v>
      </c>
      <c r="E22" s="1">
        <f t="shared" si="3"/>
        <v>438057.38597452897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9768958.4499999993</v>
      </c>
    </row>
    <row r="27" spans="1:11" x14ac:dyDescent="0.2">
      <c r="A27" t="s">
        <v>9</v>
      </c>
      <c r="B27" s="1">
        <f>+B9</f>
        <v>4316993.58</v>
      </c>
    </row>
    <row r="28" spans="1:11" x14ac:dyDescent="0.2">
      <c r="A28" t="s">
        <v>10</v>
      </c>
      <c r="B28" s="1">
        <f>+B22-B27</f>
        <v>4346731.3013817314</v>
      </c>
    </row>
    <row r="29" spans="1:11" x14ac:dyDescent="0.2">
      <c r="A29" s="29" t="s">
        <v>163</v>
      </c>
      <c r="B29" s="1">
        <v>938</v>
      </c>
    </row>
    <row r="30" spans="1:11" x14ac:dyDescent="0.2">
      <c r="A30" t="s">
        <v>11</v>
      </c>
      <c r="B30" s="1">
        <f>+B28/B29</f>
        <v>4634.0418991276456</v>
      </c>
    </row>
  </sheetData>
  <phoneticPr fontId="0" type="noConversion"/>
  <pageMargins left="0.59" right="0.55000000000000004" top="1" bottom="0.53" header="0.5" footer="0.5"/>
  <pageSetup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5703125" style="1" bestFit="1" customWidth="1"/>
    <col min="5" max="5" width="9.28515625" style="1" bestFit="1" customWidth="1"/>
    <col min="6" max="6" width="2.7109375" style="3" customWidth="1"/>
    <col min="7" max="9" width="11.5703125" style="1" bestFit="1" customWidth="1"/>
    <col min="10" max="10" width="13.7109375" style="1" bestFit="1" customWidth="1"/>
    <col min="11" max="11" width="11.42578125" style="1" bestFit="1" customWidth="1"/>
  </cols>
  <sheetData>
    <row r="1" spans="1:11" ht="15.75" x14ac:dyDescent="0.25">
      <c r="A1" s="5" t="str">
        <f>System!A1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Table'!B6</f>
        <v>10760270.6</v>
      </c>
      <c r="C9" s="1">
        <f>'Master Expend Table'!C6</f>
        <v>23482.75</v>
      </c>
      <c r="D9" s="1">
        <f>'Master Expend Table'!D6</f>
        <v>811954.34</v>
      </c>
      <c r="E9" s="1">
        <f>'Master Expend Table'!E6</f>
        <v>0</v>
      </c>
      <c r="G9" s="1">
        <f>'Master Expend Table'!G6</f>
        <v>2498749.84</v>
      </c>
      <c r="H9" s="1">
        <f>'Master Expend Table'!H6</f>
        <v>2005004.19</v>
      </c>
      <c r="I9" s="1">
        <f>'Master Expend Table'!I6</f>
        <v>3385663.16</v>
      </c>
      <c r="J9" s="1">
        <f>'Master Expend Table'!J6</f>
        <v>2590670.3199999998</v>
      </c>
      <c r="K9" s="1">
        <f>SUM(B9:J9)</f>
        <v>22075795.199999999</v>
      </c>
    </row>
    <row r="11" spans="1:11" x14ac:dyDescent="0.2">
      <c r="A11" t="s">
        <v>3</v>
      </c>
      <c r="B11" s="1">
        <f>(B9/($K9-$J9))*-$J$11</f>
        <v>1430645.8824496171</v>
      </c>
      <c r="C11" s="1">
        <f t="shared" ref="C11:I11" si="0">(C9/($K9-$J9))*-$J$11</f>
        <v>3122.1798080146564</v>
      </c>
      <c r="D11" s="1">
        <f t="shared" si="0"/>
        <v>107954.45360436349</v>
      </c>
      <c r="E11" s="1">
        <f t="shared" si="0"/>
        <v>0</v>
      </c>
      <c r="G11" s="1">
        <f t="shared" si="0"/>
        <v>332224.56039977656</v>
      </c>
      <c r="H11" s="1">
        <f t="shared" si="0"/>
        <v>266577.96029011853</v>
      </c>
      <c r="I11" s="1">
        <f t="shared" si="0"/>
        <v>450145.28344810952</v>
      </c>
      <c r="J11" s="1">
        <f>-J9</f>
        <v>-2590670.3199999998</v>
      </c>
      <c r="K11" s="1">
        <v>0</v>
      </c>
    </row>
    <row r="12" spans="1:11" x14ac:dyDescent="0.2">
      <c r="A12" t="s">
        <v>4</v>
      </c>
      <c r="B12" s="1">
        <f>+B9+B11</f>
        <v>12190916.482449617</v>
      </c>
      <c r="C12" s="1">
        <f t="shared" ref="C12:J12" si="1">+C9+C11</f>
        <v>26604.929808014655</v>
      </c>
      <c r="D12" s="1">
        <f t="shared" si="1"/>
        <v>919908.79360436345</v>
      </c>
      <c r="E12" s="1">
        <f t="shared" si="1"/>
        <v>0</v>
      </c>
      <c r="G12" s="1">
        <f t="shared" si="1"/>
        <v>2830974.4003997762</v>
      </c>
      <c r="H12" s="1">
        <f t="shared" si="1"/>
        <v>2271582.1502901185</v>
      </c>
      <c r="I12" s="1">
        <f t="shared" si="1"/>
        <v>3835808.4434481096</v>
      </c>
      <c r="J12" s="1">
        <f t="shared" si="1"/>
        <v>0</v>
      </c>
      <c r="K12" s="1">
        <f>SUM(B12:J12)</f>
        <v>22075795.200000003</v>
      </c>
    </row>
    <row r="14" spans="1:11" x14ac:dyDescent="0.2">
      <c r="A14" t="s">
        <v>5</v>
      </c>
      <c r="B14" s="1">
        <f>B$9/($K$9-$J$9-$I$9)*-I14</f>
        <v>2563709.1189199369</v>
      </c>
      <c r="C14" s="1">
        <f t="shared" ref="C14:H14" si="2">C$9/($K$9-$J$9-$I$9)*-$I$14</f>
        <v>5594.9280970979635</v>
      </c>
      <c r="D14" s="1">
        <f t="shared" si="2"/>
        <v>193453.75436976642</v>
      </c>
      <c r="E14" s="1">
        <f t="shared" si="2"/>
        <v>0</v>
      </c>
      <c r="G14" s="1">
        <f t="shared" si="2"/>
        <v>595344.48424631008</v>
      </c>
      <c r="H14" s="1">
        <f t="shared" si="2"/>
        <v>477706.15781499795</v>
      </c>
      <c r="I14" s="1">
        <f>-I12</f>
        <v>-3835808.4434481096</v>
      </c>
      <c r="K14" s="1">
        <v>0</v>
      </c>
    </row>
    <row r="15" spans="1:11" x14ac:dyDescent="0.2">
      <c r="A15" t="s">
        <v>4</v>
      </c>
      <c r="B15" s="1">
        <f>+B12+B14</f>
        <v>14754625.601369554</v>
      </c>
      <c r="C15" s="1">
        <f>+C12+C14</f>
        <v>32199.857905112618</v>
      </c>
      <c r="D15" s="1">
        <f>+D12+D14</f>
        <v>1113362.5479741299</v>
      </c>
      <c r="E15" s="1">
        <f>+E12+E14</f>
        <v>0</v>
      </c>
      <c r="G15" s="1">
        <f>+G12+G14</f>
        <v>3426318.884646086</v>
      </c>
      <c r="H15" s="1">
        <f>+H12+H14</f>
        <v>2749288.3081051167</v>
      </c>
      <c r="I15" s="1">
        <f>+I12+I14</f>
        <v>0</v>
      </c>
      <c r="J15" s="1">
        <f>+J12+J14</f>
        <v>0</v>
      </c>
      <c r="K15" s="1">
        <f>SUM(B15:J15)</f>
        <v>22075795.200000003</v>
      </c>
    </row>
    <row r="17" spans="1:11" x14ac:dyDescent="0.2">
      <c r="A17" t="s">
        <v>6</v>
      </c>
      <c r="B17" s="1">
        <f>B$9/($K$9-$J$9-$I$9-$H$9)*-$H$17</f>
        <v>2098916.2647558264</v>
      </c>
      <c r="C17" s="1">
        <f>C$9/($K$9-$J$9-$I$9-$H$9)*-$H$17</f>
        <v>4580.5842388568635</v>
      </c>
      <c r="D17" s="1">
        <f>D$9/($K$9-$J$9-$I$9-$H$9)*-$H$17</f>
        <v>158381.1628738298</v>
      </c>
      <c r="E17" s="1">
        <f>E$9/($K$9-$J$9-$I$9-$H$9)*-$H$17</f>
        <v>0</v>
      </c>
      <c r="G17" s="1">
        <f>G$9/($K$9-$J$9-$I$9-$H$9)*-$H$17</f>
        <v>487410.29623660381</v>
      </c>
      <c r="H17" s="1">
        <f>-H15</f>
        <v>-2749288.3081051167</v>
      </c>
      <c r="K17" s="1">
        <v>0</v>
      </c>
    </row>
    <row r="18" spans="1:11" x14ac:dyDescent="0.2">
      <c r="A18" t="s">
        <v>4</v>
      </c>
      <c r="B18" s="1">
        <f>+B15+B17</f>
        <v>16853541.866125382</v>
      </c>
      <c r="C18" s="1">
        <f>+C15+C17</f>
        <v>36780.442143969485</v>
      </c>
      <c r="D18" s="1">
        <f>+D15+D17</f>
        <v>1271743.7108479596</v>
      </c>
      <c r="E18" s="1">
        <f>+E15+E17</f>
        <v>0</v>
      </c>
      <c r="G18" s="1">
        <f>+G15+G17</f>
        <v>3913729.18088269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22075795.199999999</v>
      </c>
    </row>
    <row r="20" spans="1:11" x14ac:dyDescent="0.2">
      <c r="A20" t="s">
        <v>7</v>
      </c>
      <c r="B20" s="1">
        <f>B$9/($K$9-$J$9-$I$9-$H$9-$G$9)*-$G$20</f>
        <v>3631756.3504754142</v>
      </c>
      <c r="C20" s="1">
        <f>C$9/($K$9-$J$9-$I$9-$H$9-$G$9)*-$G$20</f>
        <v>7925.788264016941</v>
      </c>
      <c r="D20" s="1">
        <f>D$9/($K$9-$J$9-$I$9-$H$9-$G$9)*-$G$20</f>
        <v>274047.0421432592</v>
      </c>
      <c r="E20" s="1">
        <f>E$9/($K$9-$J$9-$I$9-$H$9-$G$9)*-$G$20</f>
        <v>0</v>
      </c>
      <c r="G20" s="1">
        <f>-G18</f>
        <v>-3913729.18088269</v>
      </c>
      <c r="K20" s="1">
        <f>SUM(B20:J20)</f>
        <v>0</v>
      </c>
    </row>
    <row r="22" spans="1:11" x14ac:dyDescent="0.2">
      <c r="A22" t="s">
        <v>8</v>
      </c>
      <c r="B22" s="1">
        <f>+B20+B18</f>
        <v>20485298.216600798</v>
      </c>
      <c r="C22" s="1">
        <f t="shared" ref="C22:K22" si="3">+C20+C18</f>
        <v>44706.230407986426</v>
      </c>
      <c r="D22" s="1">
        <f t="shared" si="3"/>
        <v>1545790.7529912188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22075795.199999999</v>
      </c>
    </row>
    <row r="27" spans="1:11" x14ac:dyDescent="0.2">
      <c r="A27" t="s">
        <v>9</v>
      </c>
      <c r="B27" s="1">
        <f>+B9</f>
        <v>10760270.6</v>
      </c>
    </row>
    <row r="28" spans="1:11" x14ac:dyDescent="0.2">
      <c r="A28" t="s">
        <v>10</v>
      </c>
      <c r="B28" s="1">
        <f>+B22-B27</f>
        <v>9725027.6166007984</v>
      </c>
    </row>
    <row r="29" spans="1:11" x14ac:dyDescent="0.2">
      <c r="A29" s="29" t="s">
        <v>163</v>
      </c>
      <c r="B29" s="1">
        <v>1925</v>
      </c>
    </row>
    <row r="30" spans="1:11" x14ac:dyDescent="0.2">
      <c r="A30" t="s">
        <v>11</v>
      </c>
      <c r="B30" s="1">
        <f>+B28/B29</f>
        <v>5051.9623982341809</v>
      </c>
    </row>
  </sheetData>
  <phoneticPr fontId="0" type="noConversion"/>
  <pageMargins left="0.43" right="0.17" top="0.73" bottom="0.33" header="0.27" footer="0.25"/>
  <pageSetup orientation="landscape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710937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Table'!B34</f>
        <v>4280594.3499999996</v>
      </c>
      <c r="C9" s="1">
        <f>'Master Expend Table'!C34</f>
        <v>0</v>
      </c>
      <c r="D9" s="1">
        <f>'Master Expend Table'!D34</f>
        <v>46987.75</v>
      </c>
      <c r="E9" s="1">
        <f>'Master Expend Table'!E34</f>
        <v>215371.75</v>
      </c>
      <c r="G9" s="1">
        <f>'Master Expend Table'!G34</f>
        <v>699803.24</v>
      </c>
      <c r="H9" s="1">
        <f>'Master Expend Table'!H34</f>
        <v>1059354.03</v>
      </c>
      <c r="I9" s="1">
        <f>'Master Expend Table'!I34</f>
        <v>1519881.3</v>
      </c>
      <c r="J9" s="1">
        <f>'Master Expend Table'!J34</f>
        <v>1425714.03</v>
      </c>
      <c r="K9" s="1">
        <f>SUM(B9:J9)</f>
        <v>9247706.4499999993</v>
      </c>
    </row>
    <row r="11" spans="1:11" x14ac:dyDescent="0.2">
      <c r="A11" t="s">
        <v>3</v>
      </c>
      <c r="B11" s="1">
        <f>(B9/($K9-$J9))*-$J$11</f>
        <v>780223.64301060396</v>
      </c>
      <c r="C11" s="1">
        <f t="shared" ref="C11:I11" si="0">(C9/($K9-$J9))*-$J$11</f>
        <v>0</v>
      </c>
      <c r="D11" s="1">
        <f t="shared" si="0"/>
        <v>8564.4540183704903</v>
      </c>
      <c r="E11" s="1">
        <f t="shared" si="0"/>
        <v>39255.794323647853</v>
      </c>
      <c r="G11" s="1">
        <f t="shared" si="0"/>
        <v>127553.08928149758</v>
      </c>
      <c r="H11" s="1">
        <f t="shared" si="0"/>
        <v>193088.38748632296</v>
      </c>
      <c r="I11" s="1">
        <f t="shared" si="0"/>
        <v>277028.66187955718</v>
      </c>
      <c r="J11" s="1">
        <f>-J9</f>
        <v>-1425714.03</v>
      </c>
      <c r="K11" s="1">
        <v>0</v>
      </c>
    </row>
    <row r="12" spans="1:11" x14ac:dyDescent="0.2">
      <c r="A12" t="s">
        <v>4</v>
      </c>
      <c r="B12" s="1">
        <f>+B9+B11</f>
        <v>5060817.9930106038</v>
      </c>
      <c r="C12" s="1">
        <f t="shared" ref="C12:J12" si="1">+C9+C11</f>
        <v>0</v>
      </c>
      <c r="D12" s="1">
        <f t="shared" si="1"/>
        <v>55552.204018370488</v>
      </c>
      <c r="E12" s="1">
        <f t="shared" si="1"/>
        <v>254627.54432364786</v>
      </c>
      <c r="G12" s="1">
        <f t="shared" si="1"/>
        <v>827356.32928149751</v>
      </c>
      <c r="H12" s="1">
        <f t="shared" si="1"/>
        <v>1252442.417486323</v>
      </c>
      <c r="I12" s="1">
        <f t="shared" si="1"/>
        <v>1796909.9618795572</v>
      </c>
      <c r="J12" s="1">
        <f t="shared" si="1"/>
        <v>0</v>
      </c>
      <c r="K12" s="1">
        <f>SUM(B12:J12)</f>
        <v>9247706.4499999993</v>
      </c>
    </row>
    <row r="14" spans="1:11" x14ac:dyDescent="0.2">
      <c r="A14" t="s">
        <v>5</v>
      </c>
      <c r="B14" s="1">
        <f>B$9/($K$9-$J$9-$I$9)*-I14</f>
        <v>1220518.4078506613</v>
      </c>
      <c r="C14" s="1">
        <f t="shared" ref="C14:H14" si="2">C$9/($K$9-$J$9-$I$9)*-$I$14</f>
        <v>0</v>
      </c>
      <c r="D14" s="1">
        <f t="shared" si="2"/>
        <v>13397.535278829895</v>
      </c>
      <c r="E14" s="1">
        <f t="shared" si="2"/>
        <v>61408.57178069459</v>
      </c>
      <c r="G14" s="1">
        <f t="shared" si="2"/>
        <v>199533.67837658673</v>
      </c>
      <c r="H14" s="1">
        <f t="shared" si="2"/>
        <v>302051.76859278476</v>
      </c>
      <c r="I14" s="1">
        <f>-I12</f>
        <v>-1796909.9618795572</v>
      </c>
      <c r="K14" s="1">
        <v>0</v>
      </c>
    </row>
    <row r="15" spans="1:11" x14ac:dyDescent="0.2">
      <c r="A15" t="s">
        <v>4</v>
      </c>
      <c r="B15" s="1">
        <f>+B12+B14</f>
        <v>6281336.4008612651</v>
      </c>
      <c r="C15" s="1">
        <f>+C12+C14</f>
        <v>0</v>
      </c>
      <c r="D15" s="1">
        <f>+D12+D14</f>
        <v>68949.739297200387</v>
      </c>
      <c r="E15" s="1">
        <f>+E12+E14</f>
        <v>316036.11610434245</v>
      </c>
      <c r="G15" s="1">
        <f>+G12+G14</f>
        <v>1026890.0076580843</v>
      </c>
      <c r="H15" s="1">
        <f>+H12+H14</f>
        <v>1554494.1860791077</v>
      </c>
      <c r="I15" s="1">
        <f>+I12+I14</f>
        <v>0</v>
      </c>
      <c r="J15" s="1">
        <f>+J12+J14</f>
        <v>0</v>
      </c>
      <c r="K15" s="1">
        <f>SUM(B15:J15)</f>
        <v>9247706.4499999993</v>
      </c>
    </row>
    <row r="17" spans="1:11" x14ac:dyDescent="0.2">
      <c r="A17" t="s">
        <v>6</v>
      </c>
      <c r="B17" s="1">
        <f>B$9/($K$9-$J$9-$I$9-$H$9)*-$H$17</f>
        <v>1269209.8672147479</v>
      </c>
      <c r="C17" s="1">
        <f>C$9/($K$9-$J$9-$I$9-$H$9)*-$H$17</f>
        <v>0</v>
      </c>
      <c r="D17" s="1">
        <f>D$9/($K$9-$J$9-$I$9-$H$9)*-$H$17</f>
        <v>13932.017626996068</v>
      </c>
      <c r="E17" s="1">
        <f>E$9/($K$9-$J$9-$I$9-$H$9)*-$H$17</f>
        <v>63858.410274103146</v>
      </c>
      <c r="G17" s="1">
        <f>G$9/($K$9-$J$9-$I$9-$H$9)*-$H$17</f>
        <v>207493.89096326084</v>
      </c>
      <c r="H17" s="1">
        <f>-H15</f>
        <v>-1554494.1860791077</v>
      </c>
      <c r="K17" s="1">
        <v>0</v>
      </c>
    </row>
    <row r="18" spans="1:11" x14ac:dyDescent="0.2">
      <c r="A18" t="s">
        <v>4</v>
      </c>
      <c r="B18" s="1">
        <f>+B15+B17</f>
        <v>7550546.2680760128</v>
      </c>
      <c r="C18" s="1">
        <f>+C15+C17</f>
        <v>0</v>
      </c>
      <c r="D18" s="1">
        <f>+D15+D17</f>
        <v>82881.756924196452</v>
      </c>
      <c r="E18" s="1">
        <f>+E15+E17</f>
        <v>379894.52637844562</v>
      </c>
      <c r="G18" s="1">
        <f>+G15+G17</f>
        <v>1234383.8986213452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9247706.4499999993</v>
      </c>
    </row>
    <row r="20" spans="1:11" x14ac:dyDescent="0.2">
      <c r="A20" t="s">
        <v>7</v>
      </c>
      <c r="B20" s="1">
        <f>B$9/($K$9-$J$9-$I$9-$H$9-$G$9)*-$G$20</f>
        <v>1163097.1646717265</v>
      </c>
      <c r="C20" s="1">
        <f>C$9/($K$9-$J$9-$I$9-$H$9-$G$9)*-$G$20</f>
        <v>0</v>
      </c>
      <c r="D20" s="1">
        <f>D$9/($K$9-$J$9-$I$9-$H$9-$G$9)*-$G$20</f>
        <v>12767.226775250012</v>
      </c>
      <c r="E20" s="1">
        <f>E$9/($K$9-$J$9-$I$9-$H$9-$G$9)*-$G$20</f>
        <v>58519.50717436889</v>
      </c>
      <c r="G20" s="1">
        <f>-G18</f>
        <v>-1234383.8986213452</v>
      </c>
      <c r="K20" s="1">
        <f>SUM(B20:J20)</f>
        <v>0</v>
      </c>
    </row>
    <row r="22" spans="1:11" x14ac:dyDescent="0.2">
      <c r="A22" t="s">
        <v>8</v>
      </c>
      <c r="B22" s="1">
        <f>+B20+B18</f>
        <v>8713643.4327477403</v>
      </c>
      <c r="C22" s="1">
        <f t="shared" ref="C22:K22" si="3">+C20+C18</f>
        <v>0</v>
      </c>
      <c r="D22" s="1">
        <f t="shared" si="3"/>
        <v>95648.983699446457</v>
      </c>
      <c r="E22" s="1">
        <f t="shared" si="3"/>
        <v>438414.03355281451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9247706.4499999993</v>
      </c>
    </row>
    <row r="27" spans="1:11" x14ac:dyDescent="0.2">
      <c r="A27" t="s">
        <v>9</v>
      </c>
      <c r="B27" s="1">
        <f>+B9</f>
        <v>4280594.3499999996</v>
      </c>
    </row>
    <row r="28" spans="1:11" x14ac:dyDescent="0.2">
      <c r="A28" t="s">
        <v>10</v>
      </c>
      <c r="B28" s="1">
        <f>+B22-B27</f>
        <v>4433049.0827477407</v>
      </c>
    </row>
    <row r="29" spans="1:11" x14ac:dyDescent="0.2">
      <c r="A29" s="29" t="s">
        <v>163</v>
      </c>
      <c r="B29" s="1">
        <v>797</v>
      </c>
    </row>
    <row r="30" spans="1:11" x14ac:dyDescent="0.2">
      <c r="A30" t="s">
        <v>11</v>
      </c>
      <c r="B30" s="1">
        <f>+B28/B29</f>
        <v>5562.1694890184954</v>
      </c>
    </row>
  </sheetData>
  <phoneticPr fontId="0" type="noConversion"/>
  <pageMargins left="0.59" right="0.45" top="1" bottom="1" header="0.5" footer="0.5"/>
  <pageSetup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Table'!B35</f>
        <v>965579.12</v>
      </c>
      <c r="C9" s="1">
        <f>'Master Expend Table'!C35</f>
        <v>3207.71</v>
      </c>
      <c r="D9" s="1">
        <f>'Master Expend Table'!D35</f>
        <v>0</v>
      </c>
      <c r="E9" s="1">
        <f>'Master Expend Table'!E35</f>
        <v>180302.8</v>
      </c>
      <c r="G9" s="1">
        <f>'Master Expend Table'!G35</f>
        <v>173228.83</v>
      </c>
      <c r="H9" s="1">
        <f>'Master Expend Table'!H35</f>
        <v>473411.11</v>
      </c>
      <c r="I9" s="1">
        <f>'Master Expend Table'!I35</f>
        <v>813981.71</v>
      </c>
      <c r="J9" s="1">
        <f>'Master Expend Table'!J35</f>
        <v>358461.95</v>
      </c>
      <c r="K9" s="1">
        <f>SUM(B9:J9)</f>
        <v>2968173.23</v>
      </c>
    </row>
    <row r="11" spans="1:11" x14ac:dyDescent="0.2">
      <c r="A11" t="s">
        <v>3</v>
      </c>
      <c r="B11" s="1">
        <f>(B9/($K9-$J9))*-$J$11</f>
        <v>132628.99114053874</v>
      </c>
      <c r="C11" s="1">
        <f t="shared" ref="C11:I11" si="0">(C9/($K9-$J9))*-$J$11</f>
        <v>440.60122299601665</v>
      </c>
      <c r="D11" s="1">
        <f t="shared" si="0"/>
        <v>0</v>
      </c>
      <c r="E11" s="1">
        <f t="shared" si="0"/>
        <v>24765.84048732778</v>
      </c>
      <c r="G11" s="1">
        <f t="shared" si="0"/>
        <v>23794.181629938201</v>
      </c>
      <c r="H11" s="1">
        <f t="shared" si="0"/>
        <v>65026.300396825704</v>
      </c>
      <c r="I11" s="1">
        <f t="shared" si="0"/>
        <v>111806.03512237358</v>
      </c>
      <c r="J11" s="1">
        <f>-J9</f>
        <v>-358461.95</v>
      </c>
      <c r="K11" s="1">
        <v>0</v>
      </c>
    </row>
    <row r="12" spans="1:11" x14ac:dyDescent="0.2">
      <c r="A12" t="s">
        <v>4</v>
      </c>
      <c r="B12" s="1">
        <f>+B9+B11</f>
        <v>1098208.1111405387</v>
      </c>
      <c r="C12" s="1">
        <f t="shared" ref="C12:J12" si="1">+C9+C11</f>
        <v>3648.3112229960166</v>
      </c>
      <c r="D12" s="1">
        <f t="shared" si="1"/>
        <v>0</v>
      </c>
      <c r="E12" s="1">
        <f t="shared" si="1"/>
        <v>205068.64048732776</v>
      </c>
      <c r="G12" s="1">
        <f t="shared" si="1"/>
        <v>197023.01162993818</v>
      </c>
      <c r="H12" s="1">
        <f t="shared" si="1"/>
        <v>538437.41039682564</v>
      </c>
      <c r="I12" s="1">
        <f t="shared" si="1"/>
        <v>925787.74512237357</v>
      </c>
      <c r="J12" s="1">
        <f t="shared" si="1"/>
        <v>0</v>
      </c>
      <c r="K12" s="1">
        <f>SUM(B12:J12)</f>
        <v>2968173.23</v>
      </c>
    </row>
    <row r="14" spans="1:11" x14ac:dyDescent="0.2">
      <c r="A14" t="s">
        <v>5</v>
      </c>
      <c r="B14" s="1">
        <f>B$9/($K$9-$J$9-$I$9)*-I14</f>
        <v>497803.97403716302</v>
      </c>
      <c r="C14" s="1">
        <f t="shared" ref="C14:H14" si="2">C$9/($K$9-$J$9-$I$9)*-$I$14</f>
        <v>1653.733756751853</v>
      </c>
      <c r="D14" s="1">
        <f t="shared" si="2"/>
        <v>0</v>
      </c>
      <c r="E14" s="1">
        <f t="shared" si="2"/>
        <v>92955.044812928216</v>
      </c>
      <c r="G14" s="1">
        <f t="shared" si="2"/>
        <v>89308.062079685507</v>
      </c>
      <c r="H14" s="1">
        <f t="shared" si="2"/>
        <v>244066.93043584508</v>
      </c>
      <c r="I14" s="1">
        <f>-I12</f>
        <v>-925787.74512237357</v>
      </c>
      <c r="K14" s="1">
        <v>0</v>
      </c>
    </row>
    <row r="15" spans="1:11" x14ac:dyDescent="0.2">
      <c r="A15" t="s">
        <v>4</v>
      </c>
      <c r="B15" s="1">
        <f>+B12+B14</f>
        <v>1596012.0851777017</v>
      </c>
      <c r="C15" s="1">
        <f>+C12+C14</f>
        <v>5302.0449797478695</v>
      </c>
      <c r="D15" s="1">
        <f>+D12+D14</f>
        <v>0</v>
      </c>
      <c r="E15" s="1">
        <f>+E12+E14</f>
        <v>298023.68530025601</v>
      </c>
      <c r="G15" s="1">
        <f>+G12+G14</f>
        <v>286331.07370962366</v>
      </c>
      <c r="H15" s="1">
        <f>+H12+H14</f>
        <v>782504.34083267068</v>
      </c>
      <c r="I15" s="1">
        <f>+I12+I14</f>
        <v>0</v>
      </c>
      <c r="J15" s="1">
        <f>+J12+J14</f>
        <v>0</v>
      </c>
      <c r="K15" s="1">
        <f>SUM(B15:J15)</f>
        <v>2968173.23</v>
      </c>
    </row>
    <row r="17" spans="1:11" x14ac:dyDescent="0.2">
      <c r="A17" t="s">
        <v>6</v>
      </c>
      <c r="B17" s="1">
        <f>B$9/($K$9-$J$9-$I$9-$H$9)*-$H$17</f>
        <v>571397.79536722961</v>
      </c>
      <c r="C17" s="1">
        <f>C$9/($K$9-$J$9-$I$9-$H$9)*-$H$17</f>
        <v>1898.2167118292869</v>
      </c>
      <c r="D17" s="1">
        <f>D$9/($K$9-$J$9-$I$9-$H$9)*-$H$17</f>
        <v>0</v>
      </c>
      <c r="E17" s="1">
        <f>E$9/($K$9-$J$9-$I$9-$H$9)*-$H$17</f>
        <v>106697.23514582473</v>
      </c>
      <c r="G17" s="1">
        <f>G$9/($K$9-$J$9-$I$9-$H$9)*-$H$17</f>
        <v>102511.09360778701</v>
      </c>
      <c r="H17" s="1">
        <f>-H15</f>
        <v>-782504.34083267068</v>
      </c>
      <c r="K17" s="1">
        <v>0</v>
      </c>
    </row>
    <row r="18" spans="1:11" x14ac:dyDescent="0.2">
      <c r="A18" t="s">
        <v>4</v>
      </c>
      <c r="B18" s="1">
        <f>+B15+B17</f>
        <v>2167409.8805449312</v>
      </c>
      <c r="C18" s="1">
        <f>+C15+C17</f>
        <v>7200.2616915771559</v>
      </c>
      <c r="D18" s="1">
        <f>+D15+D17</f>
        <v>0</v>
      </c>
      <c r="E18" s="1">
        <f>+E15+E17</f>
        <v>404720.92044608074</v>
      </c>
      <c r="G18" s="1">
        <f>+G15+G17</f>
        <v>388842.1673174107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2968173.2299999995</v>
      </c>
    </row>
    <row r="20" spans="1:11" x14ac:dyDescent="0.2">
      <c r="A20" t="s">
        <v>7</v>
      </c>
      <c r="B20" s="1">
        <f>B$9/($K$9-$J$9-$I$9-$H$9-$G$9)*-$G$20</f>
        <v>326743.76996791642</v>
      </c>
      <c r="C20" s="1">
        <f>C$9/($K$9-$J$9-$I$9-$H$9-$G$9)*-$G$20</f>
        <v>1085.4618090372389</v>
      </c>
      <c r="D20" s="1">
        <f>D$9/($K$9-$J$9-$I$9-$H$9-$G$9)*-$G$20</f>
        <v>0</v>
      </c>
      <c r="E20" s="1">
        <f>E$9/($K$9-$J$9-$I$9-$H$9-$G$9)*-$G$20</f>
        <v>61012.935540457052</v>
      </c>
      <c r="G20" s="1">
        <f>-G18</f>
        <v>-388842.1673174107</v>
      </c>
      <c r="K20" s="1">
        <f>SUM(B20:J20)</f>
        <v>0</v>
      </c>
    </row>
    <row r="22" spans="1:11" x14ac:dyDescent="0.2">
      <c r="A22" t="s">
        <v>8</v>
      </c>
      <c r="B22" s="1">
        <f>+B20+B18</f>
        <v>2494153.6505128476</v>
      </c>
      <c r="C22" s="1">
        <f t="shared" ref="C22:K22" si="3">+C20+C18</f>
        <v>8285.7235006143947</v>
      </c>
      <c r="D22" s="1">
        <f t="shared" si="3"/>
        <v>0</v>
      </c>
      <c r="E22" s="1">
        <f t="shared" si="3"/>
        <v>465733.85598653776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2968173.2299999995</v>
      </c>
    </row>
    <row r="27" spans="1:11" x14ac:dyDescent="0.2">
      <c r="A27" t="s">
        <v>9</v>
      </c>
      <c r="B27" s="1">
        <f>+B9</f>
        <v>965579.12</v>
      </c>
    </row>
    <row r="28" spans="1:11" x14ac:dyDescent="0.2">
      <c r="A28" t="s">
        <v>10</v>
      </c>
      <c r="B28" s="1">
        <f>+B22-B27</f>
        <v>1528574.5305128475</v>
      </c>
    </row>
    <row r="29" spans="1:11" x14ac:dyDescent="0.2">
      <c r="A29" s="29" t="s">
        <v>163</v>
      </c>
      <c r="B29" s="1">
        <v>236</v>
      </c>
    </row>
    <row r="30" spans="1:11" x14ac:dyDescent="0.2">
      <c r="A30" t="s">
        <v>11</v>
      </c>
      <c r="B30" s="1">
        <f>+B28/B29</f>
        <v>6477.0107225120655</v>
      </c>
    </row>
  </sheetData>
  <phoneticPr fontId="0" type="noConversion"/>
  <pageMargins left="0.4" right="0.55000000000000004" top="1" bottom="0.6" header="0.5" footer="0.5"/>
  <pageSetup scale="96" orientation="landscape" horizontalDpi="4294967294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710937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Table'!B36</f>
        <v>2309633.23</v>
      </c>
      <c r="C9" s="1">
        <f>'Master Expend Table'!C36</f>
        <v>0</v>
      </c>
      <c r="D9" s="1">
        <f>'Master Expend Table'!D36</f>
        <v>107201.08</v>
      </c>
      <c r="E9" s="1">
        <f>'Master Expend Table'!E36</f>
        <v>0</v>
      </c>
      <c r="G9" s="1">
        <f>'Master Expend Table'!G36</f>
        <v>507178.78</v>
      </c>
      <c r="H9" s="1">
        <f>'Master Expend Table'!H36</f>
        <v>1135687.3899999999</v>
      </c>
      <c r="I9" s="1">
        <f>'Master Expend Table'!I36</f>
        <v>1094388.56</v>
      </c>
      <c r="J9" s="1">
        <f>'Master Expend Table'!J36</f>
        <v>502318.46</v>
      </c>
      <c r="K9" s="1">
        <f>SUM(B9:J9)</f>
        <v>5656407.4999999991</v>
      </c>
    </row>
    <row r="11" spans="1:11" x14ac:dyDescent="0.2">
      <c r="A11" t="s">
        <v>3</v>
      </c>
      <c r="B11" s="1">
        <f>(B9/($K9-$J9))*-$J$11</f>
        <v>225097.27679412111</v>
      </c>
      <c r="C11" s="1">
        <f t="shared" ref="C11:I11" si="0">(C9/($K9-$J9))*-$J$11</f>
        <v>0</v>
      </c>
      <c r="D11" s="1">
        <f t="shared" si="0"/>
        <v>10447.8368530352</v>
      </c>
      <c r="E11" s="1">
        <f t="shared" si="0"/>
        <v>0</v>
      </c>
      <c r="G11" s="1">
        <f t="shared" si="0"/>
        <v>49429.736610502732</v>
      </c>
      <c r="H11" s="1">
        <f t="shared" si="0"/>
        <v>110684.30063176004</v>
      </c>
      <c r="I11" s="1">
        <f t="shared" si="0"/>
        <v>106659.309110581</v>
      </c>
      <c r="J11" s="1">
        <f>-J9</f>
        <v>-502318.46</v>
      </c>
      <c r="K11" s="1">
        <v>0</v>
      </c>
    </row>
    <row r="12" spans="1:11" x14ac:dyDescent="0.2">
      <c r="A12" t="s">
        <v>4</v>
      </c>
      <c r="B12" s="1">
        <f>+B9+B11</f>
        <v>2534730.5067941211</v>
      </c>
      <c r="C12" s="1">
        <f t="shared" ref="C12:J12" si="1">+C9+C11</f>
        <v>0</v>
      </c>
      <c r="D12" s="1">
        <f t="shared" si="1"/>
        <v>117648.9168530352</v>
      </c>
      <c r="E12" s="1">
        <f t="shared" si="1"/>
        <v>0</v>
      </c>
      <c r="G12" s="1">
        <f t="shared" si="1"/>
        <v>556608.51661050273</v>
      </c>
      <c r="H12" s="1">
        <f t="shared" si="1"/>
        <v>1246371.6906317598</v>
      </c>
      <c r="I12" s="1">
        <f t="shared" si="1"/>
        <v>1201047.869110581</v>
      </c>
      <c r="J12" s="1">
        <f t="shared" si="1"/>
        <v>0</v>
      </c>
      <c r="K12" s="1">
        <f>SUM(B12:J12)</f>
        <v>5656407.5</v>
      </c>
    </row>
    <row r="14" spans="1:11" x14ac:dyDescent="0.2">
      <c r="A14" t="s">
        <v>5</v>
      </c>
      <c r="B14" s="1">
        <f>B$9/($K$9-$J$9-$I$9)*-I14</f>
        <v>683296.73161466559</v>
      </c>
      <c r="C14" s="1">
        <f t="shared" ref="C14:H14" si="2">C$9/($K$9-$J$9-$I$9)*-$I$14</f>
        <v>0</v>
      </c>
      <c r="D14" s="1">
        <f t="shared" si="2"/>
        <v>31715.056156150949</v>
      </c>
      <c r="E14" s="1">
        <f t="shared" si="2"/>
        <v>0</v>
      </c>
      <c r="G14" s="1">
        <f t="shared" si="2"/>
        <v>150047.02834064851</v>
      </c>
      <c r="H14" s="1">
        <f t="shared" si="2"/>
        <v>335989.05299911625</v>
      </c>
      <c r="I14" s="1">
        <f>-I12</f>
        <v>-1201047.869110581</v>
      </c>
      <c r="K14" s="1">
        <v>0</v>
      </c>
    </row>
    <row r="15" spans="1:11" x14ac:dyDescent="0.2">
      <c r="A15" t="s">
        <v>4</v>
      </c>
      <c r="B15" s="1">
        <f>+B12+B14</f>
        <v>3218027.2384087867</v>
      </c>
      <c r="C15" s="1">
        <f>+C12+C14</f>
        <v>0</v>
      </c>
      <c r="D15" s="1">
        <f>+D12+D14</f>
        <v>149363.97300918616</v>
      </c>
      <c r="E15" s="1">
        <f>+E12+E14</f>
        <v>0</v>
      </c>
      <c r="G15" s="1">
        <f>+G12+G14</f>
        <v>706655.54495115124</v>
      </c>
      <c r="H15" s="1">
        <f>+H12+H14</f>
        <v>1582360.7436308761</v>
      </c>
      <c r="I15" s="1">
        <f>+I12+I14</f>
        <v>0</v>
      </c>
      <c r="J15" s="1">
        <f>+J12+J14</f>
        <v>0</v>
      </c>
      <c r="K15" s="1">
        <f>SUM(B15:J15)</f>
        <v>5656407.5</v>
      </c>
    </row>
    <row r="17" spans="1:11" x14ac:dyDescent="0.2">
      <c r="A17" t="s">
        <v>6</v>
      </c>
      <c r="B17" s="1">
        <f>B$9/($K$9-$J$9-$I$9-$H$9)*-$H$17</f>
        <v>1249882.5562157054</v>
      </c>
      <c r="C17" s="1">
        <f>C$9/($K$9-$J$9-$I$9-$H$9)*-$H$17</f>
        <v>0</v>
      </c>
      <c r="D17" s="1">
        <f>D$9/($K$9-$J$9-$I$9-$H$9)*-$H$17</f>
        <v>58013.0031725792</v>
      </c>
      <c r="E17" s="1">
        <f>E$9/($K$9-$J$9-$I$9-$H$9)*-$H$17</f>
        <v>0</v>
      </c>
      <c r="G17" s="1">
        <f>G$9/($K$9-$J$9-$I$9-$H$9)*-$H$17</f>
        <v>274465.18424259202</v>
      </c>
      <c r="H17" s="1">
        <f>-H15</f>
        <v>-1582360.7436308761</v>
      </c>
      <c r="K17" s="1">
        <v>0</v>
      </c>
    </row>
    <row r="18" spans="1:11" x14ac:dyDescent="0.2">
      <c r="A18" t="s">
        <v>4</v>
      </c>
      <c r="B18" s="1">
        <f>+B15+B17</f>
        <v>4467909.7946244925</v>
      </c>
      <c r="C18" s="1">
        <f>+C15+C17</f>
        <v>0</v>
      </c>
      <c r="D18" s="1">
        <f>+D15+D17</f>
        <v>207376.97618176535</v>
      </c>
      <c r="E18" s="1">
        <f>+E15+E17</f>
        <v>0</v>
      </c>
      <c r="G18" s="1">
        <f>+G15+G17</f>
        <v>981120.72919374332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5656407.5000000009</v>
      </c>
    </row>
    <row r="20" spans="1:11" x14ac:dyDescent="0.2">
      <c r="A20" t="s">
        <v>7</v>
      </c>
      <c r="B20" s="1">
        <f>B$9/($K$9-$J$9-$I$9-$H$9-$G$9)*-$G$20</f>
        <v>937602.14732622774</v>
      </c>
      <c r="C20" s="1">
        <f>C$9/($K$9-$J$9-$I$9-$H$9-$G$9)*-$G$20</f>
        <v>0</v>
      </c>
      <c r="D20" s="1">
        <f>D$9/($K$9-$J$9-$I$9-$H$9-$G$9)*-$G$20</f>
        <v>43518.581867516135</v>
      </c>
      <c r="E20" s="1">
        <f>E$9/($K$9-$J$9-$I$9-$H$9-$G$9)*-$G$20</f>
        <v>0</v>
      </c>
      <c r="G20" s="1">
        <f>-G18</f>
        <v>-981120.72919374332</v>
      </c>
      <c r="K20" s="1">
        <f>SUM(B20:J20)</f>
        <v>0</v>
      </c>
    </row>
    <row r="22" spans="1:11" x14ac:dyDescent="0.2">
      <c r="A22" t="s">
        <v>8</v>
      </c>
      <c r="B22" s="1">
        <f>+B20+B18</f>
        <v>5405511.9419507198</v>
      </c>
      <c r="C22" s="1">
        <f t="shared" ref="C22:K22" si="3">+C20+C18</f>
        <v>0</v>
      </c>
      <c r="D22" s="1">
        <f t="shared" si="3"/>
        <v>250895.55804928148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5656407.5000000009</v>
      </c>
    </row>
    <row r="27" spans="1:11" x14ac:dyDescent="0.2">
      <c r="A27" t="s">
        <v>9</v>
      </c>
      <c r="B27" s="1">
        <f>+B9</f>
        <v>2309633.23</v>
      </c>
    </row>
    <row r="28" spans="1:11" x14ac:dyDescent="0.2">
      <c r="A28" t="s">
        <v>10</v>
      </c>
      <c r="B28" s="1">
        <f>+B22-B27</f>
        <v>3095878.7119507198</v>
      </c>
    </row>
    <row r="29" spans="1:11" x14ac:dyDescent="0.2">
      <c r="A29" s="29" t="s">
        <v>163</v>
      </c>
      <c r="B29" s="1">
        <v>573</v>
      </c>
    </row>
    <row r="30" spans="1:11" x14ac:dyDescent="0.2">
      <c r="A30" t="s">
        <v>11</v>
      </c>
      <c r="B30" s="1">
        <f>+B28/B29</f>
        <v>5402.9296892682723</v>
      </c>
    </row>
  </sheetData>
  <phoneticPr fontId="0" type="noConversion"/>
  <pageMargins left="0.52" right="0.45" top="1" bottom="1" header="0.5" footer="0.5"/>
  <pageSetup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Table'!B38</f>
        <v>12816864.619999999</v>
      </c>
      <c r="C9" s="1">
        <f>'Master Expend Table'!C38</f>
        <v>142866.01</v>
      </c>
      <c r="D9" s="1">
        <f>'Master Expend Table'!D38</f>
        <v>468699.36</v>
      </c>
      <c r="E9" s="1">
        <f>'Master Expend Table'!E38</f>
        <v>270354.71999999997</v>
      </c>
      <c r="G9" s="1">
        <f>'Master Expend Table'!G38</f>
        <v>3739953.12</v>
      </c>
      <c r="H9" s="1">
        <f>'Master Expend Table'!H38</f>
        <v>2743044.65</v>
      </c>
      <c r="I9" s="1">
        <f>'Master Expend Table'!I38</f>
        <v>3123933.62</v>
      </c>
      <c r="J9" s="1">
        <f>'Master Expend Table'!J38</f>
        <v>2744900.15</v>
      </c>
      <c r="K9" s="1">
        <f>SUM(B9:J9)</f>
        <v>26050616.249999996</v>
      </c>
    </row>
    <row r="11" spans="1:11" x14ac:dyDescent="0.2">
      <c r="A11" t="s">
        <v>3</v>
      </c>
      <c r="B11" s="1">
        <f>(B9/($K9-$J9))*-$J$11</f>
        <v>1509544.4167865622</v>
      </c>
      <c r="C11" s="1">
        <f t="shared" ref="C11:I11" si="0">(C9/($K9-$J9))*-$J$11</f>
        <v>16826.4699782772</v>
      </c>
      <c r="D11" s="1">
        <f t="shared" si="0"/>
        <v>55202.463552231464</v>
      </c>
      <c r="E11" s="1">
        <f t="shared" si="0"/>
        <v>31841.832634407143</v>
      </c>
      <c r="G11" s="1">
        <f t="shared" si="0"/>
        <v>440484.12140749325</v>
      </c>
      <c r="H11" s="1">
        <f t="shared" si="0"/>
        <v>323070.25619529013</v>
      </c>
      <c r="I11" s="1">
        <f t="shared" si="0"/>
        <v>367930.58944573876</v>
      </c>
      <c r="J11" s="1">
        <f>-J9</f>
        <v>-2744900.15</v>
      </c>
      <c r="K11" s="1">
        <v>0</v>
      </c>
    </row>
    <row r="12" spans="1:11" x14ac:dyDescent="0.2">
      <c r="A12" t="s">
        <v>4</v>
      </c>
      <c r="B12" s="1">
        <f>+B9+B11</f>
        <v>14326409.036786562</v>
      </c>
      <c r="C12" s="1">
        <f t="shared" ref="C12:J12" si="1">+C9+C11</f>
        <v>159692.4799782772</v>
      </c>
      <c r="D12" s="1">
        <f t="shared" si="1"/>
        <v>523901.82355223142</v>
      </c>
      <c r="E12" s="1">
        <f t="shared" si="1"/>
        <v>302196.55263440713</v>
      </c>
      <c r="G12" s="1">
        <f t="shared" si="1"/>
        <v>4180437.2414074931</v>
      </c>
      <c r="H12" s="1">
        <f t="shared" si="1"/>
        <v>3066114.9061952899</v>
      </c>
      <c r="I12" s="1">
        <f t="shared" si="1"/>
        <v>3491864.2094457387</v>
      </c>
      <c r="J12" s="1">
        <f t="shared" si="1"/>
        <v>0</v>
      </c>
      <c r="K12" s="1">
        <f>SUM(B12:J12)</f>
        <v>26050616.25</v>
      </c>
    </row>
    <row r="14" spans="1:11" x14ac:dyDescent="0.2">
      <c r="A14" t="s">
        <v>5</v>
      </c>
      <c r="B14" s="1">
        <f>B$9/($K$9-$J$9-$I$9)*-I14</f>
        <v>2217581.6674389886</v>
      </c>
      <c r="C14" s="1">
        <f t="shared" ref="C14:H14" si="2">C$9/($K$9-$J$9-$I$9)*-$I$14</f>
        <v>24718.763447167879</v>
      </c>
      <c r="D14" s="1">
        <f t="shared" si="2"/>
        <v>81094.646709031615</v>
      </c>
      <c r="E14" s="1">
        <f t="shared" si="2"/>
        <v>46776.937149048303</v>
      </c>
      <c r="G14" s="1">
        <f t="shared" si="2"/>
        <v>647088.95052628312</v>
      </c>
      <c r="H14" s="1">
        <f t="shared" si="2"/>
        <v>474603.24417521985</v>
      </c>
      <c r="I14" s="1">
        <f>-I12</f>
        <v>-3491864.2094457387</v>
      </c>
      <c r="K14" s="1">
        <v>0</v>
      </c>
    </row>
    <row r="15" spans="1:11" x14ac:dyDescent="0.2">
      <c r="A15" t="s">
        <v>4</v>
      </c>
      <c r="B15" s="1">
        <f>+B12+B14</f>
        <v>16543990.704225551</v>
      </c>
      <c r="C15" s="1">
        <f>+C12+C14</f>
        <v>184411.24342544508</v>
      </c>
      <c r="D15" s="1">
        <f>+D12+D14</f>
        <v>604996.47026126308</v>
      </c>
      <c r="E15" s="1">
        <f>+E12+E14</f>
        <v>348973.48978345544</v>
      </c>
      <c r="G15" s="1">
        <f>+G12+G14</f>
        <v>4827526.1919337763</v>
      </c>
      <c r="H15" s="1">
        <f>+H12+H14</f>
        <v>3540718.1503705098</v>
      </c>
      <c r="I15" s="1">
        <f>+I12+I14</f>
        <v>0</v>
      </c>
      <c r="J15" s="1">
        <f>+J12+J14</f>
        <v>0</v>
      </c>
      <c r="K15" s="1">
        <f>SUM(B15:J15)</f>
        <v>26050616.25</v>
      </c>
    </row>
    <row r="17" spans="1:11" x14ac:dyDescent="0.2">
      <c r="A17" t="s">
        <v>6</v>
      </c>
      <c r="B17" s="1">
        <f>B$9/($K$9-$J$9-$I$9-$H$9)*-$H$17</f>
        <v>2602304.4576544119</v>
      </c>
      <c r="C17" s="1">
        <f>C$9/($K$9-$J$9-$I$9-$H$9)*-$H$17</f>
        <v>29007.160931555496</v>
      </c>
      <c r="D17" s="1">
        <f>D$9/($K$9-$J$9-$I$9-$H$9)*-$H$17</f>
        <v>95163.557546242548</v>
      </c>
      <c r="E17" s="1">
        <f>E$9/($K$9-$J$9-$I$9-$H$9)*-$H$17</f>
        <v>54892.152945586029</v>
      </c>
      <c r="G17" s="1">
        <f>G$9/($K$9-$J$9-$I$9-$H$9)*-$H$17</f>
        <v>759350.82129271387</v>
      </c>
      <c r="H17" s="1">
        <f>-H15</f>
        <v>-3540718.1503705098</v>
      </c>
      <c r="K17" s="1">
        <v>0</v>
      </c>
    </row>
    <row r="18" spans="1:11" x14ac:dyDescent="0.2">
      <c r="A18" t="s">
        <v>4</v>
      </c>
      <c r="B18" s="1">
        <f>+B15+B17</f>
        <v>19146295.161879964</v>
      </c>
      <c r="C18" s="1">
        <f>+C15+C17</f>
        <v>213418.40435700057</v>
      </c>
      <c r="D18" s="1">
        <f>+D15+D17</f>
        <v>700160.02780750557</v>
      </c>
      <c r="E18" s="1">
        <f>+E15+E17</f>
        <v>403865.64272904146</v>
      </c>
      <c r="G18" s="1">
        <f>+G15+G17</f>
        <v>5586877.0132264905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26050616.25</v>
      </c>
    </row>
    <row r="20" spans="1:11" x14ac:dyDescent="0.2">
      <c r="A20" t="s">
        <v>7</v>
      </c>
      <c r="B20" s="1">
        <f>B$9/($K$9-$J$9-$I$9-$H$9-$G$9)*-$G$20</f>
        <v>5227196.9990769997</v>
      </c>
      <c r="C20" s="1">
        <f>C$9/($K$9-$J$9-$I$9-$H$9-$G$9)*-$G$20</f>
        <v>58266.10492372547</v>
      </c>
      <c r="D20" s="1">
        <f>D$9/($K$9-$J$9-$I$9-$H$9-$G$9)*-$G$20</f>
        <v>191153.13773684145</v>
      </c>
      <c r="E20" s="1">
        <f>E$9/($K$9-$J$9-$I$9-$H$9-$G$9)*-$G$20</f>
        <v>110260.77148892461</v>
      </c>
      <c r="G20" s="1">
        <f>-G18</f>
        <v>-5586877.0132264905</v>
      </c>
      <c r="K20" s="1">
        <f>SUM(B20:J20)</f>
        <v>0</v>
      </c>
    </row>
    <row r="22" spans="1:11" x14ac:dyDescent="0.2">
      <c r="A22" t="s">
        <v>8</v>
      </c>
      <c r="B22" s="1">
        <f>+B20+B18</f>
        <v>24373492.160956964</v>
      </c>
      <c r="C22" s="1">
        <f t="shared" ref="C22:K22" si="3">+C20+C18</f>
        <v>271684.50928072602</v>
      </c>
      <c r="D22" s="1">
        <f t="shared" si="3"/>
        <v>891313.16554434702</v>
      </c>
      <c r="E22" s="1">
        <f t="shared" si="3"/>
        <v>514126.41421796608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26050616.25</v>
      </c>
    </row>
    <row r="27" spans="1:11" x14ac:dyDescent="0.2">
      <c r="A27" t="s">
        <v>9</v>
      </c>
      <c r="B27" s="1">
        <f>B9</f>
        <v>12816864.619999999</v>
      </c>
    </row>
    <row r="28" spans="1:11" x14ac:dyDescent="0.2">
      <c r="A28" t="s">
        <v>10</v>
      </c>
      <c r="B28" s="1">
        <f>+B22-B27</f>
        <v>11556627.540956965</v>
      </c>
    </row>
    <row r="29" spans="1:11" x14ac:dyDescent="0.2">
      <c r="A29" s="29" t="s">
        <v>163</v>
      </c>
      <c r="B29" s="1">
        <v>2101</v>
      </c>
    </row>
    <row r="30" spans="1:11" x14ac:dyDescent="0.2">
      <c r="A30" t="s">
        <v>11</v>
      </c>
      <c r="B30" s="1">
        <f>+B28/B29</f>
        <v>5500.5366687086935</v>
      </c>
    </row>
  </sheetData>
  <phoneticPr fontId="0" type="noConversion"/>
  <pageMargins left="0.51" right="0.55000000000000004" top="1" bottom="0.62" header="0.5" footer="0.5"/>
  <pageSetup scale="97" orientation="landscape" horizontalDpi="4294967294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14062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Table'!B39</f>
        <v>3548049.23</v>
      </c>
      <c r="C9" s="1">
        <f>'Master Expend Table'!C39</f>
        <v>0</v>
      </c>
      <c r="D9" s="1">
        <f>'Master Expend Table'!D39</f>
        <v>515907.91</v>
      </c>
      <c r="E9" s="1">
        <f>'Master Expend Table'!E39</f>
        <v>0</v>
      </c>
      <c r="G9" s="1">
        <f>'Master Expend Table'!G39</f>
        <v>1158527.6299999999</v>
      </c>
      <c r="H9" s="1">
        <f>'Master Expend Table'!H39</f>
        <v>1190113.1599999999</v>
      </c>
      <c r="I9" s="1">
        <f>'Master Expend Table'!I39</f>
        <v>1312060.1100000001</v>
      </c>
      <c r="J9" s="1">
        <f>'Master Expend Table'!J39</f>
        <v>617195.21</v>
      </c>
      <c r="K9" s="1">
        <f>SUM(B9:J9)</f>
        <v>8341853.25</v>
      </c>
    </row>
    <row r="11" spans="1:11" x14ac:dyDescent="0.2">
      <c r="A11" t="s">
        <v>3</v>
      </c>
      <c r="B11" s="1">
        <f>(B9/($K9-$J9))*-$J$11</f>
        <v>283486.85187884228</v>
      </c>
      <c r="C11" s="1">
        <f t="shared" ref="C11:I11" si="0">(C9/($K9-$J9))*-$J$11</f>
        <v>0</v>
      </c>
      <c r="D11" s="1">
        <f t="shared" si="0"/>
        <v>41220.710250768723</v>
      </c>
      <c r="E11" s="1">
        <f t="shared" si="0"/>
        <v>0</v>
      </c>
      <c r="G11" s="1">
        <f t="shared" si="0"/>
        <v>92565.612637611615</v>
      </c>
      <c r="H11" s="1">
        <f t="shared" si="0"/>
        <v>95089.276173313105</v>
      </c>
      <c r="I11" s="1">
        <f t="shared" si="0"/>
        <v>104832.75905946421</v>
      </c>
      <c r="J11" s="1">
        <f>-J9</f>
        <v>-617195.21</v>
      </c>
      <c r="K11" s="1">
        <v>0</v>
      </c>
    </row>
    <row r="12" spans="1:11" x14ac:dyDescent="0.2">
      <c r="A12" t="s">
        <v>4</v>
      </c>
      <c r="B12" s="1">
        <f>+B9+B11</f>
        <v>3831536.0818788423</v>
      </c>
      <c r="C12" s="1">
        <f t="shared" ref="C12:J12" si="1">+C9+C11</f>
        <v>0</v>
      </c>
      <c r="D12" s="1">
        <f t="shared" si="1"/>
        <v>557128.62025076873</v>
      </c>
      <c r="E12" s="1">
        <f t="shared" si="1"/>
        <v>0</v>
      </c>
      <c r="G12" s="1">
        <f t="shared" si="1"/>
        <v>1251093.2426376115</v>
      </c>
      <c r="H12" s="1">
        <f t="shared" si="1"/>
        <v>1285202.4361733131</v>
      </c>
      <c r="I12" s="1">
        <f t="shared" si="1"/>
        <v>1416892.8690594644</v>
      </c>
      <c r="J12" s="1">
        <f t="shared" si="1"/>
        <v>0</v>
      </c>
      <c r="K12" s="1">
        <f>SUM(B12:J12)</f>
        <v>8341853.25</v>
      </c>
    </row>
    <row r="14" spans="1:11" x14ac:dyDescent="0.2">
      <c r="A14" t="s">
        <v>5</v>
      </c>
      <c r="B14" s="1">
        <f>B$9/($K$9-$J$9-$I$9)*-I14</f>
        <v>783957.72009035409</v>
      </c>
      <c r="C14" s="1">
        <f t="shared" ref="C14:H14" si="2">C$9/($K$9-$J$9-$I$9)*-$I$14</f>
        <v>0</v>
      </c>
      <c r="D14" s="1">
        <f t="shared" si="2"/>
        <v>113992.21450492094</v>
      </c>
      <c r="E14" s="1">
        <f t="shared" si="2"/>
        <v>0</v>
      </c>
      <c r="G14" s="1">
        <f t="shared" si="2"/>
        <v>255981.98350716828</v>
      </c>
      <c r="H14" s="1">
        <f t="shared" si="2"/>
        <v>262960.95095702115</v>
      </c>
      <c r="I14" s="1">
        <f>-I12</f>
        <v>-1416892.8690594644</v>
      </c>
      <c r="K14" s="1">
        <v>0</v>
      </c>
    </row>
    <row r="15" spans="1:11" x14ac:dyDescent="0.2">
      <c r="A15" t="s">
        <v>4</v>
      </c>
      <c r="B15" s="1">
        <f>+B12+B14</f>
        <v>4615493.8019691966</v>
      </c>
      <c r="C15" s="1">
        <f>+C12+C14</f>
        <v>0</v>
      </c>
      <c r="D15" s="1">
        <f>+D12+D14</f>
        <v>671120.8347556896</v>
      </c>
      <c r="E15" s="1">
        <f>+E12+E14</f>
        <v>0</v>
      </c>
      <c r="G15" s="1">
        <f>+G12+G14</f>
        <v>1507075.2261447797</v>
      </c>
      <c r="H15" s="1">
        <f>+H12+H14</f>
        <v>1548163.3871303343</v>
      </c>
      <c r="I15" s="1">
        <f>+I12+I14</f>
        <v>0</v>
      </c>
      <c r="J15" s="1">
        <f>+J12+J14</f>
        <v>0</v>
      </c>
      <c r="K15" s="1">
        <f>SUM(B15:J15)</f>
        <v>8341853.25</v>
      </c>
    </row>
    <row r="17" spans="1:11" x14ac:dyDescent="0.2">
      <c r="A17" t="s">
        <v>6</v>
      </c>
      <c r="B17" s="1">
        <f>B$9/($K$9-$J$9-$I$9-$H$9)*-$H$17</f>
        <v>1051790.508835122</v>
      </c>
      <c r="C17" s="1">
        <f>C$9/($K$9-$J$9-$I$9-$H$9)*-$H$17</f>
        <v>0</v>
      </c>
      <c r="D17" s="1">
        <f>D$9/($K$9-$J$9-$I$9-$H$9)*-$H$17</f>
        <v>152936.72888833177</v>
      </c>
      <c r="E17" s="1">
        <f>E$9/($K$9-$J$9-$I$9-$H$9)*-$H$17</f>
        <v>0</v>
      </c>
      <c r="G17" s="1">
        <f>G$9/($K$9-$J$9-$I$9-$H$9)*-$H$17</f>
        <v>343436.14940688061</v>
      </c>
      <c r="H17" s="1">
        <f>-H15</f>
        <v>-1548163.3871303343</v>
      </c>
      <c r="K17" s="1">
        <v>0</v>
      </c>
    </row>
    <row r="18" spans="1:11" x14ac:dyDescent="0.2">
      <c r="A18" t="s">
        <v>4</v>
      </c>
      <c r="B18" s="1">
        <f>+B15+B17</f>
        <v>5667284.3108043186</v>
      </c>
      <c r="C18" s="1">
        <f>+C15+C17</f>
        <v>0</v>
      </c>
      <c r="D18" s="1">
        <f>+D15+D17</f>
        <v>824057.5636440214</v>
      </c>
      <c r="E18" s="1">
        <f>+E15+E17</f>
        <v>0</v>
      </c>
      <c r="G18" s="1">
        <f>+G15+G17</f>
        <v>1850511.3755516603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8341853.2500000009</v>
      </c>
    </row>
    <row r="20" spans="1:11" x14ac:dyDescent="0.2">
      <c r="A20" t="s">
        <v>7</v>
      </c>
      <c r="B20" s="1">
        <f>B$9/($K$9-$J$9-$I$9-$H$9-$G$9)*-$G$20</f>
        <v>1615594.1696600446</v>
      </c>
      <c r="C20" s="1">
        <f>C$9/($K$9-$J$9-$I$9-$H$9-$G$9)*-$G$20</f>
        <v>0</v>
      </c>
      <c r="D20" s="1">
        <f>D$9/($K$9-$J$9-$I$9-$H$9-$G$9)*-$G$20</f>
        <v>234917.2058916158</v>
      </c>
      <c r="E20" s="1">
        <f>E$9/($K$9-$J$9-$I$9-$H$9-$G$9)*-$G$20</f>
        <v>0</v>
      </c>
      <c r="G20" s="1">
        <f>-G18</f>
        <v>-1850511.3755516603</v>
      </c>
      <c r="K20" s="1">
        <f>SUM(B20:J20)</f>
        <v>0</v>
      </c>
    </row>
    <row r="22" spans="1:11" x14ac:dyDescent="0.2">
      <c r="A22" t="s">
        <v>8</v>
      </c>
      <c r="B22" s="1">
        <f>+B20+B18</f>
        <v>7282878.4804643635</v>
      </c>
      <c r="C22" s="1">
        <f t="shared" ref="C22:K22" si="3">+C20+C18</f>
        <v>0</v>
      </c>
      <c r="D22" s="1">
        <f t="shared" si="3"/>
        <v>1058974.7695356372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8341853.2500000009</v>
      </c>
    </row>
    <row r="27" spans="1:11" x14ac:dyDescent="0.2">
      <c r="A27" t="s">
        <v>9</v>
      </c>
      <c r="B27" s="1">
        <f>+B9</f>
        <v>3548049.23</v>
      </c>
    </row>
    <row r="28" spans="1:11" x14ac:dyDescent="0.2">
      <c r="A28" t="s">
        <v>10</v>
      </c>
      <c r="B28" s="1">
        <f>+B22-B27</f>
        <v>3734829.2504643635</v>
      </c>
    </row>
    <row r="29" spans="1:11" x14ac:dyDescent="0.2">
      <c r="A29" s="29" t="s">
        <v>163</v>
      </c>
      <c r="B29" s="1">
        <v>772</v>
      </c>
    </row>
    <row r="30" spans="1:11" x14ac:dyDescent="0.2">
      <c r="A30" t="s">
        <v>11</v>
      </c>
      <c r="B30" s="1">
        <f>+B28/B29</f>
        <v>4837.8617233994346</v>
      </c>
    </row>
  </sheetData>
  <phoneticPr fontId="0" type="noConversion"/>
  <pageMargins left="0.56000000000000005" right="0.55000000000000004" top="1" bottom="0.55000000000000004" header="0.5" footer="0.5"/>
  <pageSetup scale="97" orientation="landscape" horizontalDpi="4294967294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4257812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Table'!B40</f>
        <v>15948911.279999999</v>
      </c>
      <c r="C9" s="1">
        <f>'Master Expend Table'!C40</f>
        <v>88176.85</v>
      </c>
      <c r="D9" s="1">
        <f>'Master Expend Table'!D40</f>
        <v>1966245.89</v>
      </c>
      <c r="E9" s="1">
        <f>'Master Expend Table'!E40</f>
        <v>456.12</v>
      </c>
      <c r="G9" s="1">
        <f>'Master Expend Table'!G40</f>
        <v>3249892.87</v>
      </c>
      <c r="H9" s="1">
        <f>'Master Expend Table'!H40</f>
        <v>3014556.17</v>
      </c>
      <c r="I9" s="1">
        <f>'Master Expend Table'!I40</f>
        <v>4070366.37</v>
      </c>
      <c r="J9" s="1">
        <f>'Master Expend Table'!J40</f>
        <v>3326943.59</v>
      </c>
      <c r="K9" s="1">
        <f>SUM(B9:J9)</f>
        <v>31665549.140000001</v>
      </c>
    </row>
    <row r="11" spans="1:11" x14ac:dyDescent="0.2">
      <c r="A11" t="s">
        <v>3</v>
      </c>
      <c r="B11" s="1">
        <f>(B9/($K9-$J9))*-$J$11</f>
        <v>1872397.2870455754</v>
      </c>
      <c r="C11" s="1">
        <f t="shared" ref="C11:I11" si="0">(C9/($K9-$J9))*-$J$11</f>
        <v>10351.935114672269</v>
      </c>
      <c r="D11" s="1">
        <f t="shared" si="0"/>
        <v>230836.66373624172</v>
      </c>
      <c r="E11" s="1">
        <f t="shared" si="0"/>
        <v>53.548347945116163</v>
      </c>
      <c r="G11" s="1">
        <f t="shared" si="0"/>
        <v>381536.42503532441</v>
      </c>
      <c r="H11" s="1">
        <f t="shared" si="0"/>
        <v>353907.96871712868</v>
      </c>
      <c r="I11" s="1">
        <f t="shared" si="0"/>
        <v>477859.762003112</v>
      </c>
      <c r="J11" s="1">
        <f>-J9</f>
        <v>-3326943.59</v>
      </c>
      <c r="K11" s="1">
        <v>0</v>
      </c>
    </row>
    <row r="12" spans="1:11" x14ac:dyDescent="0.2">
      <c r="A12" t="s">
        <v>4</v>
      </c>
      <c r="B12" s="1">
        <f>+B9+B11</f>
        <v>17821308.567045573</v>
      </c>
      <c r="C12" s="1">
        <f t="shared" ref="C12:J12" si="1">+C9+C11</f>
        <v>98528.785114672268</v>
      </c>
      <c r="D12" s="1">
        <f t="shared" si="1"/>
        <v>2197082.5537362415</v>
      </c>
      <c r="E12" s="1">
        <f t="shared" si="1"/>
        <v>509.66834794511618</v>
      </c>
      <c r="G12" s="1">
        <f t="shared" si="1"/>
        <v>3631429.2950353245</v>
      </c>
      <c r="H12" s="1">
        <f t="shared" si="1"/>
        <v>3368464.1387171284</v>
      </c>
      <c r="I12" s="1">
        <f t="shared" si="1"/>
        <v>4548226.1320031118</v>
      </c>
      <c r="J12" s="1">
        <f t="shared" si="1"/>
        <v>0</v>
      </c>
      <c r="K12" s="1">
        <f>SUM(B12:J12)</f>
        <v>31665549.139999993</v>
      </c>
    </row>
    <row r="14" spans="1:11" x14ac:dyDescent="0.2">
      <c r="A14" t="s">
        <v>5</v>
      </c>
      <c r="B14" s="1">
        <f>B$9/($K$9-$J$9-$I$9)*-I14</f>
        <v>2989061.320957988</v>
      </c>
      <c r="C14" s="1">
        <f t="shared" ref="C14:H14" si="2">C$9/($K$9-$J$9-$I$9)*-$I$14</f>
        <v>16525.642854972004</v>
      </c>
      <c r="D14" s="1">
        <f t="shared" si="2"/>
        <v>368503.49432074931</v>
      </c>
      <c r="E14" s="1">
        <f t="shared" si="2"/>
        <v>85.483618648316749</v>
      </c>
      <c r="G14" s="1">
        <f t="shared" si="2"/>
        <v>609077.8802660784</v>
      </c>
      <c r="H14" s="1">
        <f t="shared" si="2"/>
        <v>564972.30998467584</v>
      </c>
      <c r="I14" s="1">
        <f>-I12</f>
        <v>-4548226.1320031118</v>
      </c>
      <c r="K14" s="1">
        <v>0</v>
      </c>
    </row>
    <row r="15" spans="1:11" x14ac:dyDescent="0.2">
      <c r="A15" t="s">
        <v>4</v>
      </c>
      <c r="B15" s="1">
        <f>+B12+B14</f>
        <v>20810369.888003562</v>
      </c>
      <c r="C15" s="1">
        <f>+C12+C14</f>
        <v>115054.42796964427</v>
      </c>
      <c r="D15" s="1">
        <f>+D12+D14</f>
        <v>2565586.0480569908</v>
      </c>
      <c r="E15" s="1">
        <f>+E12+E14</f>
        <v>595.15196659343292</v>
      </c>
      <c r="G15" s="1">
        <f>+G12+G14</f>
        <v>4240507.1753014028</v>
      </c>
      <c r="H15" s="1">
        <f>+H12+H14</f>
        <v>3933436.4487018045</v>
      </c>
      <c r="I15" s="1">
        <f>+I12+I14</f>
        <v>0</v>
      </c>
      <c r="J15" s="1">
        <f>+J12+J14</f>
        <v>0</v>
      </c>
      <c r="K15" s="1">
        <f>SUM(B15:J15)</f>
        <v>31665549.140000001</v>
      </c>
    </row>
    <row r="17" spans="1:11" x14ac:dyDescent="0.2">
      <c r="A17" t="s">
        <v>6</v>
      </c>
      <c r="B17" s="1">
        <f>B$9/($K$9-$J$9-$I$9-$H$9)*-$H$17</f>
        <v>2951678.0181743833</v>
      </c>
      <c r="C17" s="1">
        <f>C$9/($K$9-$J$9-$I$9-$H$9)*-$H$17</f>
        <v>16318.961544618978</v>
      </c>
      <c r="D17" s="1">
        <f>D$9/($K$9-$J$9-$I$9-$H$9)*-$H$17</f>
        <v>363894.73048963665</v>
      </c>
      <c r="E17" s="1">
        <f>E$9/($K$9-$J$9-$I$9-$H$9)*-$H$17</f>
        <v>84.414500401540863</v>
      </c>
      <c r="G17" s="1">
        <f>G$9/($K$9-$J$9-$I$9-$H$9)*-$H$17</f>
        <v>601460.32399276469</v>
      </c>
      <c r="H17" s="1">
        <f>-H15</f>
        <v>-3933436.4487018045</v>
      </c>
      <c r="K17" s="1">
        <v>0</v>
      </c>
    </row>
    <row r="18" spans="1:11" x14ac:dyDescent="0.2">
      <c r="A18" t="s">
        <v>4</v>
      </c>
      <c r="B18" s="1">
        <f>+B15+B17</f>
        <v>23762047.906177945</v>
      </c>
      <c r="C18" s="1">
        <f>+C15+C17</f>
        <v>131373.38951426325</v>
      </c>
      <c r="D18" s="1">
        <f>+D15+D17</f>
        <v>2929480.7785466276</v>
      </c>
      <c r="E18" s="1">
        <f>+E15+E17</f>
        <v>679.56646699497378</v>
      </c>
      <c r="G18" s="1">
        <f>+G15+G17</f>
        <v>4841967.4992941674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31665549.140000001</v>
      </c>
    </row>
    <row r="20" spans="1:11" x14ac:dyDescent="0.2">
      <c r="A20" t="s">
        <v>7</v>
      </c>
      <c r="B20" s="1">
        <f>B$9/($K$9-$J$9-$I$9-$H$9-$G$9)*-$G$20</f>
        <v>4289325.1624452751</v>
      </c>
      <c r="C20" s="1">
        <f>C$9/($K$9-$J$9-$I$9-$H$9-$G$9)*-$G$20</f>
        <v>23714.420051006939</v>
      </c>
      <c r="D20" s="1">
        <f>D$9/($K$9-$J$9-$I$9-$H$9-$G$9)*-$G$20</f>
        <v>528805.24717117904</v>
      </c>
      <c r="E20" s="1">
        <f>E$9/($K$9-$J$9-$I$9-$H$9-$G$9)*-$G$20</f>
        <v>122.66962670661613</v>
      </c>
      <c r="G20" s="1">
        <f>-G18</f>
        <v>-4841967.4992941674</v>
      </c>
      <c r="K20" s="1">
        <f>SUM(B20:J20)</f>
        <v>0</v>
      </c>
    </row>
    <row r="22" spans="1:11" x14ac:dyDescent="0.2">
      <c r="A22" t="s">
        <v>8</v>
      </c>
      <c r="B22" s="1">
        <f>+B20+B18</f>
        <v>28051373.068623222</v>
      </c>
      <c r="C22" s="1">
        <f t="shared" ref="C22:K22" si="3">+C20+C18</f>
        <v>155087.8095652702</v>
      </c>
      <c r="D22" s="1">
        <f t="shared" si="3"/>
        <v>3458286.0257178065</v>
      </c>
      <c r="E22" s="1">
        <f t="shared" si="3"/>
        <v>802.23609370158988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31665549.140000001</v>
      </c>
    </row>
    <row r="27" spans="1:11" x14ac:dyDescent="0.2">
      <c r="A27" t="s">
        <v>9</v>
      </c>
      <c r="B27" s="1">
        <f>+B9</f>
        <v>15948911.279999999</v>
      </c>
    </row>
    <row r="28" spans="1:11" x14ac:dyDescent="0.2">
      <c r="A28" t="s">
        <v>10</v>
      </c>
      <c r="B28" s="1">
        <f>+B22-B27</f>
        <v>12102461.788623223</v>
      </c>
    </row>
    <row r="29" spans="1:11" x14ac:dyDescent="0.2">
      <c r="A29" s="29" t="s">
        <v>163</v>
      </c>
      <c r="B29" s="1">
        <v>2619</v>
      </c>
    </row>
    <row r="30" spans="1:11" x14ac:dyDescent="0.2">
      <c r="A30" t="s">
        <v>11</v>
      </c>
      <c r="B30" s="1">
        <f>+B28/B29</f>
        <v>4621.023974273854</v>
      </c>
    </row>
  </sheetData>
  <phoneticPr fontId="0" type="noConversion"/>
  <pageMargins left="0.59" right="0.55000000000000004" top="1" bottom="0.57999999999999996" header="0.5" footer="0.5"/>
  <pageSetup scale="96" orientation="landscape" horizontalDpi="4294967294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5.2851562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Table'!B41</f>
        <v>10072095.210000001</v>
      </c>
      <c r="C9" s="1">
        <f>'Master Expend Table'!C41</f>
        <v>0</v>
      </c>
      <c r="D9" s="1">
        <f>'Master Expend Table'!D41</f>
        <v>855709.28</v>
      </c>
      <c r="E9" s="1">
        <f>'Master Expend Table'!E41</f>
        <v>152750.76</v>
      </c>
      <c r="G9" s="1">
        <f>'Master Expend Table'!G41</f>
        <v>3288775.44</v>
      </c>
      <c r="H9" s="1">
        <f>'Master Expend Table'!H41</f>
        <v>3024435.3</v>
      </c>
      <c r="I9" s="1">
        <f>'Master Expend Table'!I41</f>
        <v>3585974.5</v>
      </c>
      <c r="J9" s="1">
        <f>'Master Expend Table'!J41</f>
        <v>2425151.04</v>
      </c>
      <c r="K9" s="1">
        <f>SUM(B9:J9)</f>
        <v>23404891.529999997</v>
      </c>
    </row>
    <row r="11" spans="1:11" x14ac:dyDescent="0.2">
      <c r="A11" t="s">
        <v>3</v>
      </c>
      <c r="B11" s="1">
        <f>(B9/($K9-$J9))*-$J$11</f>
        <v>1164282.8558891541</v>
      </c>
      <c r="C11" s="1">
        <f t="shared" ref="C11:I11" si="0">(C9/($K9-$J9))*-$J$11</f>
        <v>0</v>
      </c>
      <c r="D11" s="1">
        <f t="shared" si="0"/>
        <v>98915.630120344329</v>
      </c>
      <c r="E11" s="1">
        <f t="shared" si="0"/>
        <v>17657.20908947194</v>
      </c>
      <c r="G11" s="1">
        <f t="shared" si="0"/>
        <v>380165.67375769565</v>
      </c>
      <c r="H11" s="1">
        <f t="shared" si="0"/>
        <v>349609.30125440803</v>
      </c>
      <c r="I11" s="1">
        <f t="shared" si="0"/>
        <v>414520.36988892616</v>
      </c>
      <c r="J11" s="1">
        <f>-J9</f>
        <v>-2425151.04</v>
      </c>
      <c r="K11" s="1">
        <v>0</v>
      </c>
    </row>
    <row r="12" spans="1:11" x14ac:dyDescent="0.2">
      <c r="A12" t="s">
        <v>4</v>
      </c>
      <c r="B12" s="1">
        <f>+B9+B11</f>
        <v>11236378.065889155</v>
      </c>
      <c r="C12" s="1">
        <f t="shared" ref="C12:J12" si="1">+C9+C11</f>
        <v>0</v>
      </c>
      <c r="D12" s="1">
        <f t="shared" si="1"/>
        <v>954624.91012034437</v>
      </c>
      <c r="E12" s="1">
        <f t="shared" si="1"/>
        <v>170407.96908947194</v>
      </c>
      <c r="G12" s="1">
        <f t="shared" si="1"/>
        <v>3668941.1137576955</v>
      </c>
      <c r="H12" s="1">
        <f t="shared" si="1"/>
        <v>3374044.6012544078</v>
      </c>
      <c r="I12" s="1">
        <f t="shared" si="1"/>
        <v>4000494.8698889259</v>
      </c>
      <c r="J12" s="1">
        <f t="shared" si="1"/>
        <v>0</v>
      </c>
      <c r="K12" s="1">
        <f>SUM(B12:J12)</f>
        <v>23404891.530000001</v>
      </c>
    </row>
    <row r="14" spans="1:11" x14ac:dyDescent="0.2">
      <c r="A14" t="s">
        <v>5</v>
      </c>
      <c r="B14" s="1">
        <f>B$9/($K$9-$J$9-$I$9)*-I14</f>
        <v>2316540.6065485324</v>
      </c>
      <c r="C14" s="1">
        <f t="shared" ref="C14:H14" si="2">C$9/($K$9-$J$9-$I$9)*-$I$14</f>
        <v>0</v>
      </c>
      <c r="D14" s="1">
        <f t="shared" si="2"/>
        <v>196809.62631809831</v>
      </c>
      <c r="E14" s="1">
        <f t="shared" si="2"/>
        <v>35132.048580103648</v>
      </c>
      <c r="G14" s="1">
        <f t="shared" si="2"/>
        <v>756404.86847418465</v>
      </c>
      <c r="H14" s="1">
        <f t="shared" si="2"/>
        <v>695607.71996800764</v>
      </c>
      <c r="I14" s="1">
        <f>-I12</f>
        <v>-4000494.8698889259</v>
      </c>
      <c r="K14" s="1">
        <v>0</v>
      </c>
    </row>
    <row r="15" spans="1:11" x14ac:dyDescent="0.2">
      <c r="A15" t="s">
        <v>4</v>
      </c>
      <c r="B15" s="1">
        <f>+B12+B14</f>
        <v>13552918.672437688</v>
      </c>
      <c r="C15" s="1">
        <f>+C12+C14</f>
        <v>0</v>
      </c>
      <c r="D15" s="1">
        <f>+D12+D14</f>
        <v>1151434.5364384428</v>
      </c>
      <c r="E15" s="1">
        <f>+E12+E14</f>
        <v>205540.01766957558</v>
      </c>
      <c r="G15" s="1">
        <f>+G12+G14</f>
        <v>4425345.9822318805</v>
      </c>
      <c r="H15" s="1">
        <f>+H12+H14</f>
        <v>4069652.3212224152</v>
      </c>
      <c r="I15" s="1">
        <f>+I12+I14</f>
        <v>0</v>
      </c>
      <c r="J15" s="1">
        <f>+J12+J14</f>
        <v>0</v>
      </c>
      <c r="K15" s="1">
        <f>SUM(B15:J15)</f>
        <v>23404891.530000001</v>
      </c>
    </row>
    <row r="17" spans="1:11" x14ac:dyDescent="0.2">
      <c r="A17" t="s">
        <v>6</v>
      </c>
      <c r="B17" s="1">
        <f>B$9/($K$9-$J$9-$I$9-$H$9)*-$H$17</f>
        <v>2852598.1157546653</v>
      </c>
      <c r="C17" s="1">
        <f>C$9/($K$9-$J$9-$I$9-$H$9)*-$H$17</f>
        <v>0</v>
      </c>
      <c r="D17" s="1">
        <f>D$9/($K$9-$J$9-$I$9-$H$9)*-$H$17</f>
        <v>242352.22452407508</v>
      </c>
      <c r="E17" s="1">
        <f>E$9/($K$9-$J$9-$I$9-$H$9)*-$H$17</f>
        <v>43261.756473814457</v>
      </c>
      <c r="G17" s="1">
        <f>G$9/($K$9-$J$9-$I$9-$H$9)*-$H$17</f>
        <v>931440.22446986171</v>
      </c>
      <c r="H17" s="1">
        <f>-H15</f>
        <v>-4069652.3212224152</v>
      </c>
      <c r="K17" s="1">
        <v>0</v>
      </c>
    </row>
    <row r="18" spans="1:11" x14ac:dyDescent="0.2">
      <c r="A18" t="s">
        <v>4</v>
      </c>
      <c r="B18" s="1">
        <f>+B15+B17</f>
        <v>16405516.788192354</v>
      </c>
      <c r="C18" s="1">
        <f>+C15+C17</f>
        <v>0</v>
      </c>
      <c r="D18" s="1">
        <f>+D15+D17</f>
        <v>1393786.7609625179</v>
      </c>
      <c r="E18" s="1">
        <f>+E15+E17</f>
        <v>248801.77414339004</v>
      </c>
      <c r="G18" s="1">
        <f>+G15+G17</f>
        <v>5356786.2067017425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23404891.530000001</v>
      </c>
    </row>
    <row r="20" spans="1:11" x14ac:dyDescent="0.2">
      <c r="A20" t="s">
        <v>7</v>
      </c>
      <c r="B20" s="1">
        <f>B$9/($K$9-$J$9-$I$9-$H$9-$G$9)*-$G$20</f>
        <v>4869256.0504596289</v>
      </c>
      <c r="C20" s="1">
        <f>C$9/($K$9-$J$9-$I$9-$H$9-$G$9)*-$G$20</f>
        <v>0</v>
      </c>
      <c r="D20" s="1">
        <f>D$9/($K$9-$J$9-$I$9-$H$9-$G$9)*-$G$20</f>
        <v>413684.29330747481</v>
      </c>
      <c r="E20" s="1">
        <f>E$9/($K$9-$J$9-$I$9-$H$9-$G$9)*-$G$20</f>
        <v>73845.862934640259</v>
      </c>
      <c r="G20" s="1">
        <f>-G18</f>
        <v>-5356786.2067017425</v>
      </c>
      <c r="K20" s="1">
        <f>SUM(B20:J20)</f>
        <v>0</v>
      </c>
    </row>
    <row r="22" spans="1:11" x14ac:dyDescent="0.2">
      <c r="A22" t="s">
        <v>8</v>
      </c>
      <c r="B22" s="1">
        <f>+B20+B18</f>
        <v>21274772.838651985</v>
      </c>
      <c r="C22" s="1">
        <f t="shared" ref="C22:K22" si="3">+C20+C18</f>
        <v>0</v>
      </c>
      <c r="D22" s="1">
        <f t="shared" si="3"/>
        <v>1807471.0542699927</v>
      </c>
      <c r="E22" s="1">
        <f t="shared" si="3"/>
        <v>322647.63707803027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23404891.530000001</v>
      </c>
    </row>
    <row r="27" spans="1:11" x14ac:dyDescent="0.2">
      <c r="A27" t="s">
        <v>9</v>
      </c>
      <c r="B27" s="1">
        <f>+B9</f>
        <v>10072095.210000001</v>
      </c>
    </row>
    <row r="28" spans="1:11" x14ac:dyDescent="0.2">
      <c r="A28" t="s">
        <v>10</v>
      </c>
      <c r="B28" s="1">
        <f>+B22-B27</f>
        <v>11202677.628651984</v>
      </c>
    </row>
    <row r="29" spans="1:11" x14ac:dyDescent="0.2">
      <c r="A29" s="29" t="s">
        <v>163</v>
      </c>
      <c r="B29" s="1">
        <v>2009</v>
      </c>
    </row>
    <row r="30" spans="1:11" x14ac:dyDescent="0.2">
      <c r="A30" t="s">
        <v>11</v>
      </c>
      <c r="B30" s="1">
        <f>+B28/B29</f>
        <v>5576.2457086371251</v>
      </c>
    </row>
  </sheetData>
  <phoneticPr fontId="0" type="noConversion"/>
  <pageMargins left="0.51" right="0.55000000000000004" top="1" bottom="0.56000000000000005" header="0.5" footer="0.5"/>
  <pageSetup scale="96" orientation="landscape" horizontalDpi="4294967294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570312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Table'!B42</f>
        <v>18490411.02</v>
      </c>
      <c r="C9" s="1">
        <f>'Master Expend Table'!C42</f>
        <v>0</v>
      </c>
      <c r="D9" s="1">
        <f>'Master Expend Table'!D42</f>
        <v>1187602.4099999999</v>
      </c>
      <c r="E9" s="1">
        <f>'Master Expend Table'!E42</f>
        <v>164394.22</v>
      </c>
      <c r="G9" s="1">
        <f>'Master Expend Table'!G42</f>
        <v>6216673.4800000004</v>
      </c>
      <c r="H9" s="1">
        <f>'Master Expend Table'!H42</f>
        <v>3356673.16</v>
      </c>
      <c r="I9" s="1">
        <f>'Master Expend Table'!I42</f>
        <v>5425504.6500000004</v>
      </c>
      <c r="J9" s="1">
        <f>'Master Expend Table'!J42</f>
        <v>5685503.5099999998</v>
      </c>
      <c r="K9" s="1">
        <f>SUM(B9:J9)</f>
        <v>40526762.449999996</v>
      </c>
    </row>
    <row r="11" spans="1:11" x14ac:dyDescent="0.2">
      <c r="A11" t="s">
        <v>3</v>
      </c>
      <c r="B11" s="1">
        <f>(B9/($K9-$J9))*-$J$11</f>
        <v>3017321.9899026039</v>
      </c>
      <c r="C11" s="1">
        <f t="shared" ref="C11:I11" si="0">(C9/($K9-$J9))*-$J$11</f>
        <v>0</v>
      </c>
      <c r="D11" s="1">
        <f t="shared" si="0"/>
        <v>193796.60425495115</v>
      </c>
      <c r="E11" s="1">
        <f t="shared" si="0"/>
        <v>26826.353101743352</v>
      </c>
      <c r="G11" s="1">
        <f t="shared" si="0"/>
        <v>1014455.8482209633</v>
      </c>
      <c r="H11" s="1">
        <f t="shared" si="0"/>
        <v>547752.22290239076</v>
      </c>
      <c r="I11" s="1">
        <f t="shared" si="0"/>
        <v>885350.49161734805</v>
      </c>
      <c r="J11" s="1">
        <f>-J9</f>
        <v>-5685503.5099999998</v>
      </c>
      <c r="K11" s="1">
        <v>0</v>
      </c>
    </row>
    <row r="12" spans="1:11" x14ac:dyDescent="0.2">
      <c r="A12" t="s">
        <v>4</v>
      </c>
      <c r="B12" s="1">
        <f>+B9+B11</f>
        <v>21507733.009902604</v>
      </c>
      <c r="C12" s="1">
        <f t="shared" ref="C12:J12" si="1">+C9+C11</f>
        <v>0</v>
      </c>
      <c r="D12" s="1">
        <f t="shared" si="1"/>
        <v>1381399.0142549512</v>
      </c>
      <c r="E12" s="1">
        <f t="shared" si="1"/>
        <v>191220.57310174336</v>
      </c>
      <c r="G12" s="1">
        <f t="shared" si="1"/>
        <v>7231129.3282209635</v>
      </c>
      <c r="H12" s="1">
        <f t="shared" si="1"/>
        <v>3904425.3829023908</v>
      </c>
      <c r="I12" s="1">
        <f t="shared" si="1"/>
        <v>6310855.1416173484</v>
      </c>
      <c r="J12" s="1">
        <f t="shared" si="1"/>
        <v>0</v>
      </c>
      <c r="K12" s="1">
        <f>SUM(B12:J12)</f>
        <v>40526762.450000003</v>
      </c>
    </row>
    <row r="14" spans="1:11" x14ac:dyDescent="0.2">
      <c r="A14" t="s">
        <v>5</v>
      </c>
      <c r="B14" s="1">
        <f>B$9/($K$9-$J$9-$I$9)*-I14</f>
        <v>3966932.2875685836</v>
      </c>
      <c r="C14" s="1">
        <f t="shared" ref="C14:H14" si="2">C$9/($K$9-$J$9-$I$9)*-$I$14</f>
        <v>0</v>
      </c>
      <c r="D14" s="1">
        <f t="shared" si="2"/>
        <v>254788.1893986834</v>
      </c>
      <c r="E14" s="1">
        <f t="shared" si="2"/>
        <v>35269.131578647459</v>
      </c>
      <c r="G14" s="1">
        <f t="shared" si="2"/>
        <v>1333724.9627609062</v>
      </c>
      <c r="H14" s="1">
        <f t="shared" si="2"/>
        <v>720140.57031052781</v>
      </c>
      <c r="I14" s="1">
        <f>-I12</f>
        <v>-6310855.1416173484</v>
      </c>
      <c r="K14" s="1">
        <v>0</v>
      </c>
    </row>
    <row r="15" spans="1:11" x14ac:dyDescent="0.2">
      <c r="A15" t="s">
        <v>4</v>
      </c>
      <c r="B15" s="1">
        <f>+B12+B14</f>
        <v>25474665.297471188</v>
      </c>
      <c r="C15" s="1">
        <f>+C12+C14</f>
        <v>0</v>
      </c>
      <c r="D15" s="1">
        <f>+D12+D14</f>
        <v>1636187.2036536345</v>
      </c>
      <c r="E15" s="1">
        <f>+E12+E14</f>
        <v>226489.70468039083</v>
      </c>
      <c r="G15" s="1">
        <f>+G12+G14</f>
        <v>8564854.2909818701</v>
      </c>
      <c r="H15" s="1">
        <f>+H12+H14</f>
        <v>4624565.9532129187</v>
      </c>
      <c r="I15" s="1">
        <f>+I12+I14</f>
        <v>0</v>
      </c>
      <c r="J15" s="1">
        <f>+J12+J14</f>
        <v>0</v>
      </c>
      <c r="K15" s="1">
        <f>SUM(B15:J15)</f>
        <v>40526762.450000003</v>
      </c>
    </row>
    <row r="17" spans="1:11" x14ac:dyDescent="0.2">
      <c r="A17" t="s">
        <v>6</v>
      </c>
      <c r="B17" s="1">
        <f>B$9/($K$9-$J$9-$I$9-$H$9)*-$H$17</f>
        <v>3281394.4911343446</v>
      </c>
      <c r="C17" s="1">
        <f>C$9/($K$9-$J$9-$I$9-$H$9)*-$H$17</f>
        <v>0</v>
      </c>
      <c r="D17" s="1">
        <f>D$9/($K$9-$J$9-$I$9-$H$9)*-$H$17</f>
        <v>210757.45702011287</v>
      </c>
      <c r="E17" s="1">
        <f>E$9/($K$9-$J$9-$I$9-$H$9)*-$H$17</f>
        <v>29174.16423565946</v>
      </c>
      <c r="G17" s="1">
        <f>G$9/($K$9-$J$9-$I$9-$H$9)*-$H$17</f>
        <v>1103239.8408228017</v>
      </c>
      <c r="H17" s="1">
        <f>-H15</f>
        <v>-4624565.9532129187</v>
      </c>
      <c r="K17" s="1">
        <v>0</v>
      </c>
    </row>
    <row r="18" spans="1:11" x14ac:dyDescent="0.2">
      <c r="A18" t="s">
        <v>4</v>
      </c>
      <c r="B18" s="1">
        <f>+B15+B17</f>
        <v>28756059.788605534</v>
      </c>
      <c r="C18" s="1">
        <f>+C15+C17</f>
        <v>0</v>
      </c>
      <c r="D18" s="1">
        <f>+D15+D17</f>
        <v>1846944.6606737473</v>
      </c>
      <c r="E18" s="1">
        <f>+E15+E17</f>
        <v>255663.8689160503</v>
      </c>
      <c r="G18" s="1">
        <f>+G15+G17</f>
        <v>9668094.1318046711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40526762.450000003</v>
      </c>
    </row>
    <row r="20" spans="1:11" x14ac:dyDescent="0.2">
      <c r="A20" t="s">
        <v>7</v>
      </c>
      <c r="B20" s="1">
        <f>B$9/($K$9-$J$9-$I$9-$H$9-$G$9)*-$G$20</f>
        <v>9009341.8818113264</v>
      </c>
      <c r="C20" s="1">
        <f>C$9/($K$9-$J$9-$I$9-$H$9-$G$9)*-$G$20</f>
        <v>0</v>
      </c>
      <c r="D20" s="1">
        <f>D$9/($K$9-$J$9-$I$9-$H$9-$G$9)*-$G$20</f>
        <v>578652.15217660775</v>
      </c>
      <c r="E20" s="1">
        <f>E$9/($K$9-$J$9-$I$9-$H$9-$G$9)*-$G$20</f>
        <v>80100.097816738795</v>
      </c>
      <c r="G20" s="1">
        <f>-G18</f>
        <v>-9668094.1318046711</v>
      </c>
      <c r="K20" s="1">
        <f>SUM(B20:J20)</f>
        <v>0</v>
      </c>
    </row>
    <row r="22" spans="1:11" x14ac:dyDescent="0.2">
      <c r="A22" t="s">
        <v>8</v>
      </c>
      <c r="B22" s="1">
        <f>+B20+B18</f>
        <v>37765401.670416862</v>
      </c>
      <c r="C22" s="1">
        <f t="shared" ref="C22:K22" si="3">+C20+C18</f>
        <v>0</v>
      </c>
      <c r="D22" s="1">
        <f t="shared" si="3"/>
        <v>2425596.8128503552</v>
      </c>
      <c r="E22" s="1">
        <f t="shared" si="3"/>
        <v>335763.96673278906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40526762.450000003</v>
      </c>
    </row>
    <row r="27" spans="1:11" x14ac:dyDescent="0.2">
      <c r="A27" t="s">
        <v>9</v>
      </c>
      <c r="B27" s="1">
        <f>+B9</f>
        <v>18490411.02</v>
      </c>
    </row>
    <row r="28" spans="1:11" x14ac:dyDescent="0.2">
      <c r="A28" t="s">
        <v>10</v>
      </c>
      <c r="B28" s="1">
        <f>+B22-B27</f>
        <v>19274990.650416862</v>
      </c>
    </row>
    <row r="29" spans="1:11" x14ac:dyDescent="0.2">
      <c r="A29" s="29" t="s">
        <v>163</v>
      </c>
      <c r="B29" s="1">
        <v>3548</v>
      </c>
    </row>
    <row r="30" spans="1:11" x14ac:dyDescent="0.2">
      <c r="A30" t="s">
        <v>11</v>
      </c>
      <c r="B30" s="1">
        <f>+B28/B29</f>
        <v>5432.6354708052031</v>
      </c>
    </row>
  </sheetData>
  <phoneticPr fontId="0" type="noConversion"/>
  <pageMargins left="0.63" right="0.55000000000000004" top="1" bottom="0.53" header="0.5" footer="0.5"/>
  <pageSetup scale="96" orientation="landscape" horizontalDpi="4294967294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2851562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Table'!B43</f>
        <v>21005402.719999999</v>
      </c>
      <c r="C9" s="1">
        <f>'Master Expend Table'!C43</f>
        <v>0</v>
      </c>
      <c r="D9" s="1">
        <f>'Master Expend Table'!D43</f>
        <v>816078.1</v>
      </c>
      <c r="E9" s="1">
        <f>'Master Expend Table'!E43</f>
        <v>0</v>
      </c>
      <c r="G9" s="1">
        <f>'Master Expend Table'!G43</f>
        <v>4089469.04</v>
      </c>
      <c r="H9" s="1">
        <f>'Master Expend Table'!H43</f>
        <v>4420816.2300000004</v>
      </c>
      <c r="I9" s="1">
        <f>'Master Expend Table'!I43</f>
        <v>6006456.1600000001</v>
      </c>
      <c r="J9" s="1">
        <f>'Master Expend Table'!J43</f>
        <v>5432066.5099999998</v>
      </c>
      <c r="K9" s="1">
        <f>SUM(B9:J9)</f>
        <v>41770288.759999998</v>
      </c>
    </row>
    <row r="11" spans="1:11" x14ac:dyDescent="0.2">
      <c r="A11" t="s">
        <v>3</v>
      </c>
      <c r="B11" s="1">
        <f>(B9/($K9-$J9))*-$J$11</f>
        <v>3140020.0004108595</v>
      </c>
      <c r="C11" s="1">
        <f t="shared" ref="C11:I11" si="0">(C9/($K9-$J9))*-$J$11</f>
        <v>0</v>
      </c>
      <c r="D11" s="1">
        <f t="shared" si="0"/>
        <v>121992.49831365734</v>
      </c>
      <c r="E11" s="1">
        <f t="shared" si="0"/>
        <v>0</v>
      </c>
      <c r="G11" s="1">
        <f t="shared" si="0"/>
        <v>611319.60895158676</v>
      </c>
      <c r="H11" s="1">
        <f t="shared" si="0"/>
        <v>660851.47546939936</v>
      </c>
      <c r="I11" s="1">
        <f t="shared" si="0"/>
        <v>897882.92685449682</v>
      </c>
      <c r="J11" s="1">
        <f>-J9</f>
        <v>-5432066.5099999998</v>
      </c>
      <c r="K11" s="1">
        <v>0</v>
      </c>
    </row>
    <row r="12" spans="1:11" x14ac:dyDescent="0.2">
      <c r="A12" t="s">
        <v>4</v>
      </c>
      <c r="B12" s="1">
        <f>+B9+B11</f>
        <v>24145422.720410857</v>
      </c>
      <c r="C12" s="1">
        <f t="shared" ref="C12:J12" si="1">+C9+C11</f>
        <v>0</v>
      </c>
      <c r="D12" s="1">
        <f t="shared" si="1"/>
        <v>938070.59831365733</v>
      </c>
      <c r="E12" s="1">
        <f t="shared" si="1"/>
        <v>0</v>
      </c>
      <c r="G12" s="1">
        <f t="shared" si="1"/>
        <v>4700788.6489515863</v>
      </c>
      <c r="H12" s="1">
        <f t="shared" si="1"/>
        <v>5081667.7054693997</v>
      </c>
      <c r="I12" s="1">
        <f t="shared" si="1"/>
        <v>6904339.086854497</v>
      </c>
      <c r="J12" s="1">
        <f t="shared" si="1"/>
        <v>0</v>
      </c>
      <c r="K12" s="1">
        <f>SUM(B12:J12)</f>
        <v>41770288.759999998</v>
      </c>
    </row>
    <row r="14" spans="1:11" x14ac:dyDescent="0.2">
      <c r="A14" t="s">
        <v>5</v>
      </c>
      <c r="B14" s="1">
        <f>B$9/($K$9-$J$9-$I$9)*-I14</f>
        <v>4781403.8458719952</v>
      </c>
      <c r="C14" s="1">
        <f t="shared" ref="C14:H14" si="2">C$9/($K$9-$J$9-$I$9)*-$I$14</f>
        <v>0</v>
      </c>
      <c r="D14" s="1">
        <f t="shared" si="2"/>
        <v>185761.68321479866</v>
      </c>
      <c r="E14" s="1">
        <f t="shared" si="2"/>
        <v>0</v>
      </c>
      <c r="G14" s="1">
        <f t="shared" si="2"/>
        <v>930874.93994166364</v>
      </c>
      <c r="H14" s="1">
        <f t="shared" si="2"/>
        <v>1006298.6178260398</v>
      </c>
      <c r="I14" s="1">
        <f>-I12</f>
        <v>-6904339.086854497</v>
      </c>
      <c r="K14" s="1">
        <v>0</v>
      </c>
    </row>
    <row r="15" spans="1:11" x14ac:dyDescent="0.2">
      <c r="A15" t="s">
        <v>4</v>
      </c>
      <c r="B15" s="1">
        <f>+B12+B14</f>
        <v>28926826.566282853</v>
      </c>
      <c r="C15" s="1">
        <f>+C12+C14</f>
        <v>0</v>
      </c>
      <c r="D15" s="1">
        <f>+D12+D14</f>
        <v>1123832.2815284559</v>
      </c>
      <c r="E15" s="1">
        <f>+E12+E14</f>
        <v>0</v>
      </c>
      <c r="G15" s="1">
        <f>+G12+G14</f>
        <v>5631663.5888932496</v>
      </c>
      <c r="H15" s="1">
        <f>+H12+H14</f>
        <v>6087966.3232954396</v>
      </c>
      <c r="I15" s="1">
        <f>+I12+I14</f>
        <v>0</v>
      </c>
      <c r="J15" s="1">
        <f>+J12+J14</f>
        <v>0</v>
      </c>
      <c r="K15" s="1">
        <f>SUM(B15:J15)</f>
        <v>41770288.759999998</v>
      </c>
    </row>
    <row r="17" spans="1:11" x14ac:dyDescent="0.2">
      <c r="A17" t="s">
        <v>6</v>
      </c>
      <c r="B17" s="1">
        <f>B$9/($K$9-$J$9-$I$9-$H$9)*-$H$17</f>
        <v>4935372.3062091721</v>
      </c>
      <c r="C17" s="1">
        <f>C$9/($K$9-$J$9-$I$9-$H$9)*-$H$17</f>
        <v>0</v>
      </c>
      <c r="D17" s="1">
        <f>D$9/($K$9-$J$9-$I$9-$H$9)*-$H$17</f>
        <v>191743.49133563289</v>
      </c>
      <c r="E17" s="1">
        <f>E$9/($K$9-$J$9-$I$9-$H$9)*-$H$17</f>
        <v>0</v>
      </c>
      <c r="G17" s="1">
        <f>G$9/($K$9-$J$9-$I$9-$H$9)*-$H$17</f>
        <v>960850.52575063449</v>
      </c>
      <c r="H17" s="1">
        <f>-H15</f>
        <v>-6087966.3232954396</v>
      </c>
      <c r="K17" s="1">
        <v>0</v>
      </c>
    </row>
    <row r="18" spans="1:11" x14ac:dyDescent="0.2">
      <c r="A18" t="s">
        <v>4</v>
      </c>
      <c r="B18" s="1">
        <f>+B15+B17</f>
        <v>33862198.872492023</v>
      </c>
      <c r="C18" s="1">
        <f>+C15+C17</f>
        <v>0</v>
      </c>
      <c r="D18" s="1">
        <f>+D15+D17</f>
        <v>1315575.7728640889</v>
      </c>
      <c r="E18" s="1">
        <f>+E15+E17</f>
        <v>0</v>
      </c>
      <c r="G18" s="1">
        <f>+G15+G17</f>
        <v>6592514.1146438839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41770288.759999998</v>
      </c>
    </row>
    <row r="20" spans="1:11" x14ac:dyDescent="0.2">
      <c r="A20" t="s">
        <v>7</v>
      </c>
      <c r="B20" s="1">
        <f>B$9/($K$9-$J$9-$I$9-$H$9-$G$9)*-$G$20</f>
        <v>6345967.7671581144</v>
      </c>
      <c r="C20" s="1">
        <f>C$9/($K$9-$J$9-$I$9-$H$9-$G$9)*-$G$20</f>
        <v>0</v>
      </c>
      <c r="D20" s="1">
        <f>D$9/($K$9-$J$9-$I$9-$H$9-$G$9)*-$G$20</f>
        <v>246546.34748576896</v>
      </c>
      <c r="E20" s="1">
        <f>E$9/($K$9-$J$9-$I$9-$H$9-$G$9)*-$G$20</f>
        <v>0</v>
      </c>
      <c r="G20" s="1">
        <f>-G18</f>
        <v>-6592514.1146438839</v>
      </c>
      <c r="K20" s="1">
        <f>SUM(B20:J20)</f>
        <v>0</v>
      </c>
    </row>
    <row r="22" spans="1:11" x14ac:dyDescent="0.2">
      <c r="A22" t="s">
        <v>8</v>
      </c>
      <c r="B22" s="1">
        <f>+B20+B18</f>
        <v>40208166.639650136</v>
      </c>
      <c r="C22" s="1">
        <f t="shared" ref="C22:K22" si="3">+C20+C18</f>
        <v>0</v>
      </c>
      <c r="D22" s="1">
        <f t="shared" si="3"/>
        <v>1562122.120349858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41770288.759999998</v>
      </c>
    </row>
    <row r="27" spans="1:11" x14ac:dyDescent="0.2">
      <c r="A27" t="s">
        <v>9</v>
      </c>
      <c r="B27" s="1">
        <f>+B9</f>
        <v>21005402.719999999</v>
      </c>
    </row>
    <row r="28" spans="1:11" x14ac:dyDescent="0.2">
      <c r="A28" t="s">
        <v>10</v>
      </c>
      <c r="B28" s="1">
        <f>+B22-B27</f>
        <v>19202763.919650137</v>
      </c>
    </row>
    <row r="29" spans="1:11" x14ac:dyDescent="0.2">
      <c r="A29" s="29" t="s">
        <v>163</v>
      </c>
      <c r="B29" s="1">
        <v>4557</v>
      </c>
    </row>
    <row r="30" spans="1:11" x14ac:dyDescent="0.2">
      <c r="A30" t="s">
        <v>11</v>
      </c>
      <c r="B30" s="1">
        <f>+B28/B29</f>
        <v>4213.9047442725778</v>
      </c>
    </row>
  </sheetData>
  <phoneticPr fontId="0" type="noConversion"/>
  <pageMargins left="0.56000000000000005" right="0.55000000000000004" top="1" bottom="0.53" header="0.5" footer="0.5"/>
  <pageSetup scale="97" orientation="landscape" horizontalDpi="4294967294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3.710937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Table'!B44</f>
        <v>11895511.720000001</v>
      </c>
      <c r="C9" s="1">
        <f>'Master Expend Table'!C44</f>
        <v>471292.75</v>
      </c>
      <c r="D9" s="1">
        <f>'Master Expend Table'!D44</f>
        <v>1853100.53</v>
      </c>
      <c r="E9" s="1">
        <f>'Master Expend Table'!E44</f>
        <v>133395.01</v>
      </c>
      <c r="G9" s="1">
        <f>'Master Expend Table'!G44</f>
        <v>3539836.65</v>
      </c>
      <c r="H9" s="1">
        <f>'Master Expend Table'!H44</f>
        <v>3252420.76</v>
      </c>
      <c r="I9" s="1">
        <f>'Master Expend Table'!I44</f>
        <v>3540253.87</v>
      </c>
      <c r="J9" s="1">
        <f>'Master Expend Table'!J44</f>
        <v>2420661.64</v>
      </c>
      <c r="K9" s="1">
        <f>SUM(B9:J9)</f>
        <v>27106472.930000003</v>
      </c>
    </row>
    <row r="11" spans="1:11" x14ac:dyDescent="0.2">
      <c r="A11" t="s">
        <v>3</v>
      </c>
      <c r="B11" s="1">
        <f>(B9/($K9-$J9))*-$J$11</f>
        <v>1166459.8975703511</v>
      </c>
      <c r="C11" s="1">
        <f t="shared" ref="C11:I11" si="0">(C9/($K9-$J9))*-$J$11</f>
        <v>46214.413119055724</v>
      </c>
      <c r="D11" s="1">
        <f t="shared" si="0"/>
        <v>181712.85988286711</v>
      </c>
      <c r="E11" s="1">
        <f t="shared" si="0"/>
        <v>13080.55789137552</v>
      </c>
      <c r="G11" s="1">
        <f t="shared" si="0"/>
        <v>347112.22126178315</v>
      </c>
      <c r="H11" s="1">
        <f t="shared" si="0"/>
        <v>318928.55690997408</v>
      </c>
      <c r="I11" s="1">
        <f t="shared" si="0"/>
        <v>347153.13336459303</v>
      </c>
      <c r="J11" s="1">
        <f>-J9</f>
        <v>-2420661.64</v>
      </c>
      <c r="K11" s="1">
        <v>0</v>
      </c>
    </row>
    <row r="12" spans="1:11" x14ac:dyDescent="0.2">
      <c r="A12" t="s">
        <v>4</v>
      </c>
      <c r="B12" s="1">
        <f>+B9+B11</f>
        <v>13061971.617570352</v>
      </c>
      <c r="C12" s="1">
        <f t="shared" ref="C12:J12" si="1">+C9+C11</f>
        <v>517507.16311905574</v>
      </c>
      <c r="D12" s="1">
        <f t="shared" si="1"/>
        <v>2034813.3898828672</v>
      </c>
      <c r="E12" s="1">
        <f t="shared" si="1"/>
        <v>146475.56789137554</v>
      </c>
      <c r="G12" s="1">
        <f t="shared" si="1"/>
        <v>3886948.8712617829</v>
      </c>
      <c r="H12" s="1">
        <f t="shared" si="1"/>
        <v>3571349.316909974</v>
      </c>
      <c r="I12" s="1">
        <f t="shared" si="1"/>
        <v>3887407.0033645933</v>
      </c>
      <c r="J12" s="1">
        <f t="shared" si="1"/>
        <v>0</v>
      </c>
      <c r="K12" s="1">
        <f>SUM(B12:J12)</f>
        <v>27106472.929999996</v>
      </c>
    </row>
    <row r="14" spans="1:11" x14ac:dyDescent="0.2">
      <c r="A14" t="s">
        <v>5</v>
      </c>
      <c r="B14" s="1">
        <f>B$9/($K$9-$J$9-$I$9)*-I14</f>
        <v>2186875.221610195</v>
      </c>
      <c r="C14" s="1">
        <f t="shared" ref="C14:H14" si="2">C$9/($K$9-$J$9-$I$9)*-$I$14</f>
        <v>86642.631385640634</v>
      </c>
      <c r="D14" s="1">
        <f t="shared" si="2"/>
        <v>340674.67861817376</v>
      </c>
      <c r="E14" s="1">
        <f t="shared" si="2"/>
        <v>24523.387385258626</v>
      </c>
      <c r="G14" s="1">
        <f t="shared" si="2"/>
        <v>650764.86330700188</v>
      </c>
      <c r="H14" s="1">
        <f t="shared" si="2"/>
        <v>597926.2210583234</v>
      </c>
      <c r="I14" s="1">
        <f>-I12</f>
        <v>-3887407.0033645933</v>
      </c>
      <c r="K14" s="1">
        <v>0</v>
      </c>
    </row>
    <row r="15" spans="1:11" x14ac:dyDescent="0.2">
      <c r="A15" t="s">
        <v>4</v>
      </c>
      <c r="B15" s="1">
        <f>+B12+B14</f>
        <v>15248846.839180548</v>
      </c>
      <c r="C15" s="1">
        <f>+C12+C14</f>
        <v>604149.79450469639</v>
      </c>
      <c r="D15" s="1">
        <f>+D12+D14</f>
        <v>2375488.0685010408</v>
      </c>
      <c r="E15" s="1">
        <f>+E12+E14</f>
        <v>170998.95527663417</v>
      </c>
      <c r="G15" s="1">
        <f>+G12+G14</f>
        <v>4537713.7345687849</v>
      </c>
      <c r="H15" s="1">
        <f>+H12+H14</f>
        <v>4169275.5379682975</v>
      </c>
      <c r="I15" s="1">
        <f>+I12+I14</f>
        <v>0</v>
      </c>
      <c r="J15" s="1">
        <f>+J12+J14</f>
        <v>0</v>
      </c>
      <c r="K15" s="1">
        <f>SUM(B15:J15)</f>
        <v>27106472.930000003</v>
      </c>
    </row>
    <row r="17" spans="1:11" x14ac:dyDescent="0.2">
      <c r="A17" t="s">
        <v>6</v>
      </c>
      <c r="B17" s="1">
        <f>B$9/($K$9-$J$9-$I$9-$H$9)*-$H$17</f>
        <v>2771770.3702941025</v>
      </c>
      <c r="C17" s="1">
        <f>C$9/($K$9-$J$9-$I$9-$H$9)*-$H$17</f>
        <v>109815.81212585497</v>
      </c>
      <c r="D17" s="1">
        <f>D$9/($K$9-$J$9-$I$9-$H$9)*-$H$17</f>
        <v>431790.51587957219</v>
      </c>
      <c r="E17" s="1">
        <f>E$9/($K$9-$J$9-$I$9-$H$9)*-$H$17</f>
        <v>31082.339706449005</v>
      </c>
      <c r="G17" s="1">
        <f>G$9/($K$9-$J$9-$I$9-$H$9)*-$H$17</f>
        <v>824816.49996231811</v>
      </c>
      <c r="H17" s="1">
        <f>-H15</f>
        <v>-4169275.5379682975</v>
      </c>
      <c r="K17" s="1">
        <v>0</v>
      </c>
    </row>
    <row r="18" spans="1:11" x14ac:dyDescent="0.2">
      <c r="A18" t="s">
        <v>4</v>
      </c>
      <c r="B18" s="1">
        <f>+B15+B17</f>
        <v>18020617.209474649</v>
      </c>
      <c r="C18" s="1">
        <f>+C15+C17</f>
        <v>713965.6066305514</v>
      </c>
      <c r="D18" s="1">
        <f>+D15+D17</f>
        <v>2807278.5843806132</v>
      </c>
      <c r="E18" s="1">
        <f>+E15+E17</f>
        <v>202081.29498308318</v>
      </c>
      <c r="G18" s="1">
        <f>+G15+G17</f>
        <v>5362530.2345311027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27106472.93</v>
      </c>
    </row>
    <row r="20" spans="1:11" x14ac:dyDescent="0.2">
      <c r="A20" t="s">
        <v>7</v>
      </c>
      <c r="B20" s="1">
        <f>B$9/($K$9-$J$9-$I$9-$H$9-$G$9)*-$G$20</f>
        <v>4444277.0101144891</v>
      </c>
      <c r="C20" s="1">
        <f>C$9/($K$9-$J$9-$I$9-$H$9-$G$9)*-$G$20</f>
        <v>176079.48133387536</v>
      </c>
      <c r="D20" s="1">
        <f>D$9/($K$9-$J$9-$I$9-$H$9-$G$9)*-$G$20</f>
        <v>692336.09085208608</v>
      </c>
      <c r="E20" s="1">
        <f>E$9/($K$9-$J$9-$I$9-$H$9-$G$9)*-$G$20</f>
        <v>49837.652230650943</v>
      </c>
      <c r="G20" s="1">
        <f>-G18</f>
        <v>-5362530.2345311027</v>
      </c>
      <c r="K20" s="1">
        <f>SUM(B20:J20)</f>
        <v>0</v>
      </c>
    </row>
    <row r="22" spans="1:11" x14ac:dyDescent="0.2">
      <c r="A22" t="s">
        <v>8</v>
      </c>
      <c r="B22" s="1">
        <f>+B20+B18</f>
        <v>22464894.219589137</v>
      </c>
      <c r="C22" s="1">
        <f t="shared" ref="C22:K22" si="3">+C20+C18</f>
        <v>890045.08796442673</v>
      </c>
      <c r="D22" s="1">
        <f t="shared" si="3"/>
        <v>3499614.6752326991</v>
      </c>
      <c r="E22" s="1">
        <f t="shared" si="3"/>
        <v>251918.94721373412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27106472.93</v>
      </c>
    </row>
    <row r="27" spans="1:11" x14ac:dyDescent="0.2">
      <c r="A27" t="s">
        <v>9</v>
      </c>
      <c r="B27" s="1">
        <f>+B9</f>
        <v>11895511.720000001</v>
      </c>
    </row>
    <row r="28" spans="1:11" x14ac:dyDescent="0.2">
      <c r="A28" t="s">
        <v>10</v>
      </c>
      <c r="B28" s="1">
        <f>+B22-B27</f>
        <v>10569382.499589136</v>
      </c>
    </row>
    <row r="29" spans="1:11" x14ac:dyDescent="0.2">
      <c r="A29" s="29" t="s">
        <v>163</v>
      </c>
      <c r="B29" s="1">
        <v>2141</v>
      </c>
    </row>
    <row r="30" spans="1:11" x14ac:dyDescent="0.2">
      <c r="A30" t="s">
        <v>11</v>
      </c>
      <c r="B30" s="1">
        <f>+B28/B29</f>
        <v>4936.6569358193065</v>
      </c>
    </row>
  </sheetData>
  <phoneticPr fontId="0" type="noConversion"/>
  <pageMargins left="0.61" right="0.55000000000000004" top="1" bottom="0.56000000000000005" header="0.5" footer="0.5"/>
  <pageSetup scale="97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B29" sqref="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9.28515625" style="1" customWidth="1"/>
    <col min="6" max="6" width="2.7109375" style="3" customWidth="1"/>
    <col min="7" max="7" width="11.28515625" style="1" bestFit="1" customWidth="1"/>
    <col min="8" max="8" width="10.28515625" style="1" customWidth="1"/>
    <col min="9" max="9" width="11.28515625" style="1" bestFit="1" customWidth="1"/>
    <col min="10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Table'!B7</f>
        <v>29051123.859999999</v>
      </c>
      <c r="C9" s="1">
        <f>'Master Expend Table'!C7</f>
        <v>0</v>
      </c>
      <c r="D9" s="1">
        <f>'Master Expend Table'!D7</f>
        <v>1287472.32</v>
      </c>
      <c r="E9" s="1">
        <f>'Master Expend Table'!E7</f>
        <v>87167.58</v>
      </c>
      <c r="G9" s="1">
        <f>'Master Expend Table'!G7</f>
        <v>8705646.9199999999</v>
      </c>
      <c r="H9" s="1">
        <f>'Master Expend Table'!H7</f>
        <v>6559404.2700000005</v>
      </c>
      <c r="I9" s="1">
        <f>'Master Expend Table'!I7</f>
        <v>9741507.6999999993</v>
      </c>
      <c r="J9" s="1">
        <f>'Master Expend Table'!J7</f>
        <v>5980291.9500000002</v>
      </c>
      <c r="K9" s="1">
        <f>SUM(B9:J9)</f>
        <v>61412614.600000009</v>
      </c>
    </row>
    <row r="11" spans="1:11" x14ac:dyDescent="0.2">
      <c r="A11" t="s">
        <v>3</v>
      </c>
      <c r="B11" s="1">
        <f>(B9/($K9-$J9))*-$J$11</f>
        <v>3134167.8257894702</v>
      </c>
      <c r="C11" s="1">
        <f t="shared" ref="C11:I11" si="0">(C9/($K9-$J9))*-$J$11</f>
        <v>0</v>
      </c>
      <c r="D11" s="1">
        <f t="shared" si="0"/>
        <v>138898.38965901287</v>
      </c>
      <c r="E11" s="1">
        <f t="shared" si="0"/>
        <v>9404.0363465625232</v>
      </c>
      <c r="G11" s="1">
        <f t="shared" si="0"/>
        <v>939204.92063700827</v>
      </c>
      <c r="H11" s="1">
        <f t="shared" si="0"/>
        <v>707658.468514067</v>
      </c>
      <c r="I11" s="1">
        <f t="shared" si="0"/>
        <v>1050958.3090538783</v>
      </c>
      <c r="J11" s="1">
        <f>-J9</f>
        <v>-5980291.9500000002</v>
      </c>
      <c r="K11" s="1">
        <v>0</v>
      </c>
    </row>
    <row r="12" spans="1:11" x14ac:dyDescent="0.2">
      <c r="A12" t="s">
        <v>4</v>
      </c>
      <c r="B12" s="1">
        <f>+B9+B11</f>
        <v>32185291.68578947</v>
      </c>
      <c r="C12" s="1">
        <f t="shared" ref="C12:J12" si="1">+C9+C11</f>
        <v>0</v>
      </c>
      <c r="D12" s="1">
        <f t="shared" si="1"/>
        <v>1426370.709659013</v>
      </c>
      <c r="E12" s="1">
        <f t="shared" si="1"/>
        <v>96571.616346562529</v>
      </c>
      <c r="G12" s="1">
        <f t="shared" si="1"/>
        <v>9644851.8406370077</v>
      </c>
      <c r="H12" s="1">
        <f t="shared" si="1"/>
        <v>7267062.7385140676</v>
      </c>
      <c r="I12" s="1">
        <f t="shared" si="1"/>
        <v>10792466.009053878</v>
      </c>
      <c r="J12" s="1">
        <f t="shared" si="1"/>
        <v>0</v>
      </c>
      <c r="K12" s="1">
        <f>SUM(B12:J12)</f>
        <v>61412614.599999994</v>
      </c>
    </row>
    <row r="14" spans="1:11" x14ac:dyDescent="0.2">
      <c r="A14" t="s">
        <v>5</v>
      </c>
      <c r="B14" s="1">
        <f>B$9/($K$9-$J$9-$I$9)*-I14</f>
        <v>6862063.3518348765</v>
      </c>
      <c r="C14" s="1">
        <f t="shared" ref="C14:H14" si="2">C$9/($K$9-$J$9-$I$9)*-$I$14</f>
        <v>0</v>
      </c>
      <c r="D14" s="1">
        <f t="shared" si="2"/>
        <v>304109.28906396619</v>
      </c>
      <c r="E14" s="1">
        <f t="shared" si="2"/>
        <v>20589.54617620548</v>
      </c>
      <c r="G14" s="1">
        <f t="shared" si="2"/>
        <v>2056330.1086605936</v>
      </c>
      <c r="H14" s="1">
        <f t="shared" si="2"/>
        <v>1549373.7133182362</v>
      </c>
      <c r="I14" s="1">
        <f>-I12</f>
        <v>-10792466.009053878</v>
      </c>
      <c r="K14" s="1">
        <v>0</v>
      </c>
    </row>
    <row r="15" spans="1:11" x14ac:dyDescent="0.2">
      <c r="A15" t="s">
        <v>4</v>
      </c>
      <c r="B15" s="1">
        <f>+B12+B14</f>
        <v>39047355.037624344</v>
      </c>
      <c r="C15" s="1">
        <f>+C12+C14</f>
        <v>0</v>
      </c>
      <c r="D15" s="1">
        <f>+D12+D14</f>
        <v>1730479.9987229791</v>
      </c>
      <c r="E15" s="1">
        <f>+E12+E14</f>
        <v>117161.16252276801</v>
      </c>
      <c r="G15" s="1">
        <f>+G12+G14</f>
        <v>11701181.949297601</v>
      </c>
      <c r="H15" s="1">
        <f>+H12+H14</f>
        <v>8816436.4518323038</v>
      </c>
      <c r="I15" s="1">
        <f>+I12+I14</f>
        <v>0</v>
      </c>
      <c r="J15" s="1">
        <f>+J12+J14</f>
        <v>0</v>
      </c>
      <c r="K15" s="1">
        <f>SUM(B15:J15)</f>
        <v>61412614.599999994</v>
      </c>
    </row>
    <row r="17" spans="1:11" x14ac:dyDescent="0.2">
      <c r="A17" t="s">
        <v>6</v>
      </c>
      <c r="B17" s="1">
        <f>B$9/($K$9-$J$9-$I$9-$H$9)*-$H$17</f>
        <v>6545314.4396070922</v>
      </c>
      <c r="C17" s="1">
        <f>C$9/($K$9-$J$9-$I$9-$H$9)*-$H$17</f>
        <v>0</v>
      </c>
      <c r="D17" s="1">
        <f>D$9/($K$9-$J$9-$I$9-$H$9)*-$H$17</f>
        <v>290071.77854118455</v>
      </c>
      <c r="E17" s="1">
        <f>E$9/($K$9-$J$9-$I$9-$H$9)*-$H$17</f>
        <v>19639.144522913695</v>
      </c>
      <c r="G17" s="1">
        <f>G$9/($K$9-$J$9-$I$9-$H$9)*-$H$17</f>
        <v>1961411.0891611134</v>
      </c>
      <c r="H17" s="1">
        <f>-H15</f>
        <v>-8816436.4518323038</v>
      </c>
      <c r="K17" s="1">
        <v>0</v>
      </c>
    </row>
    <row r="18" spans="1:11" x14ac:dyDescent="0.2">
      <c r="A18" t="s">
        <v>4</v>
      </c>
      <c r="B18" s="1">
        <f>+B15+B17</f>
        <v>45592669.477231435</v>
      </c>
      <c r="C18" s="1">
        <f>+C15+C17</f>
        <v>0</v>
      </c>
      <c r="D18" s="1">
        <f>+D15+D17</f>
        <v>2020551.7772641636</v>
      </c>
      <c r="E18" s="1">
        <f>+E15+E17</f>
        <v>136800.30704568169</v>
      </c>
      <c r="G18" s="1">
        <f>+G15+G17</f>
        <v>13662593.038458714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61412614.599999994</v>
      </c>
    </row>
    <row r="20" spans="1:11" x14ac:dyDescent="0.2">
      <c r="A20" t="s">
        <v>7</v>
      </c>
      <c r="B20" s="1">
        <f>B$9/($K$9-$J$9-$I$9-$H$9-$G$9)*-$G$20</f>
        <v>13045315.336696673</v>
      </c>
      <c r="C20" s="1">
        <f>C$9/($K$9-$J$9-$I$9-$H$9-$G$9)*-$G$20</f>
        <v>0</v>
      </c>
      <c r="D20" s="1">
        <f>D$9/($K$9-$J$9-$I$9-$H$9-$G$9)*-$G$20</f>
        <v>578135.37550586346</v>
      </c>
      <c r="E20" s="1">
        <f>E$9/($K$9-$J$9-$I$9-$H$9-$G$9)*-$G$20</f>
        <v>39142.326256177214</v>
      </c>
      <c r="G20" s="1">
        <f>-G18</f>
        <v>-13662593.038458714</v>
      </c>
      <c r="K20" s="1">
        <f>SUM(B20:J20)</f>
        <v>0</v>
      </c>
    </row>
    <row r="22" spans="1:11" x14ac:dyDescent="0.2">
      <c r="A22" t="s">
        <v>8</v>
      </c>
      <c r="B22" s="1">
        <f>+B20+B18</f>
        <v>58637984.813928112</v>
      </c>
      <c r="C22" s="1">
        <f t="shared" ref="C22:K22" si="3">+C20+C18</f>
        <v>0</v>
      </c>
      <c r="D22" s="1">
        <f t="shared" si="3"/>
        <v>2598687.1527700271</v>
      </c>
      <c r="E22" s="1">
        <f t="shared" si="3"/>
        <v>175942.63330185891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61412614.599999994</v>
      </c>
    </row>
    <row r="27" spans="1:11" x14ac:dyDescent="0.2">
      <c r="A27" t="s">
        <v>9</v>
      </c>
      <c r="B27" s="1">
        <f>+B9</f>
        <v>29051123.859999999</v>
      </c>
    </row>
    <row r="28" spans="1:11" x14ac:dyDescent="0.2">
      <c r="A28" t="s">
        <v>10</v>
      </c>
      <c r="B28" s="1">
        <f>+B22-B27</f>
        <v>29586860.953928113</v>
      </c>
    </row>
    <row r="29" spans="1:11" x14ac:dyDescent="0.2">
      <c r="A29" s="29" t="s">
        <v>163</v>
      </c>
      <c r="B29" s="1">
        <f>'ANOKARAM CC'!B29+'ANOKA TC'!B29</f>
        <v>6810</v>
      </c>
    </row>
    <row r="30" spans="1:11" x14ac:dyDescent="0.2">
      <c r="A30" t="s">
        <v>11</v>
      </c>
      <c r="B30" s="1">
        <f>+B28/B29</f>
        <v>4344.6198170232174</v>
      </c>
    </row>
  </sheetData>
  <pageMargins left="0.7" right="0.7" top="0.75" bottom="0.75" header="0.3" footer="0.3"/>
  <pageSetup scale="98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K30"/>
  <sheetViews>
    <sheetView zoomScale="75" workbookViewId="0">
      <selection activeCell="H44" sqref="H44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3.710937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Table'!B45</f>
        <v>16740654.75</v>
      </c>
      <c r="C9" s="1">
        <f>'Master Expend Table'!C45</f>
        <v>22906.35</v>
      </c>
      <c r="D9" s="1">
        <f>'Master Expend Table'!D45</f>
        <v>426627.64</v>
      </c>
      <c r="E9" s="1">
        <f>'Master Expend Table'!E45</f>
        <v>2827758.85</v>
      </c>
      <c r="G9" s="1">
        <f>'Master Expend Table'!G45</f>
        <v>4951625.0199999996</v>
      </c>
      <c r="H9" s="1">
        <f>'Master Expend Table'!H45</f>
        <v>5057750.8099999996</v>
      </c>
      <c r="I9" s="1">
        <f>'Master Expend Table'!I45</f>
        <v>6514213.3899999997</v>
      </c>
      <c r="J9" s="1">
        <f>'Master Expend Table'!J45</f>
        <v>4153514.39</v>
      </c>
      <c r="K9" s="1">
        <f>SUM(B9:J9)</f>
        <v>40695051.199999996</v>
      </c>
    </row>
    <row r="11" spans="1:11" x14ac:dyDescent="0.2">
      <c r="A11" t="s">
        <v>3</v>
      </c>
      <c r="B11" s="1">
        <f>(B9/($K9-$J9))*-$J$11</f>
        <v>1902835.9634594927</v>
      </c>
      <c r="C11" s="1">
        <f t="shared" ref="C11:I11" si="0">(C9/($K9-$J9))*-$J$11</f>
        <v>2603.663191345031</v>
      </c>
      <c r="D11" s="1">
        <f t="shared" si="0"/>
        <v>48492.871307667912</v>
      </c>
      <c r="E11" s="1">
        <f t="shared" si="0"/>
        <v>321418.80446885485</v>
      </c>
      <c r="G11" s="1">
        <f t="shared" si="0"/>
        <v>562829.2504880568</v>
      </c>
      <c r="H11" s="1">
        <f t="shared" si="0"/>
        <v>574892.09826063574</v>
      </c>
      <c r="I11" s="1">
        <f t="shared" si="0"/>
        <v>740441.7388239475</v>
      </c>
      <c r="J11" s="1">
        <f>-J9</f>
        <v>-4153514.39</v>
      </c>
      <c r="K11" s="1">
        <v>0</v>
      </c>
    </row>
    <row r="12" spans="1:11" x14ac:dyDescent="0.2">
      <c r="A12" t="s">
        <v>4</v>
      </c>
      <c r="B12" s="1">
        <f>+B9+B11</f>
        <v>18643490.713459492</v>
      </c>
      <c r="C12" s="1">
        <f t="shared" ref="C12:J12" si="1">+C9+C11</f>
        <v>25510.013191345031</v>
      </c>
      <c r="D12" s="1">
        <f t="shared" si="1"/>
        <v>475120.51130766794</v>
      </c>
      <c r="E12" s="1">
        <f t="shared" si="1"/>
        <v>3149177.6544688549</v>
      </c>
      <c r="G12" s="1">
        <f t="shared" si="1"/>
        <v>5514454.2704880564</v>
      </c>
      <c r="H12" s="1">
        <f t="shared" si="1"/>
        <v>5632642.9082606351</v>
      </c>
      <c r="I12" s="1">
        <f t="shared" si="1"/>
        <v>7254655.1288239472</v>
      </c>
      <c r="J12" s="1">
        <f t="shared" si="1"/>
        <v>0</v>
      </c>
      <c r="K12" s="1">
        <f>SUM(B12:J12)</f>
        <v>40695051.200000003</v>
      </c>
    </row>
    <row r="14" spans="1:11" x14ac:dyDescent="0.2">
      <c r="A14" t="s">
        <v>5</v>
      </c>
      <c r="B14" s="1">
        <f>B$9/($K$9-$J$9-$I$9)*-I14</f>
        <v>4044572.1765885749</v>
      </c>
      <c r="C14" s="1">
        <f t="shared" ref="C14:H14" si="2">C$9/($K$9-$J$9-$I$9)*-$I$14</f>
        <v>5534.2151941338916</v>
      </c>
      <c r="D14" s="1">
        <f t="shared" si="2"/>
        <v>103074.00207913894</v>
      </c>
      <c r="E14" s="1">
        <f t="shared" si="2"/>
        <v>683191.60376998433</v>
      </c>
      <c r="G14" s="1">
        <f t="shared" si="2"/>
        <v>1196321.4751078864</v>
      </c>
      <c r="H14" s="1">
        <f t="shared" si="2"/>
        <v>1221961.6560842297</v>
      </c>
      <c r="I14" s="1">
        <f>-I12</f>
        <v>-7254655.1288239472</v>
      </c>
      <c r="K14" s="1">
        <v>0</v>
      </c>
    </row>
    <row r="15" spans="1:11" x14ac:dyDescent="0.2">
      <c r="A15" t="s">
        <v>4</v>
      </c>
      <c r="B15" s="1">
        <f>+B12+B14</f>
        <v>22688062.890048068</v>
      </c>
      <c r="C15" s="1">
        <f>+C12+C14</f>
        <v>31044.228385478924</v>
      </c>
      <c r="D15" s="1">
        <f>+D12+D14</f>
        <v>578194.51338680694</v>
      </c>
      <c r="E15" s="1">
        <f>+E12+E14</f>
        <v>3832369.258238839</v>
      </c>
      <c r="G15" s="1">
        <f>+G12+G14</f>
        <v>6710775.7455959432</v>
      </c>
      <c r="H15" s="1">
        <f>+H12+H14</f>
        <v>6854604.5643448643</v>
      </c>
      <c r="I15" s="1">
        <f>+I12+I14</f>
        <v>0</v>
      </c>
      <c r="J15" s="1">
        <f>+J12+J14</f>
        <v>0</v>
      </c>
      <c r="K15" s="1">
        <f>SUM(B15:J15)</f>
        <v>40695051.200000003</v>
      </c>
    </row>
    <row r="17" spans="1:11" x14ac:dyDescent="0.2">
      <c r="A17" t="s">
        <v>6</v>
      </c>
      <c r="B17" s="1">
        <f>B$9/($K$9-$J$9-$I$9-$H$9)*-$H$17</f>
        <v>4595616.0424434096</v>
      </c>
      <c r="C17" s="1">
        <f>C$9/($K$9-$J$9-$I$9-$H$9)*-$H$17</f>
        <v>6288.2122059069161</v>
      </c>
      <c r="D17" s="1">
        <f>D$9/($K$9-$J$9-$I$9-$H$9)*-$H$17</f>
        <v>117117.09343589275</v>
      </c>
      <c r="E17" s="1">
        <f>E$9/($K$9-$J$9-$I$9-$H$9)*-$H$17</f>
        <v>776271.54548547906</v>
      </c>
      <c r="G17" s="1">
        <f>G$9/($K$9-$J$9-$I$9-$H$9)*-$H$17</f>
        <v>1359311.6707741772</v>
      </c>
      <c r="H17" s="1">
        <f>-H15</f>
        <v>-6854604.5643448643</v>
      </c>
      <c r="K17" s="1">
        <v>0</v>
      </c>
    </row>
    <row r="18" spans="1:11" x14ac:dyDescent="0.2">
      <c r="A18" t="s">
        <v>4</v>
      </c>
      <c r="B18" s="1">
        <f>+B15+B17</f>
        <v>27283678.932491478</v>
      </c>
      <c r="C18" s="1">
        <f>+C15+C17</f>
        <v>37332.440591385843</v>
      </c>
      <c r="D18" s="1">
        <f>+D15+D17</f>
        <v>695311.60682269966</v>
      </c>
      <c r="E18" s="1">
        <f>+E15+E17</f>
        <v>4608640.8037243178</v>
      </c>
      <c r="G18" s="1">
        <f>+G15+G17</f>
        <v>8070087.4163701199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40695051.200000003</v>
      </c>
    </row>
    <row r="20" spans="1:11" x14ac:dyDescent="0.2">
      <c r="A20" t="s">
        <v>7</v>
      </c>
      <c r="B20" s="1">
        <f>B$9/($K$9-$J$9-$I$9-$H$9-$G$9)*-$G$20</f>
        <v>6748871.0634481041</v>
      </c>
      <c r="C20" s="1">
        <f>C$9/($K$9-$J$9-$I$9-$H$9-$G$9)*-$G$20</f>
        <v>9234.5254706488977</v>
      </c>
      <c r="D20" s="1">
        <f>D$9/($K$9-$J$9-$I$9-$H$9-$G$9)*-$G$20</f>
        <v>171991.77555842939</v>
      </c>
      <c r="E20" s="1">
        <f>E$9/($K$9-$J$9-$I$9-$H$9-$G$9)*-$G$20</f>
        <v>1139990.0518929395</v>
      </c>
      <c r="G20" s="1">
        <f>-G18</f>
        <v>-8070087.4163701199</v>
      </c>
      <c r="K20" s="1">
        <f>SUM(B20:J20)</f>
        <v>0</v>
      </c>
    </row>
    <row r="22" spans="1:11" x14ac:dyDescent="0.2">
      <c r="A22" t="s">
        <v>8</v>
      </c>
      <c r="B22" s="1">
        <f>+B20+B18</f>
        <v>34032549.995939583</v>
      </c>
      <c r="C22" s="1">
        <f t="shared" ref="C22:K22" si="3">+C20+C18</f>
        <v>46566.966062034742</v>
      </c>
      <c r="D22" s="1">
        <f t="shared" si="3"/>
        <v>867303.38238112908</v>
      </c>
      <c r="E22" s="1">
        <f t="shared" si="3"/>
        <v>5748630.8556172568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40695051.200000003</v>
      </c>
    </row>
    <row r="27" spans="1:11" x14ac:dyDescent="0.2">
      <c r="A27" t="s">
        <v>9</v>
      </c>
      <c r="B27" s="1">
        <f>+B9</f>
        <v>16740654.75</v>
      </c>
    </row>
    <row r="28" spans="1:11" x14ac:dyDescent="0.2">
      <c r="A28" t="s">
        <v>10</v>
      </c>
      <c r="B28" s="1">
        <f>+B22-B27</f>
        <v>17291895.245939583</v>
      </c>
    </row>
    <row r="29" spans="1:11" x14ac:dyDescent="0.2">
      <c r="A29" s="29" t="s">
        <v>163</v>
      </c>
      <c r="B29" s="1">
        <v>3608</v>
      </c>
    </row>
    <row r="30" spans="1:11" x14ac:dyDescent="0.2">
      <c r="A30" t="s">
        <v>11</v>
      </c>
      <c r="B30" s="1">
        <f>+B28/B29</f>
        <v>4792.6538929987755</v>
      </c>
    </row>
  </sheetData>
  <phoneticPr fontId="0" type="noConversion"/>
  <pageMargins left="0.64" right="0.55000000000000004" top="1" bottom="0.51" header="0.5" footer="0.5"/>
  <pageSetup scale="96" orientation="landscape" horizontalDpi="4294967294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30"/>
  <sheetViews>
    <sheetView zoomScale="90" zoomScaleNormal="9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8" width="12.140625" style="1" customWidth="1"/>
    <col min="9" max="10" width="11" style="1" customWidth="1"/>
    <col min="11" max="11" width="14.4257812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Table'!B46</f>
        <v>68719079.700000003</v>
      </c>
      <c r="C9" s="1">
        <f>'Master Expend Table'!C46</f>
        <v>855061.51</v>
      </c>
      <c r="D9" s="1">
        <f>'Master Expend Table'!D46</f>
        <v>2697767.65</v>
      </c>
      <c r="E9" s="1">
        <f>'Master Expend Table'!E46</f>
        <v>4830495.2600000007</v>
      </c>
      <c r="G9" s="1">
        <f>'Master Expend Table'!G46</f>
        <v>20902145.16</v>
      </c>
      <c r="H9" s="1">
        <f>'Master Expend Table'!H46</f>
        <v>10358618.359999999</v>
      </c>
      <c r="I9" s="1">
        <f>'Master Expend Table'!I46</f>
        <v>23159376.190000001</v>
      </c>
      <c r="J9" s="1">
        <f>'Master Expend Table'!J46</f>
        <v>13669241.75</v>
      </c>
      <c r="K9" s="1">
        <f>SUM(B9:J9)</f>
        <v>145191785.58000001</v>
      </c>
    </row>
    <row r="11" spans="1:11" x14ac:dyDescent="0.2">
      <c r="A11" t="s">
        <v>3</v>
      </c>
      <c r="B11" s="1">
        <f>(B9/($K9-$J9))*-$J$11</f>
        <v>7142028.1717707822</v>
      </c>
      <c r="C11" s="1">
        <f t="shared" ref="C11:I11" si="0">(C9/($K9-$J9))*-$J$11</f>
        <v>88867.217367826073</v>
      </c>
      <c r="D11" s="1">
        <f t="shared" si="0"/>
        <v>280381.12037160847</v>
      </c>
      <c r="E11" s="1">
        <f t="shared" si="0"/>
        <v>502037.18357603723</v>
      </c>
      <c r="G11" s="1">
        <f t="shared" si="0"/>
        <v>2172376.4380267495</v>
      </c>
      <c r="H11" s="1">
        <f t="shared" si="0"/>
        <v>1076579.3789834769</v>
      </c>
      <c r="I11" s="1">
        <f t="shared" si="0"/>
        <v>2406972.2399035194</v>
      </c>
      <c r="J11" s="1">
        <f>-J9</f>
        <v>-13669241.75</v>
      </c>
      <c r="K11" s="1">
        <v>0</v>
      </c>
    </row>
    <row r="12" spans="1:11" x14ac:dyDescent="0.2">
      <c r="A12" t="s">
        <v>4</v>
      </c>
      <c r="B12" s="1">
        <f>+B9+B11</f>
        <v>75861107.871770784</v>
      </c>
      <c r="C12" s="1">
        <f t="shared" ref="C12:J12" si="1">+C9+C11</f>
        <v>943928.72736782604</v>
      </c>
      <c r="D12" s="1">
        <f t="shared" si="1"/>
        <v>2978148.7703716084</v>
      </c>
      <c r="E12" s="1">
        <f t="shared" si="1"/>
        <v>5332532.4435760379</v>
      </c>
      <c r="G12" s="1">
        <f t="shared" si="1"/>
        <v>23074521.598026749</v>
      </c>
      <c r="H12" s="1">
        <f t="shared" si="1"/>
        <v>11435197.738983477</v>
      </c>
      <c r="I12" s="1">
        <f t="shared" si="1"/>
        <v>25566348.429903522</v>
      </c>
      <c r="J12" s="1">
        <f t="shared" si="1"/>
        <v>0</v>
      </c>
      <c r="K12" s="1">
        <f>SUM(B12:J12)</f>
        <v>145191785.58000004</v>
      </c>
    </row>
    <row r="14" spans="1:11" x14ac:dyDescent="0.2">
      <c r="A14" t="s">
        <v>5</v>
      </c>
      <c r="B14" s="1">
        <f>B$9/($K$9-$J$9-$I$9)*-I14</f>
        <v>16213035.975740416</v>
      </c>
      <c r="C14" s="1">
        <f t="shared" ref="C14:H14" si="2">C$9/($K$9-$J$9-$I$9)*-$I$14</f>
        <v>201736.44763029215</v>
      </c>
      <c r="D14" s="1">
        <f t="shared" si="2"/>
        <v>636489.95525821461</v>
      </c>
      <c r="E14" s="1">
        <f t="shared" si="2"/>
        <v>1139668.8339384669</v>
      </c>
      <c r="G14" s="1">
        <f t="shared" si="2"/>
        <v>4931486.7563517215</v>
      </c>
      <c r="H14" s="1">
        <f t="shared" si="2"/>
        <v>2443930.4609844065</v>
      </c>
      <c r="I14" s="1">
        <f>-I12</f>
        <v>-25566348.429903522</v>
      </c>
      <c r="K14" s="1">
        <v>0</v>
      </c>
    </row>
    <row r="15" spans="1:11" x14ac:dyDescent="0.2">
      <c r="A15" t="s">
        <v>4</v>
      </c>
      <c r="B15" s="1">
        <f>+B12+B14</f>
        <v>92074143.847511202</v>
      </c>
      <c r="C15" s="1">
        <f>+C12+C14</f>
        <v>1145665.1749981181</v>
      </c>
      <c r="D15" s="1">
        <f>+D12+D14</f>
        <v>3614638.7256298233</v>
      </c>
      <c r="E15" s="1">
        <f>+E12+E14</f>
        <v>6472201.2775145043</v>
      </c>
      <c r="G15" s="1">
        <f>+G12+G14</f>
        <v>28006008.354378469</v>
      </c>
      <c r="H15" s="1">
        <f>+H12+H14</f>
        <v>13879128.199967884</v>
      </c>
      <c r="I15" s="1">
        <f>+I12+I14</f>
        <v>0</v>
      </c>
      <c r="J15" s="1">
        <f>+J12+J14</f>
        <v>0</v>
      </c>
      <c r="K15" s="1">
        <f>SUM(B15:J15)</f>
        <v>145191785.58000001</v>
      </c>
    </row>
    <row r="17" spans="1:11" x14ac:dyDescent="0.2">
      <c r="A17" t="s">
        <v>6</v>
      </c>
      <c r="B17" s="1">
        <f>B$9/($K$9-$J$9-$I$9-$H$9)*-$H$17</f>
        <v>9731802.4923027381</v>
      </c>
      <c r="C17" s="1">
        <f>C$9/($K$9-$J$9-$I$9-$H$9)*-$H$17</f>
        <v>121091.40242298882</v>
      </c>
      <c r="D17" s="1">
        <f>D$9/($K$9-$J$9-$I$9-$H$9)*-$H$17</f>
        <v>382050.25524990691</v>
      </c>
      <c r="E17" s="1">
        <f>E$9/($K$9-$J$9-$I$9-$H$9)*-$H$17</f>
        <v>684081.13169659581</v>
      </c>
      <c r="G17" s="1">
        <f>G$9/($K$9-$J$9-$I$9-$H$9)*-$H$17</f>
        <v>2960102.9182956535</v>
      </c>
      <c r="H17" s="1">
        <f>-H15</f>
        <v>-13879128.199967884</v>
      </c>
      <c r="K17" s="1">
        <v>0</v>
      </c>
    </row>
    <row r="18" spans="1:11" x14ac:dyDescent="0.2">
      <c r="A18" t="s">
        <v>4</v>
      </c>
      <c r="B18" s="1">
        <f>+B15+B17</f>
        <v>101805946.33981395</v>
      </c>
      <c r="C18" s="1">
        <f>+C15+C17</f>
        <v>1266756.5774211069</v>
      </c>
      <c r="D18" s="1">
        <f>+D15+D17</f>
        <v>3996688.9808797301</v>
      </c>
      <c r="E18" s="1">
        <f>+E15+E17</f>
        <v>7156282.4092111001</v>
      </c>
      <c r="G18" s="1">
        <f>+G15+G17</f>
        <v>30966111.272674121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145191785.58000001</v>
      </c>
    </row>
    <row r="20" spans="1:11" x14ac:dyDescent="0.2">
      <c r="A20" t="s">
        <v>7</v>
      </c>
      <c r="B20" s="1">
        <f>B$9/($K$9-$J$9-$I$9-$H$9-$G$9)*-$G$20</f>
        <v>27599174.018414002</v>
      </c>
      <c r="C20" s="1">
        <f>C$9/($K$9-$J$9-$I$9-$H$9-$G$9)*-$G$20</f>
        <v>343412.50659877283</v>
      </c>
      <c r="D20" s="1">
        <f>D$9/($K$9-$J$9-$I$9-$H$9-$G$9)*-$G$20</f>
        <v>1083485.9715619532</v>
      </c>
      <c r="E20" s="1">
        <f>E$9/($K$9-$J$9-$I$9-$H$9-$G$9)*-$G$20</f>
        <v>1940038.7760993838</v>
      </c>
      <c r="G20" s="1">
        <f>-G18</f>
        <v>-30966111.272674121</v>
      </c>
      <c r="K20" s="1">
        <f>SUM(B20:J20)</f>
        <v>0</v>
      </c>
    </row>
    <row r="22" spans="1:11" x14ac:dyDescent="0.2">
      <c r="A22" t="s">
        <v>8</v>
      </c>
      <c r="B22" s="1">
        <f>+B20+B18</f>
        <v>129405120.35822795</v>
      </c>
      <c r="C22" s="1">
        <f t="shared" ref="C22:K22" si="3">+C20+C18</f>
        <v>1610169.0840198798</v>
      </c>
      <c r="D22" s="1">
        <f t="shared" si="3"/>
        <v>5080174.952441683</v>
      </c>
      <c r="E22" s="1">
        <f t="shared" si="3"/>
        <v>9096321.185310483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145191785.58000001</v>
      </c>
    </row>
    <row r="27" spans="1:11" x14ac:dyDescent="0.2">
      <c r="A27" t="s">
        <v>9</v>
      </c>
      <c r="B27" s="1">
        <f>+B9</f>
        <v>68719079.700000003</v>
      </c>
    </row>
    <row r="28" spans="1:11" x14ac:dyDescent="0.2">
      <c r="A28" t="s">
        <v>10</v>
      </c>
      <c r="B28" s="1">
        <f>+B22-B27</f>
        <v>60686040.65822795</v>
      </c>
    </row>
    <row r="29" spans="1:11" x14ac:dyDescent="0.2">
      <c r="A29" s="29" t="s">
        <v>163</v>
      </c>
      <c r="B29" s="1">
        <v>11081</v>
      </c>
    </row>
    <row r="30" spans="1:11" x14ac:dyDescent="0.2">
      <c r="A30" t="s">
        <v>11</v>
      </c>
      <c r="B30" s="1">
        <f>+B28/B29</f>
        <v>5476.5852051464626</v>
      </c>
    </row>
  </sheetData>
  <phoneticPr fontId="0" type="noConversion"/>
  <pageMargins left="0.59" right="0.55000000000000004" top="1" bottom="0.56000000000000005" header="0.5" footer="0.5"/>
  <pageSetup scale="96" orientation="landscape" horizontalDpi="4294967294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14062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Table'!B47</f>
        <v>16493169.82</v>
      </c>
      <c r="C9" s="1">
        <f>'Master Expend Table'!C47</f>
        <v>0</v>
      </c>
      <c r="D9" s="1">
        <f>'Master Expend Table'!D47</f>
        <v>1073959.1599999999</v>
      </c>
      <c r="E9" s="1">
        <f>'Master Expend Table'!E47</f>
        <v>0</v>
      </c>
      <c r="G9" s="1">
        <f>'Master Expend Table'!G47</f>
        <v>3580699.92</v>
      </c>
      <c r="H9" s="1">
        <f>'Master Expend Table'!H47</f>
        <v>3421192.35</v>
      </c>
      <c r="I9" s="1">
        <f>'Master Expend Table'!I47</f>
        <v>3822683.67</v>
      </c>
      <c r="J9" s="1">
        <f>'Master Expend Table'!J47</f>
        <v>3243419.53</v>
      </c>
      <c r="K9" s="1">
        <f>SUM(B9:J9)</f>
        <v>31635124.450000003</v>
      </c>
    </row>
    <row r="11" spans="1:11" x14ac:dyDescent="0.2">
      <c r="A11" t="s">
        <v>3</v>
      </c>
      <c r="B11" s="1">
        <f>(B9/($K9-$J9))*-$J$11</f>
        <v>1884151.3483084824</v>
      </c>
      <c r="C11" s="1">
        <f t="shared" ref="C11:I11" si="0">(C9/($K9-$J9))*-$J$11</f>
        <v>0</v>
      </c>
      <c r="D11" s="1">
        <f t="shared" si="0"/>
        <v>122687.24698926583</v>
      </c>
      <c r="E11" s="1">
        <f t="shared" si="0"/>
        <v>0</v>
      </c>
      <c r="G11" s="1">
        <f t="shared" si="0"/>
        <v>409052.99925882136</v>
      </c>
      <c r="H11" s="1">
        <f t="shared" si="0"/>
        <v>390831.12885059509</v>
      </c>
      <c r="I11" s="1">
        <f t="shared" si="0"/>
        <v>436696.80659283471</v>
      </c>
      <c r="J11" s="1">
        <f>-J9</f>
        <v>-3243419.53</v>
      </c>
      <c r="K11" s="1">
        <v>0</v>
      </c>
    </row>
    <row r="12" spans="1:11" x14ac:dyDescent="0.2">
      <c r="A12" t="s">
        <v>4</v>
      </c>
      <c r="B12" s="1">
        <f>+B9+B11</f>
        <v>18377321.168308482</v>
      </c>
      <c r="C12" s="1">
        <f t="shared" ref="C12:J12" si="1">+C9+C11</f>
        <v>0</v>
      </c>
      <c r="D12" s="1">
        <f t="shared" si="1"/>
        <v>1196646.4069892657</v>
      </c>
      <c r="E12" s="1">
        <f t="shared" si="1"/>
        <v>0</v>
      </c>
      <c r="G12" s="1">
        <f t="shared" si="1"/>
        <v>3989752.9192588213</v>
      </c>
      <c r="H12" s="1">
        <f t="shared" si="1"/>
        <v>3812023.4788505952</v>
      </c>
      <c r="I12" s="1">
        <f t="shared" si="1"/>
        <v>4259380.476592835</v>
      </c>
      <c r="J12" s="1">
        <f t="shared" si="1"/>
        <v>0</v>
      </c>
      <c r="K12" s="1">
        <f>SUM(B12:J12)</f>
        <v>31635124.449999999</v>
      </c>
    </row>
    <row r="14" spans="1:11" x14ac:dyDescent="0.2">
      <c r="A14" t="s">
        <v>5</v>
      </c>
      <c r="B14" s="1">
        <f>B$9/($K$9-$J$9-$I$9)*-I14</f>
        <v>2859319.661683233</v>
      </c>
      <c r="C14" s="1">
        <f t="shared" ref="C14:H14" si="2">C$9/($K$9-$J$9-$I$9)*-$I$14</f>
        <v>0</v>
      </c>
      <c r="D14" s="1">
        <f t="shared" si="2"/>
        <v>186185.71054237825</v>
      </c>
      <c r="E14" s="1">
        <f t="shared" si="2"/>
        <v>0</v>
      </c>
      <c r="G14" s="1">
        <f t="shared" si="2"/>
        <v>620763.97657824995</v>
      </c>
      <c r="H14" s="1">
        <f t="shared" si="2"/>
        <v>593111.12778897374</v>
      </c>
      <c r="I14" s="1">
        <f>-I12</f>
        <v>-4259380.476592835</v>
      </c>
      <c r="K14" s="1">
        <v>0</v>
      </c>
    </row>
    <row r="15" spans="1:11" x14ac:dyDescent="0.2">
      <c r="A15" t="s">
        <v>4</v>
      </c>
      <c r="B15" s="1">
        <f>+B12+B14</f>
        <v>21236640.829991713</v>
      </c>
      <c r="C15" s="1">
        <f>+C12+C14</f>
        <v>0</v>
      </c>
      <c r="D15" s="1">
        <f>+D12+D14</f>
        <v>1382832.1175316439</v>
      </c>
      <c r="E15" s="1">
        <f>+E12+E14</f>
        <v>0</v>
      </c>
      <c r="G15" s="1">
        <f>+G12+G14</f>
        <v>4610516.8958370714</v>
      </c>
      <c r="H15" s="1">
        <f>+H12+H14</f>
        <v>4405134.6066395687</v>
      </c>
      <c r="I15" s="1">
        <f>+I12+I14</f>
        <v>0</v>
      </c>
      <c r="J15" s="1">
        <f>+J12+J14</f>
        <v>0</v>
      </c>
      <c r="K15" s="1">
        <f>SUM(B15:J15)</f>
        <v>31635124.449999996</v>
      </c>
    </row>
    <row r="17" spans="1:11" x14ac:dyDescent="0.2">
      <c r="A17" t="s">
        <v>6</v>
      </c>
      <c r="B17" s="1">
        <f>B$9/($K$9-$J$9-$I$9-$H$9)*-$H$17</f>
        <v>3435559.9097581748</v>
      </c>
      <c r="C17" s="1">
        <f>C$9/($K$9-$J$9-$I$9-$H$9)*-$H$17</f>
        <v>0</v>
      </c>
      <c r="D17" s="1">
        <f>D$9/($K$9-$J$9-$I$9-$H$9)*-$H$17</f>
        <v>223707.81815023866</v>
      </c>
      <c r="E17" s="1">
        <f>E$9/($K$9-$J$9-$I$9-$H$9)*-$H$17</f>
        <v>0</v>
      </c>
      <c r="G17" s="1">
        <f>G$9/($K$9-$J$9-$I$9-$H$9)*-$H$17</f>
        <v>745866.878731156</v>
      </c>
      <c r="H17" s="1">
        <f>-H15</f>
        <v>-4405134.6066395687</v>
      </c>
      <c r="K17" s="1">
        <v>0</v>
      </c>
    </row>
    <row r="18" spans="1:11" x14ac:dyDescent="0.2">
      <c r="A18" t="s">
        <v>4</v>
      </c>
      <c r="B18" s="1">
        <f>+B15+B17</f>
        <v>24672200.739749886</v>
      </c>
      <c r="C18" s="1">
        <f>+C15+C17</f>
        <v>0</v>
      </c>
      <c r="D18" s="1">
        <f>+D15+D17</f>
        <v>1606539.9356818825</v>
      </c>
      <c r="E18" s="1">
        <f>+E15+E17</f>
        <v>0</v>
      </c>
      <c r="G18" s="1">
        <f>+G15+G17</f>
        <v>5356383.7745682271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31635124.449999996</v>
      </c>
    </row>
    <row r="20" spans="1:11" x14ac:dyDescent="0.2">
      <c r="A20" t="s">
        <v>7</v>
      </c>
      <c r="B20" s="1">
        <f>B$9/($K$9-$J$9-$I$9-$H$9-$G$9)*-$G$20</f>
        <v>5028923.4692603927</v>
      </c>
      <c r="C20" s="1">
        <f>C$9/($K$9-$J$9-$I$9-$H$9-$G$9)*-$G$20</f>
        <v>0</v>
      </c>
      <c r="D20" s="1">
        <f>D$9/($K$9-$J$9-$I$9-$H$9-$G$9)*-$G$20</f>
        <v>327460.3053078354</v>
      </c>
      <c r="E20" s="1">
        <f>E$9/($K$9-$J$9-$I$9-$H$9-$G$9)*-$G$20</f>
        <v>0</v>
      </c>
      <c r="G20" s="1">
        <f>-G18</f>
        <v>-5356383.7745682271</v>
      </c>
      <c r="K20" s="1">
        <f>SUM(B20:J20)</f>
        <v>0</v>
      </c>
    </row>
    <row r="22" spans="1:11" x14ac:dyDescent="0.2">
      <c r="A22" t="s">
        <v>8</v>
      </c>
      <c r="B22" s="1">
        <f>+B20+B18</f>
        <v>29701124.209010281</v>
      </c>
      <c r="C22" s="1">
        <f t="shared" ref="C22:K22" si="3">+C20+C18</f>
        <v>0</v>
      </c>
      <c r="D22" s="1">
        <f t="shared" si="3"/>
        <v>1934000.2409897179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31635124.449999996</v>
      </c>
    </row>
    <row r="27" spans="1:11" x14ac:dyDescent="0.2">
      <c r="A27" t="s">
        <v>9</v>
      </c>
      <c r="B27" s="1">
        <f>+B9</f>
        <v>16493169.82</v>
      </c>
    </row>
    <row r="28" spans="1:11" x14ac:dyDescent="0.2">
      <c r="A28" t="s">
        <v>10</v>
      </c>
      <c r="B28" s="1">
        <f>+B22-B27</f>
        <v>13207954.38901028</v>
      </c>
    </row>
    <row r="29" spans="1:11" x14ac:dyDescent="0.2">
      <c r="A29" s="29" t="s">
        <v>163</v>
      </c>
      <c r="B29" s="1">
        <v>3116</v>
      </c>
    </row>
    <row r="30" spans="1:11" x14ac:dyDescent="0.2">
      <c r="A30" t="s">
        <v>11</v>
      </c>
      <c r="B30" s="1">
        <f>+B28/B29</f>
        <v>4238.7530131611938</v>
      </c>
    </row>
  </sheetData>
  <phoneticPr fontId="0" type="noConversion"/>
  <pageMargins left="0.57999999999999996" right="0.55000000000000004" top="1" bottom="0.5" header="0.5" footer="0.5"/>
  <pageSetup scale="97" orientation="landscape" horizontalDpi="4294967294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42578125" style="1" customWidth="1"/>
    <col min="8" max="8" width="10.5703125" style="1" customWidth="1"/>
    <col min="9" max="9" width="11" style="1" customWidth="1"/>
    <col min="10" max="10" width="10.28515625" style="1" customWidth="1"/>
    <col min="11" max="11" width="13.570312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Table'!B48</f>
        <v>48748649.840000004</v>
      </c>
      <c r="C9" s="1">
        <f>'Master Expend Table'!C48</f>
        <v>63478.95</v>
      </c>
      <c r="D9" s="1">
        <f>'Master Expend Table'!D48</f>
        <v>179987.18</v>
      </c>
      <c r="E9" s="1">
        <f>'Master Expend Table'!E48</f>
        <v>3048386.01</v>
      </c>
      <c r="G9" s="1">
        <f>'Master Expend Table'!G48</f>
        <v>14295550.470000001</v>
      </c>
      <c r="H9" s="1">
        <f>'Master Expend Table'!H48</f>
        <v>7461181.7599999998</v>
      </c>
      <c r="I9" s="1">
        <f>'Master Expend Table'!I48</f>
        <v>16299339.539999999</v>
      </c>
      <c r="J9" s="1">
        <f>'Master Expend Table'!J48</f>
        <v>9419443.4900000002</v>
      </c>
      <c r="K9" s="1">
        <f>SUM(B9:J9)</f>
        <v>99516017.239999995</v>
      </c>
    </row>
    <row r="11" spans="1:11" x14ac:dyDescent="0.2">
      <c r="A11" t="s">
        <v>3</v>
      </c>
      <c r="B11" s="1">
        <f>(B9/($K9-$J9))*-$J$11</f>
        <v>5096588.3969774991</v>
      </c>
      <c r="C11" s="1">
        <f t="shared" ref="C11:I11" si="0">(C9/($K9-$J9))*-$J$11</f>
        <v>6636.6162157141462</v>
      </c>
      <c r="D11" s="1">
        <f t="shared" si="0"/>
        <v>18817.353428320112</v>
      </c>
      <c r="E11" s="1">
        <f t="shared" si="0"/>
        <v>318703.5706438456</v>
      </c>
      <c r="G11" s="1">
        <f t="shared" si="0"/>
        <v>1494575.4783556124</v>
      </c>
      <c r="H11" s="1">
        <f t="shared" si="0"/>
        <v>780053.85811842524</v>
      </c>
      <c r="I11" s="1">
        <f t="shared" si="0"/>
        <v>1704068.2162605831</v>
      </c>
      <c r="J11" s="1">
        <f>-J9</f>
        <v>-9419443.4900000002</v>
      </c>
      <c r="K11" s="1">
        <v>0</v>
      </c>
    </row>
    <row r="12" spans="1:11" x14ac:dyDescent="0.2">
      <c r="A12" t="s">
        <v>4</v>
      </c>
      <c r="B12" s="1">
        <f>+B9+B11</f>
        <v>53845238.236977503</v>
      </c>
      <c r="C12" s="1">
        <f t="shared" ref="C12:J12" si="1">+C9+C11</f>
        <v>70115.566215714149</v>
      </c>
      <c r="D12" s="1">
        <f t="shared" si="1"/>
        <v>198804.53342832011</v>
      </c>
      <c r="E12" s="1">
        <f t="shared" si="1"/>
        <v>3367089.5806438453</v>
      </c>
      <c r="G12" s="1">
        <f t="shared" si="1"/>
        <v>15790125.948355613</v>
      </c>
      <c r="H12" s="1">
        <f t="shared" si="1"/>
        <v>8241235.6181184249</v>
      </c>
      <c r="I12" s="1">
        <f t="shared" si="1"/>
        <v>18003407.756260581</v>
      </c>
      <c r="J12" s="1">
        <f t="shared" si="1"/>
        <v>0</v>
      </c>
      <c r="K12" s="1">
        <f>SUM(B12:J12)</f>
        <v>99516017.24000001</v>
      </c>
    </row>
    <row r="14" spans="1:11" x14ac:dyDescent="0.2">
      <c r="A14" t="s">
        <v>5</v>
      </c>
      <c r="B14" s="1">
        <f>B$9/($K$9-$J$9-$I$9)*-I14</f>
        <v>11892611.288645841</v>
      </c>
      <c r="C14" s="1">
        <f t="shared" ref="C14:H14" si="2">C$9/($K$9-$J$9-$I$9)*-$I$14</f>
        <v>15486.182280723138</v>
      </c>
      <c r="D14" s="1">
        <f t="shared" si="2"/>
        <v>43909.268783956359</v>
      </c>
      <c r="E14" s="1">
        <f t="shared" si="2"/>
        <v>743677.41452664719</v>
      </c>
      <c r="G14" s="1">
        <f t="shared" si="2"/>
        <v>3487510.4326977269</v>
      </c>
      <c r="H14" s="1">
        <f t="shared" si="2"/>
        <v>1820213.1693256849</v>
      </c>
      <c r="I14" s="1">
        <f>-I12</f>
        <v>-18003407.756260581</v>
      </c>
      <c r="K14" s="1">
        <v>0</v>
      </c>
    </row>
    <row r="15" spans="1:11" x14ac:dyDescent="0.2">
      <c r="A15" t="s">
        <v>4</v>
      </c>
      <c r="B15" s="1">
        <f>+B12+B14</f>
        <v>65737849.525623344</v>
      </c>
      <c r="C15" s="1">
        <f>+C12+C14</f>
        <v>85601.748496437285</v>
      </c>
      <c r="D15" s="1">
        <f>+D12+D14</f>
        <v>242713.80221227647</v>
      </c>
      <c r="E15" s="1">
        <f>+E12+E14</f>
        <v>4110766.9951704927</v>
      </c>
      <c r="G15" s="1">
        <f>+G12+G14</f>
        <v>19277636.38105334</v>
      </c>
      <c r="H15" s="1">
        <f>+H12+H14</f>
        <v>10061448.787444109</v>
      </c>
      <c r="I15" s="1">
        <f>+I12+I14</f>
        <v>0</v>
      </c>
      <c r="J15" s="1">
        <f>+J12+J14</f>
        <v>0</v>
      </c>
      <c r="K15" s="1">
        <f>SUM(B15:J15)</f>
        <v>99516017.24000001</v>
      </c>
    </row>
    <row r="17" spans="1:11" x14ac:dyDescent="0.2">
      <c r="A17" t="s">
        <v>6</v>
      </c>
      <c r="B17" s="1">
        <f>B$9/($K$9-$J$9-$I$9-$H$9)*-$H$17</f>
        <v>7393898.57712592</v>
      </c>
      <c r="C17" s="1">
        <f>C$9/($K$9-$J$9-$I$9-$H$9)*-$H$17</f>
        <v>9628.1008730076319</v>
      </c>
      <c r="D17" s="1">
        <f>D$9/($K$9-$J$9-$I$9-$H$9)*-$H$17</f>
        <v>27299.360258608278</v>
      </c>
      <c r="E17" s="1">
        <f>E$9/($K$9-$J$9-$I$9-$H$9)*-$H$17</f>
        <v>462360.64087615267</v>
      </c>
      <c r="G17" s="1">
        <f>G$9/($K$9-$J$9-$I$9-$H$9)*-$H$17</f>
        <v>2168262.1083104191</v>
      </c>
      <c r="H17" s="1">
        <f>-H15</f>
        <v>-10061448.787444109</v>
      </c>
      <c r="K17" s="1">
        <v>0</v>
      </c>
    </row>
    <row r="18" spans="1:11" x14ac:dyDescent="0.2">
      <c r="A18" t="s">
        <v>4</v>
      </c>
      <c r="B18" s="1">
        <f>+B15+B17</f>
        <v>73131748.102749258</v>
      </c>
      <c r="C18" s="1">
        <f>+C15+C17</f>
        <v>95229.849369444913</v>
      </c>
      <c r="D18" s="1">
        <f>+D15+D17</f>
        <v>270013.16247088474</v>
      </c>
      <c r="E18" s="1">
        <f>+E15+E17</f>
        <v>4573127.6360466452</v>
      </c>
      <c r="G18" s="1">
        <f>+G15+G17</f>
        <v>21445898.48936376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99516017.24000001</v>
      </c>
    </row>
    <row r="20" spans="1:11" x14ac:dyDescent="0.2">
      <c r="A20" t="s">
        <v>7</v>
      </c>
      <c r="B20" s="1">
        <f>B$9/($K$9-$J$9-$I$9-$H$9-$G$9)*-$G$20</f>
        <v>20089325.740246803</v>
      </c>
      <c r="C20" s="1">
        <f>C$9/($K$9-$J$9-$I$9-$H$9-$G$9)*-$G$20</f>
        <v>26159.684594022383</v>
      </c>
      <c r="D20" s="1">
        <f>D$9/($K$9-$J$9-$I$9-$H$9-$G$9)*-$G$20</f>
        <v>74172.743244296464</v>
      </c>
      <c r="E20" s="1">
        <f>E$9/($K$9-$J$9-$I$9-$H$9-$G$9)*-$G$20</f>
        <v>1256240.3212786342</v>
      </c>
      <c r="G20" s="1">
        <f>-G18</f>
        <v>-21445898.48936376</v>
      </c>
      <c r="K20" s="1">
        <f>SUM(B20:J20)</f>
        <v>0</v>
      </c>
    </row>
    <row r="22" spans="1:11" x14ac:dyDescent="0.2">
      <c r="A22" t="s">
        <v>8</v>
      </c>
      <c r="B22" s="1">
        <f>+B20+B18</f>
        <v>93221073.842996061</v>
      </c>
      <c r="C22" s="1">
        <f t="shared" ref="C22:K22" si="3">+C20+C18</f>
        <v>121389.5339634673</v>
      </c>
      <c r="D22" s="1">
        <f t="shared" si="3"/>
        <v>344185.9057151812</v>
      </c>
      <c r="E22" s="1">
        <f t="shared" si="3"/>
        <v>5829367.9573252797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99516017.24000001</v>
      </c>
    </row>
    <row r="27" spans="1:11" x14ac:dyDescent="0.2">
      <c r="A27" t="s">
        <v>9</v>
      </c>
      <c r="B27" s="1">
        <f>+B9</f>
        <v>48748649.840000004</v>
      </c>
    </row>
    <row r="28" spans="1:11" x14ac:dyDescent="0.2">
      <c r="A28" t="s">
        <v>10</v>
      </c>
      <c r="B28" s="1">
        <f>+B22-B27</f>
        <v>44472424.002996057</v>
      </c>
    </row>
    <row r="29" spans="1:11" x14ac:dyDescent="0.2">
      <c r="A29" s="29" t="s">
        <v>163</v>
      </c>
      <c r="B29" s="1">
        <v>7357</v>
      </c>
    </row>
    <row r="30" spans="1:11" x14ac:dyDescent="0.2">
      <c r="A30" t="s">
        <v>11</v>
      </c>
      <c r="B30" s="1">
        <f>+B28/B29</f>
        <v>6044.9128725018427</v>
      </c>
    </row>
  </sheetData>
  <phoneticPr fontId="0" type="noConversion"/>
  <pageMargins left="0.61" right="0.55000000000000004" top="1" bottom="0.57999999999999996" header="0.5" footer="0.5"/>
  <pageSetup scale="96" orientation="landscape" horizontalDpi="4294967294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3" workbookViewId="0">
      <selection activeCell="A6" sqref="A6:D46"/>
    </sheetView>
  </sheetViews>
  <sheetFormatPr defaultRowHeight="12" x14ac:dyDescent="0.2"/>
  <cols>
    <col min="1" max="1" width="9.140625" style="27"/>
    <col min="2" max="2" width="34.140625" style="12" customWidth="1"/>
    <col min="3" max="3" width="10.5703125" style="28" bestFit="1" customWidth="1"/>
    <col min="4" max="16384" width="9.140625" style="12"/>
  </cols>
  <sheetData>
    <row r="1" spans="1:4" x14ac:dyDescent="0.2">
      <c r="B1" s="14" t="s">
        <v>69</v>
      </c>
    </row>
    <row r="2" spans="1:4" x14ac:dyDescent="0.2">
      <c r="B2" s="14" t="s">
        <v>165</v>
      </c>
    </row>
    <row r="5" spans="1:4" x14ac:dyDescent="0.2">
      <c r="A5" s="42" t="s">
        <v>123</v>
      </c>
      <c r="B5" s="13" t="s">
        <v>35</v>
      </c>
      <c r="C5" s="32" t="s">
        <v>10</v>
      </c>
      <c r="D5" s="33" t="s">
        <v>11</v>
      </c>
    </row>
    <row r="6" spans="1:4" x14ac:dyDescent="0.2">
      <c r="A6" s="42" t="s">
        <v>124</v>
      </c>
      <c r="B6" s="34" t="s">
        <v>110</v>
      </c>
      <c r="C6" s="32">
        <f>'ALEX TC'!B28</f>
        <v>9725027.6166007984</v>
      </c>
      <c r="D6" s="32">
        <f>'ALEX TC'!B30</f>
        <v>5051.9623982341809</v>
      </c>
    </row>
    <row r="7" spans="1:4" x14ac:dyDescent="0.2">
      <c r="A7" s="42" t="s">
        <v>125</v>
      </c>
      <c r="B7" s="15" t="s">
        <v>111</v>
      </c>
      <c r="C7" s="32">
        <f>ARCCATC!B28</f>
        <v>29586860.953928113</v>
      </c>
      <c r="D7" s="32">
        <f>ARCCATC!B30</f>
        <v>4344.6198170232174</v>
      </c>
    </row>
    <row r="8" spans="1:4" x14ac:dyDescent="0.2">
      <c r="A8" s="42" t="s">
        <v>125</v>
      </c>
      <c r="B8" s="34" t="s">
        <v>71</v>
      </c>
      <c r="C8" s="32">
        <f>'ANOKARAM CC'!B28</f>
        <v>22353804.34975205</v>
      </c>
      <c r="D8" s="32">
        <f>'ANOKARAM CC'!B30</f>
        <v>4079.9058860653495</v>
      </c>
    </row>
    <row r="9" spans="1:4" x14ac:dyDescent="0.2">
      <c r="A9" s="42" t="s">
        <v>129</v>
      </c>
      <c r="B9" s="34" t="s">
        <v>72</v>
      </c>
      <c r="C9" s="35">
        <f>'ANOKA TC'!B28</f>
        <v>7164041.7127874596</v>
      </c>
      <c r="D9" s="35">
        <f>'ANOKA TC'!B30</f>
        <v>5382.450573093508</v>
      </c>
    </row>
    <row r="10" spans="1:4" ht="24" x14ac:dyDescent="0.2">
      <c r="A10" s="42" t="s">
        <v>130</v>
      </c>
      <c r="B10" s="36" t="s">
        <v>77</v>
      </c>
      <c r="C10" s="32">
        <f>C11+C12</f>
        <v>26941887.797263023</v>
      </c>
      <c r="D10" s="35">
        <f>'BSU &amp; TC'!B30</f>
        <v>5509.8092455615561</v>
      </c>
    </row>
    <row r="11" spans="1:4" x14ac:dyDescent="0.2">
      <c r="A11" s="42" t="s">
        <v>130</v>
      </c>
      <c r="B11" s="36" t="s">
        <v>75</v>
      </c>
      <c r="C11" s="35">
        <f>'BEMIDJI SU'!B28</f>
        <v>22883036.572764203</v>
      </c>
      <c r="D11" s="35">
        <f>'BEMIDJI SU'!B30</f>
        <v>5298.2256477805513</v>
      </c>
    </row>
    <row r="12" spans="1:4" x14ac:dyDescent="0.2">
      <c r="A12" s="42" t="s">
        <v>131</v>
      </c>
      <c r="B12" s="36" t="s">
        <v>76</v>
      </c>
      <c r="C12" s="35">
        <f>'NTC-Bemidji'!B28</f>
        <v>4058851.2244988196</v>
      </c>
      <c r="D12" s="35">
        <f>'NTC-Bemidji'!B30</f>
        <v>7273.9269256251246</v>
      </c>
    </row>
    <row r="13" spans="1:4" x14ac:dyDescent="0.2">
      <c r="A13" s="42" t="s">
        <v>132</v>
      </c>
      <c r="B13" s="34" t="s">
        <v>39</v>
      </c>
      <c r="C13" s="35">
        <f>'CENTRAL LAKES'!B28</f>
        <v>12192768.057150062</v>
      </c>
      <c r="D13" s="35">
        <f>'CENTRAL LAKES'!B30</f>
        <v>4759.0819895199302</v>
      </c>
    </row>
    <row r="14" spans="1:4" x14ac:dyDescent="0.2">
      <c r="A14" s="42" t="s">
        <v>133</v>
      </c>
      <c r="B14" s="34" t="s">
        <v>40</v>
      </c>
      <c r="C14" s="35">
        <f>CENTURY!B28</f>
        <v>27667738.50955718</v>
      </c>
      <c r="D14" s="35">
        <f>CENTURY!B30</f>
        <v>4624.3921961486176</v>
      </c>
    </row>
    <row r="15" spans="1:4" ht="24" x14ac:dyDescent="0.2">
      <c r="A15" s="42" t="s">
        <v>134</v>
      </c>
      <c r="B15" s="34" t="s">
        <v>161</v>
      </c>
      <c r="C15" s="35">
        <f>Sheet2!B28</f>
        <v>24476530.859212853</v>
      </c>
      <c r="D15" s="35">
        <f>Sheet2!B30</f>
        <v>4938.7673242963783</v>
      </c>
    </row>
    <row r="16" spans="1:4" x14ac:dyDescent="0.2">
      <c r="A16" s="42" t="s">
        <v>134</v>
      </c>
      <c r="B16" s="36" t="s">
        <v>78</v>
      </c>
      <c r="C16" s="35">
        <f>'DAKCTY TC'!B28</f>
        <v>9738168.8390468527</v>
      </c>
      <c r="D16" s="35">
        <f>'DAKCTY TC'!B30</f>
        <v>5024.8549221087987</v>
      </c>
    </row>
    <row r="17" spans="1:4" x14ac:dyDescent="0.2">
      <c r="A17" s="42" t="s">
        <v>135</v>
      </c>
      <c r="B17" s="36" t="s">
        <v>79</v>
      </c>
      <c r="C17" s="35">
        <f>'FDL CC'!B28</f>
        <v>5062276.7722652806</v>
      </c>
      <c r="D17" s="35">
        <f>'FDL CC'!B30</f>
        <v>4938.8066070880786</v>
      </c>
    </row>
    <row r="18" spans="1:4" x14ac:dyDescent="0.2">
      <c r="A18" s="42" t="s">
        <v>136</v>
      </c>
      <c r="B18" s="36" t="s">
        <v>80</v>
      </c>
      <c r="C18" s="35">
        <f>'HENN TC'!B28</f>
        <v>17682985.113810688</v>
      </c>
      <c r="D18" s="35">
        <f>'HENN TC'!B30</f>
        <v>5250.2924922240763</v>
      </c>
    </row>
    <row r="19" spans="1:4" x14ac:dyDescent="0.2">
      <c r="A19" s="42" t="s">
        <v>128</v>
      </c>
      <c r="B19" s="36" t="s">
        <v>81</v>
      </c>
      <c r="C19" s="35">
        <f>'INVER HILLS'!B28</f>
        <v>14882435.411853448</v>
      </c>
      <c r="D19" s="35">
        <f>'INVER HILLS'!B30</f>
        <v>4931.2244572079017</v>
      </c>
    </row>
    <row r="20" spans="1:4" x14ac:dyDescent="0.2">
      <c r="A20" s="42" t="s">
        <v>137</v>
      </c>
      <c r="B20" s="34" t="s">
        <v>41</v>
      </c>
      <c r="C20" s="35">
        <f>'LAKE SUPERIOR'!B28</f>
        <v>13620625.872010946</v>
      </c>
      <c r="D20" s="35">
        <f>'LAKE SUPERIOR'!B30</f>
        <v>4329.5059987320237</v>
      </c>
    </row>
    <row r="21" spans="1:4" x14ac:dyDescent="0.2">
      <c r="A21" s="42" t="s">
        <v>138</v>
      </c>
      <c r="B21" s="37" t="s">
        <v>82</v>
      </c>
      <c r="C21" s="35">
        <f>'METRO SU'!B28</f>
        <v>48052902.522840954</v>
      </c>
      <c r="D21" s="35">
        <f>'METRO SU'!B30</f>
        <v>7924.2913131334026</v>
      </c>
    </row>
    <row r="22" spans="1:4" x14ac:dyDescent="0.2">
      <c r="A22" s="42" t="s">
        <v>139</v>
      </c>
      <c r="B22" s="37" t="s">
        <v>83</v>
      </c>
      <c r="C22" s="35">
        <f>'MPLS COLLEGE'!B28</f>
        <v>25064234.926692937</v>
      </c>
      <c r="D22" s="35">
        <f>'MPLS COLLEGE'!B30</f>
        <v>5230.4329980577913</v>
      </c>
    </row>
    <row r="23" spans="1:4" x14ac:dyDescent="0.2">
      <c r="A23" s="42" t="s">
        <v>140</v>
      </c>
      <c r="B23" s="37" t="s">
        <v>84</v>
      </c>
      <c r="C23" s="35">
        <f>'MN SC-SOUTHEAST'!B28</f>
        <v>7656783.2676108144</v>
      </c>
      <c r="D23" s="35">
        <f>'MN SC-SOUTHEAST'!B30</f>
        <v>6276.0518586973885</v>
      </c>
    </row>
    <row r="24" spans="1:4" x14ac:dyDescent="0.2">
      <c r="A24" s="42" t="s">
        <v>141</v>
      </c>
      <c r="B24" s="37" t="s">
        <v>85</v>
      </c>
      <c r="C24" s="35">
        <f>'MINNESOTA STATE COLLEGE'!B28</f>
        <v>20006714.528148714</v>
      </c>
      <c r="D24" s="35">
        <f>'MINNESOTA STATE COLLEGE'!B30</f>
        <v>4928.9762326062364</v>
      </c>
    </row>
    <row r="25" spans="1:4" x14ac:dyDescent="0.2">
      <c r="A25" s="42" t="s">
        <v>142</v>
      </c>
      <c r="B25" s="37" t="s">
        <v>112</v>
      </c>
      <c r="C25" s="35">
        <f>'MSU MOORHEAD'!B28</f>
        <v>33006820.748695895</v>
      </c>
      <c r="D25" s="35">
        <f>'MSU MOORHEAD'!B30</f>
        <v>6231.2291388891626</v>
      </c>
    </row>
    <row r="26" spans="1:4" x14ac:dyDescent="0.2">
      <c r="A26" s="42" t="s">
        <v>143</v>
      </c>
      <c r="B26" s="37" t="s">
        <v>113</v>
      </c>
      <c r="C26" s="35">
        <f>'MSU MANKATO'!B28</f>
        <v>73886954.904468089</v>
      </c>
      <c r="D26" s="35">
        <f>'MSU MANKATO'!B30</f>
        <v>5491.0043775615404</v>
      </c>
    </row>
    <row r="27" spans="1:4" x14ac:dyDescent="0.2">
      <c r="A27" s="42" t="s">
        <v>144</v>
      </c>
      <c r="B27" s="37" t="s">
        <v>114</v>
      </c>
      <c r="C27" s="35">
        <f>'MN WEST'!B28</f>
        <v>9713815.0338298157</v>
      </c>
      <c r="D27" s="35">
        <f>'MN WEST'!B30</f>
        <v>5067.1961574490433</v>
      </c>
    </row>
    <row r="28" spans="1:4" x14ac:dyDescent="0.2">
      <c r="A28" s="42" t="s">
        <v>145</v>
      </c>
      <c r="B28" s="37" t="s">
        <v>86</v>
      </c>
      <c r="C28" s="35">
        <f>NORMANDALE!B28</f>
        <v>29224822.087542687</v>
      </c>
      <c r="D28" s="35">
        <f>NORMANDALE!B30</f>
        <v>4270.7616670382413</v>
      </c>
    </row>
    <row r="29" spans="1:4" x14ac:dyDescent="0.2">
      <c r="A29" s="42" t="s">
        <v>126</v>
      </c>
      <c r="B29" s="37" t="s">
        <v>87</v>
      </c>
      <c r="C29" s="35">
        <f>'NO HENN CC'!B28</f>
        <v>20567475.750713367</v>
      </c>
      <c r="D29" s="35">
        <f>'NO HENN CC'!B30</f>
        <v>4951.2459679136655</v>
      </c>
    </row>
    <row r="30" spans="1:4" x14ac:dyDescent="0.2">
      <c r="A30" s="42" t="s">
        <v>146</v>
      </c>
      <c r="B30" s="34" t="s">
        <v>45</v>
      </c>
      <c r="C30" s="32">
        <f>SUM(C31:C35)</f>
        <v>19090798.063415337</v>
      </c>
      <c r="D30" s="35">
        <f>NHED!B30</f>
        <v>5514.2745902122115</v>
      </c>
    </row>
    <row r="31" spans="1:4" x14ac:dyDescent="0.2">
      <c r="A31" s="42" t="s">
        <v>147</v>
      </c>
      <c r="B31" s="36" t="s">
        <v>88</v>
      </c>
      <c r="C31" s="35">
        <f>HIBBING!B28</f>
        <v>5686564.4368222971</v>
      </c>
      <c r="D31" s="35">
        <f>HIBBING!B30</f>
        <v>6167.6403870089989</v>
      </c>
    </row>
    <row r="32" spans="1:4" x14ac:dyDescent="0.2">
      <c r="A32" s="42" t="s">
        <v>148</v>
      </c>
      <c r="B32" s="36" t="s">
        <v>89</v>
      </c>
      <c r="C32" s="35">
        <f>'ITASCA CC'!B28</f>
        <v>4346731.3013817314</v>
      </c>
      <c r="D32" s="35">
        <f>'ITASCA CC'!B30</f>
        <v>4634.0418991276456</v>
      </c>
    </row>
    <row r="33" spans="1:4" x14ac:dyDescent="0.2">
      <c r="A33" s="42" t="s">
        <v>146</v>
      </c>
      <c r="B33" s="36" t="s">
        <v>46</v>
      </c>
      <c r="C33" s="35">
        <f>'MESABI RANGE'!B28</f>
        <v>4433049.0827477407</v>
      </c>
      <c r="D33" s="35">
        <f>'MESABI RANGE'!B30</f>
        <v>5562.1694890184954</v>
      </c>
    </row>
    <row r="34" spans="1:4" x14ac:dyDescent="0.2">
      <c r="A34" s="42" t="s">
        <v>127</v>
      </c>
      <c r="B34" s="36" t="s">
        <v>90</v>
      </c>
      <c r="C34" s="35">
        <f>'RAINY RIVER'!B28</f>
        <v>1528574.5305128475</v>
      </c>
      <c r="D34" s="35">
        <f>'RAINY RIVER'!B30</f>
        <v>6477.0107225120655</v>
      </c>
    </row>
    <row r="35" spans="1:4" x14ac:dyDescent="0.2">
      <c r="A35" s="42" t="s">
        <v>149</v>
      </c>
      <c r="B35" s="36" t="s">
        <v>91</v>
      </c>
      <c r="C35" s="35">
        <f>VERMILION!B28</f>
        <v>3095878.7119507198</v>
      </c>
      <c r="D35" s="35">
        <f>VERMILION!B30</f>
        <v>5402.9296892682723</v>
      </c>
    </row>
    <row r="36" spans="1:4" x14ac:dyDescent="0.2">
      <c r="A36" s="42" t="s">
        <v>150</v>
      </c>
      <c r="B36" s="37" t="s">
        <v>92</v>
      </c>
      <c r="C36" s="35">
        <f>NORTHLAND!B28</f>
        <v>11556627.540956965</v>
      </c>
      <c r="D36" s="35">
        <f>NORTHLAND!B30</f>
        <v>5500.5366687086935</v>
      </c>
    </row>
    <row r="37" spans="1:4" x14ac:dyDescent="0.2">
      <c r="A37" s="42" t="s">
        <v>151</v>
      </c>
      <c r="B37" s="37" t="s">
        <v>93</v>
      </c>
      <c r="C37" s="35">
        <f>'PINE TC'!B28</f>
        <v>3734829.2504643635</v>
      </c>
      <c r="D37" s="35">
        <f>'PINE TC'!B30</f>
        <v>4837.8617233994346</v>
      </c>
    </row>
    <row r="38" spans="1:4" x14ac:dyDescent="0.2">
      <c r="A38" s="42" t="s">
        <v>152</v>
      </c>
      <c r="B38" s="37" t="s">
        <v>48</v>
      </c>
      <c r="C38" s="35">
        <f>RIDGEWATER!B28</f>
        <v>12102461.788623223</v>
      </c>
      <c r="D38" s="35">
        <f>RIDGEWATER!B30</f>
        <v>4621.023974273854</v>
      </c>
    </row>
    <row r="39" spans="1:4" x14ac:dyDescent="0.2">
      <c r="A39" s="42" t="s">
        <v>153</v>
      </c>
      <c r="B39" s="37" t="s">
        <v>94</v>
      </c>
      <c r="C39" s="35">
        <f>RIVERLAND!B28</f>
        <v>11202677.628651984</v>
      </c>
      <c r="D39" s="35">
        <f>RIVERLAND!B30</f>
        <v>5576.2457086371251</v>
      </c>
    </row>
    <row r="40" spans="1:4" x14ac:dyDescent="0.2">
      <c r="A40" s="42" t="s">
        <v>154</v>
      </c>
      <c r="B40" s="37" t="s">
        <v>95</v>
      </c>
      <c r="C40" s="35">
        <f>ROCHESTER!B28</f>
        <v>19274990.650416862</v>
      </c>
      <c r="D40" s="35">
        <f>ROCHESTER!B30</f>
        <v>5432.6354708052031</v>
      </c>
    </row>
    <row r="41" spans="1:4" x14ac:dyDescent="0.2">
      <c r="A41" s="42" t="s">
        <v>155</v>
      </c>
      <c r="B41" s="37" t="s">
        <v>51</v>
      </c>
      <c r="C41" s="35">
        <f>'SAINT PAUL'!B28</f>
        <v>19202763.919650137</v>
      </c>
      <c r="D41" s="35">
        <f>'SAINT PAUL'!B30</f>
        <v>4213.9047442725778</v>
      </c>
    </row>
    <row r="42" spans="1:4" x14ac:dyDescent="0.2">
      <c r="A42" s="42" t="s">
        <v>156</v>
      </c>
      <c r="B42" s="37" t="s">
        <v>65</v>
      </c>
      <c r="C42" s="35">
        <f>'SOUTH CENTRAL'!B28</f>
        <v>10569382.499589136</v>
      </c>
      <c r="D42" s="35">
        <f>'SOUTH CENTRAL'!B30</f>
        <v>4936.6569358193065</v>
      </c>
    </row>
    <row r="43" spans="1:4" x14ac:dyDescent="0.2">
      <c r="A43" s="42" t="s">
        <v>157</v>
      </c>
      <c r="B43" s="37" t="s">
        <v>96</v>
      </c>
      <c r="C43" s="35">
        <f>'SOUTHWEST MN SU'!B28</f>
        <v>17291895.245939583</v>
      </c>
      <c r="D43" s="35">
        <f>'SOUTHWEST MN SU'!B30</f>
        <v>4792.6538929987755</v>
      </c>
    </row>
    <row r="44" spans="1:4" x14ac:dyDescent="0.2">
      <c r="A44" s="42" t="s">
        <v>158</v>
      </c>
      <c r="B44" s="37" t="s">
        <v>97</v>
      </c>
      <c r="C44" s="35">
        <f>'ST CLOUD SU'!B28</f>
        <v>60686040.65822795</v>
      </c>
      <c r="D44" s="35">
        <f>'ST CLOUD SU'!B30</f>
        <v>5476.5852051464626</v>
      </c>
    </row>
    <row r="45" spans="1:4" x14ac:dyDescent="0.2">
      <c r="A45" s="42" t="s">
        <v>159</v>
      </c>
      <c r="B45" s="37" t="s">
        <v>98</v>
      </c>
      <c r="C45" s="35">
        <f>'ST CLOUD TCC'!B28</f>
        <v>13207954.38901028</v>
      </c>
      <c r="D45" s="35">
        <f>'ST CLOUD TCC'!B30</f>
        <v>4238.7530131611938</v>
      </c>
    </row>
    <row r="46" spans="1:4" x14ac:dyDescent="0.2">
      <c r="A46" s="42" t="s">
        <v>160</v>
      </c>
      <c r="B46" s="37" t="s">
        <v>99</v>
      </c>
      <c r="C46" s="35">
        <f>'WINONA SU'!B28</f>
        <v>44472424.002996057</v>
      </c>
      <c r="D46" s="35">
        <f>'WINONA SU'!B30</f>
        <v>6044.9128725018427</v>
      </c>
    </row>
    <row r="48" spans="1:4" x14ac:dyDescent="0.2">
      <c r="D48" s="28"/>
    </row>
    <row r="50" spans="2:3" x14ac:dyDescent="0.2">
      <c r="B50" s="27" t="s">
        <v>50</v>
      </c>
      <c r="C50" s="12"/>
    </row>
    <row r="51" spans="2:3" x14ac:dyDescent="0.2">
      <c r="B51" s="27" t="s">
        <v>122</v>
      </c>
      <c r="C51" s="12"/>
    </row>
  </sheetData>
  <phoneticPr fontId="11" type="noConversion"/>
  <pageMargins left="0.75" right="0.75" top="1" bottom="1" header="0.5" footer="0.5"/>
  <pageSetup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32" sqref="D32"/>
    </sheetView>
  </sheetViews>
  <sheetFormatPr defaultRowHeight="12" x14ac:dyDescent="0.2"/>
  <cols>
    <col min="1" max="1" width="9.140625" style="27"/>
    <col min="2" max="2" width="34.140625" style="12" customWidth="1"/>
    <col min="3" max="3" width="13.5703125" style="44" bestFit="1" customWidth="1"/>
    <col min="4" max="4" width="9.28515625" style="44" bestFit="1" customWidth="1"/>
    <col min="5" max="16384" width="9.140625" style="12"/>
  </cols>
  <sheetData>
    <row r="1" spans="1:4" x14ac:dyDescent="0.2">
      <c r="A1" s="42" t="s">
        <v>123</v>
      </c>
      <c r="B1" s="13" t="s">
        <v>35</v>
      </c>
      <c r="C1" s="43" t="s">
        <v>10</v>
      </c>
      <c r="D1" s="43" t="s">
        <v>11</v>
      </c>
    </row>
    <row r="2" spans="1:4" x14ac:dyDescent="0.2">
      <c r="A2" s="42" t="s">
        <v>124</v>
      </c>
      <c r="B2" s="34" t="s">
        <v>110</v>
      </c>
      <c r="C2" s="46">
        <v>9725027.6166007984</v>
      </c>
      <c r="D2" s="46">
        <v>5051.9623982341809</v>
      </c>
    </row>
    <row r="3" spans="1:4" x14ac:dyDescent="0.2">
      <c r="A3" s="42" t="s">
        <v>125</v>
      </c>
      <c r="B3" s="15" t="s">
        <v>111</v>
      </c>
      <c r="C3" s="46">
        <v>29586860.953928113</v>
      </c>
      <c r="D3" s="46">
        <v>4344.6198170232174</v>
      </c>
    </row>
    <row r="4" spans="1:4" ht="24" x14ac:dyDescent="0.2">
      <c r="A4" s="42" t="s">
        <v>130</v>
      </c>
      <c r="B4" s="34" t="s">
        <v>77</v>
      </c>
      <c r="C4" s="46">
        <v>26941887.797263023</v>
      </c>
      <c r="D4" s="47">
        <v>5509.8092455615561</v>
      </c>
    </row>
    <row r="5" spans="1:4" x14ac:dyDescent="0.2">
      <c r="A5" s="42" t="s">
        <v>132</v>
      </c>
      <c r="B5" s="36" t="s">
        <v>39</v>
      </c>
      <c r="C5" s="47">
        <v>12192768.057150062</v>
      </c>
      <c r="D5" s="47">
        <v>4759.0819895199302</v>
      </c>
    </row>
    <row r="6" spans="1:4" x14ac:dyDescent="0.2">
      <c r="A6" s="42" t="s">
        <v>133</v>
      </c>
      <c r="B6" s="34" t="s">
        <v>40</v>
      </c>
      <c r="C6" s="47">
        <v>27667738.50955718</v>
      </c>
      <c r="D6" s="47">
        <v>4624.3921961486176</v>
      </c>
    </row>
    <row r="7" spans="1:4" x14ac:dyDescent="0.2">
      <c r="A7" s="42" t="s">
        <v>134</v>
      </c>
      <c r="B7" s="37" t="s">
        <v>161</v>
      </c>
      <c r="C7" s="47">
        <v>24476530.859212853</v>
      </c>
      <c r="D7" s="47">
        <v>4938.7673242963783</v>
      </c>
    </row>
    <row r="8" spans="1:4" x14ac:dyDescent="0.2">
      <c r="A8" s="42" t="s">
        <v>135</v>
      </c>
      <c r="B8" s="37" t="s">
        <v>79</v>
      </c>
      <c r="C8" s="47">
        <v>5062276.7722652806</v>
      </c>
      <c r="D8" s="47">
        <v>4938.8066070880786</v>
      </c>
    </row>
    <row r="9" spans="1:4" x14ac:dyDescent="0.2">
      <c r="A9" s="42" t="s">
        <v>136</v>
      </c>
      <c r="B9" s="37" t="s">
        <v>80</v>
      </c>
      <c r="C9" s="47">
        <v>17682985.113810688</v>
      </c>
      <c r="D9" s="47">
        <v>5250.2924922240763</v>
      </c>
    </row>
    <row r="10" spans="1:4" x14ac:dyDescent="0.2">
      <c r="A10" s="42" t="s">
        <v>137</v>
      </c>
      <c r="B10" s="37" t="s">
        <v>41</v>
      </c>
      <c r="C10" s="47">
        <v>13620625.872010946</v>
      </c>
      <c r="D10" s="47">
        <v>4329.5059987320237</v>
      </c>
    </row>
    <row r="11" spans="1:4" x14ac:dyDescent="0.2">
      <c r="A11" s="42" t="s">
        <v>138</v>
      </c>
      <c r="B11" s="37" t="s">
        <v>82</v>
      </c>
      <c r="C11" s="47">
        <v>48052902.522840954</v>
      </c>
      <c r="D11" s="47">
        <v>7924.2913131334026</v>
      </c>
    </row>
    <row r="12" spans="1:4" x14ac:dyDescent="0.2">
      <c r="A12" s="42" t="s">
        <v>139</v>
      </c>
      <c r="B12" s="37" t="s">
        <v>83</v>
      </c>
      <c r="C12" s="47">
        <v>25064234.926692937</v>
      </c>
      <c r="D12" s="47">
        <v>5230.4329980577913</v>
      </c>
    </row>
    <row r="13" spans="1:4" x14ac:dyDescent="0.2">
      <c r="A13" s="42" t="s">
        <v>140</v>
      </c>
      <c r="B13" s="37" t="s">
        <v>84</v>
      </c>
      <c r="C13" s="47">
        <v>7656783.2676108144</v>
      </c>
      <c r="D13" s="47">
        <v>6276.0518586973885</v>
      </c>
    </row>
    <row r="14" spans="1:4" ht="24" x14ac:dyDescent="0.2">
      <c r="A14" s="42" t="s">
        <v>141</v>
      </c>
      <c r="B14" s="34" t="s">
        <v>85</v>
      </c>
      <c r="C14" s="47">
        <v>20006714.528148714</v>
      </c>
      <c r="D14" s="47">
        <v>4928.9762326062364</v>
      </c>
    </row>
    <row r="15" spans="1:4" x14ac:dyDescent="0.2">
      <c r="A15" s="42" t="s">
        <v>142</v>
      </c>
      <c r="B15" s="37" t="s">
        <v>112</v>
      </c>
      <c r="C15" s="47">
        <v>33006820.748695895</v>
      </c>
      <c r="D15" s="47">
        <v>6231.2291388891626</v>
      </c>
    </row>
    <row r="16" spans="1:4" x14ac:dyDescent="0.2">
      <c r="A16" s="42" t="s">
        <v>143</v>
      </c>
      <c r="B16" s="37" t="s">
        <v>113</v>
      </c>
      <c r="C16" s="47">
        <v>73886954.904468089</v>
      </c>
      <c r="D16" s="47">
        <v>5491.0043775615404</v>
      </c>
    </row>
    <row r="17" spans="1:4" x14ac:dyDescent="0.2">
      <c r="A17" s="42" t="s">
        <v>144</v>
      </c>
      <c r="B17" s="37" t="s">
        <v>114</v>
      </c>
      <c r="C17" s="47">
        <v>9713815.0338298157</v>
      </c>
      <c r="D17" s="47">
        <v>5067.1961574490433</v>
      </c>
    </row>
    <row r="18" spans="1:4" x14ac:dyDescent="0.2">
      <c r="A18" s="42" t="s">
        <v>145</v>
      </c>
      <c r="B18" s="37" t="s">
        <v>86</v>
      </c>
      <c r="C18" s="47">
        <v>29224822.087542687</v>
      </c>
      <c r="D18" s="47">
        <v>4270.7616670382413</v>
      </c>
    </row>
    <row r="19" spans="1:4" x14ac:dyDescent="0.2">
      <c r="A19" s="42" t="s">
        <v>126</v>
      </c>
      <c r="B19" s="37" t="s">
        <v>87</v>
      </c>
      <c r="C19" s="47">
        <v>20567475.750713367</v>
      </c>
      <c r="D19" s="47">
        <v>4951.2459679136655</v>
      </c>
    </row>
    <row r="20" spans="1:4" x14ac:dyDescent="0.2">
      <c r="A20" s="42" t="s">
        <v>146</v>
      </c>
      <c r="B20" s="37" t="s">
        <v>45</v>
      </c>
      <c r="C20" s="46">
        <v>19090798.063415337</v>
      </c>
      <c r="D20" s="47">
        <v>5514.2745902122115</v>
      </c>
    </row>
    <row r="21" spans="1:4" x14ac:dyDescent="0.2">
      <c r="A21" s="27" t="s">
        <v>150</v>
      </c>
      <c r="B21" s="12" t="s">
        <v>92</v>
      </c>
      <c r="C21" s="48">
        <v>11556627.540956965</v>
      </c>
      <c r="D21" s="48">
        <v>5500.5366687086935</v>
      </c>
    </row>
    <row r="22" spans="1:4" x14ac:dyDescent="0.2">
      <c r="A22" s="27" t="s">
        <v>151</v>
      </c>
      <c r="B22" s="12" t="s">
        <v>93</v>
      </c>
      <c r="C22" s="48">
        <v>3734829.2504643635</v>
      </c>
      <c r="D22" s="48">
        <v>4837.8617233994346</v>
      </c>
    </row>
    <row r="23" spans="1:4" x14ac:dyDescent="0.2">
      <c r="A23" s="27" t="s">
        <v>152</v>
      </c>
      <c r="B23" s="12" t="s">
        <v>48</v>
      </c>
      <c r="C23" s="48">
        <v>12102461.788623223</v>
      </c>
      <c r="D23" s="48">
        <v>4621.023974273854</v>
      </c>
    </row>
    <row r="24" spans="1:4" x14ac:dyDescent="0.2">
      <c r="A24" s="27" t="s">
        <v>153</v>
      </c>
      <c r="B24" s="12" t="s">
        <v>94</v>
      </c>
      <c r="C24" s="48">
        <v>11202677.628651984</v>
      </c>
      <c r="D24" s="48">
        <v>5576.2457086371251</v>
      </c>
    </row>
    <row r="25" spans="1:4" x14ac:dyDescent="0.2">
      <c r="A25" s="27" t="s">
        <v>154</v>
      </c>
      <c r="B25" s="12" t="s">
        <v>95</v>
      </c>
      <c r="C25" s="48">
        <v>19274990.650416862</v>
      </c>
      <c r="D25" s="48">
        <v>5432.6354708052031</v>
      </c>
    </row>
    <row r="26" spans="1:4" x14ac:dyDescent="0.2">
      <c r="A26" s="27" t="s">
        <v>155</v>
      </c>
      <c r="B26" s="12" t="s">
        <v>51</v>
      </c>
      <c r="C26" s="48">
        <v>19202763.919650137</v>
      </c>
      <c r="D26" s="48">
        <v>4213.9047442725778</v>
      </c>
    </row>
    <row r="27" spans="1:4" x14ac:dyDescent="0.2">
      <c r="A27" s="27" t="s">
        <v>156</v>
      </c>
      <c r="B27" s="12" t="s">
        <v>65</v>
      </c>
      <c r="C27" s="48">
        <v>10569382.499589136</v>
      </c>
      <c r="D27" s="48">
        <v>4936.6569358193065</v>
      </c>
    </row>
    <row r="28" spans="1:4" x14ac:dyDescent="0.2">
      <c r="A28" s="27" t="s">
        <v>157</v>
      </c>
      <c r="B28" s="12" t="s">
        <v>96</v>
      </c>
      <c r="C28" s="48">
        <v>17291895.245939583</v>
      </c>
      <c r="D28" s="48">
        <v>4792.6538929987755</v>
      </c>
    </row>
    <row r="29" spans="1:4" x14ac:dyDescent="0.2">
      <c r="A29" s="27" t="s">
        <v>158</v>
      </c>
      <c r="B29" s="12" t="s">
        <v>97</v>
      </c>
      <c r="C29" s="48">
        <v>60686040.65822795</v>
      </c>
      <c r="D29" s="48">
        <v>5476.5852051464626</v>
      </c>
    </row>
    <row r="30" spans="1:4" x14ac:dyDescent="0.2">
      <c r="A30" s="27" t="s">
        <v>159</v>
      </c>
      <c r="B30" s="12" t="s">
        <v>98</v>
      </c>
      <c r="C30" s="48">
        <v>13207954.38901028</v>
      </c>
      <c r="D30" s="48">
        <v>4238.7530131611938</v>
      </c>
    </row>
    <row r="31" spans="1:4" x14ac:dyDescent="0.2">
      <c r="A31" s="27" t="s">
        <v>160</v>
      </c>
      <c r="B31" s="12" t="s">
        <v>99</v>
      </c>
      <c r="C31" s="48">
        <v>44472424.002996057</v>
      </c>
      <c r="D31" s="48">
        <v>6044.9128725018427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B20" sqref="B20"/>
    </sheetView>
  </sheetViews>
  <sheetFormatPr defaultRowHeight="12" x14ac:dyDescent="0.2"/>
  <cols>
    <col min="1" max="1" width="9.140625" style="27"/>
    <col min="2" max="2" width="34.140625" style="12" customWidth="1"/>
    <col min="3" max="3" width="13.5703125" style="44" bestFit="1" customWidth="1"/>
    <col min="4" max="4" width="9.28515625" style="44" bestFit="1" customWidth="1"/>
    <col min="5" max="16384" width="9.140625" style="12"/>
  </cols>
  <sheetData>
    <row r="1" spans="1:4" x14ac:dyDescent="0.2">
      <c r="A1" s="42" t="s">
        <v>123</v>
      </c>
      <c r="B1" s="13" t="s">
        <v>35</v>
      </c>
      <c r="C1" s="43" t="s">
        <v>10</v>
      </c>
      <c r="D1" s="43" t="s">
        <v>11</v>
      </c>
    </row>
    <row r="2" spans="1:4" x14ac:dyDescent="0.2">
      <c r="A2" s="42" t="s">
        <v>124</v>
      </c>
      <c r="B2" s="34" t="s">
        <v>110</v>
      </c>
      <c r="C2" s="46">
        <v>9725027.6166007984</v>
      </c>
      <c r="D2" s="46">
        <v>5051.9623982341809</v>
      </c>
    </row>
    <row r="3" spans="1:4" x14ac:dyDescent="0.2">
      <c r="A3" s="42" t="s">
        <v>125</v>
      </c>
      <c r="B3" s="36" t="s">
        <v>71</v>
      </c>
      <c r="C3" s="46">
        <v>22353804.34975205</v>
      </c>
      <c r="D3" s="46">
        <v>4079.9058860653495</v>
      </c>
    </row>
    <row r="4" spans="1:4" x14ac:dyDescent="0.2">
      <c r="A4" s="42" t="s">
        <v>129</v>
      </c>
      <c r="B4" s="34" t="s">
        <v>72</v>
      </c>
      <c r="C4" s="47">
        <v>7164041.7127874596</v>
      </c>
      <c r="D4" s="47">
        <v>5382.450573093508</v>
      </c>
    </row>
    <row r="5" spans="1:4" x14ac:dyDescent="0.2">
      <c r="A5" s="42" t="s">
        <v>130</v>
      </c>
      <c r="B5" s="34" t="s">
        <v>75</v>
      </c>
      <c r="C5" s="47">
        <v>22883036.572764203</v>
      </c>
      <c r="D5" s="47">
        <v>5298.2256477805513</v>
      </c>
    </row>
    <row r="6" spans="1:4" x14ac:dyDescent="0.2">
      <c r="A6" s="42" t="s">
        <v>131</v>
      </c>
      <c r="B6" s="36" t="s">
        <v>76</v>
      </c>
      <c r="C6" s="47">
        <v>4058851.2244988196</v>
      </c>
      <c r="D6" s="47">
        <v>7273.9269256251246</v>
      </c>
    </row>
    <row r="7" spans="1:4" x14ac:dyDescent="0.2">
      <c r="A7" s="42" t="s">
        <v>132</v>
      </c>
      <c r="B7" s="36" t="s">
        <v>39</v>
      </c>
      <c r="C7" s="47">
        <v>12192768.057150062</v>
      </c>
      <c r="D7" s="47">
        <v>4759.0819895199302</v>
      </c>
    </row>
    <row r="8" spans="1:4" x14ac:dyDescent="0.2">
      <c r="A8" s="42" t="s">
        <v>133</v>
      </c>
      <c r="B8" s="34" t="s">
        <v>40</v>
      </c>
      <c r="C8" s="47">
        <v>27667738.50955718</v>
      </c>
      <c r="D8" s="47">
        <v>4624.3921961486176</v>
      </c>
    </row>
    <row r="9" spans="1:4" x14ac:dyDescent="0.2">
      <c r="A9" s="42" t="s">
        <v>134</v>
      </c>
      <c r="B9" s="37" t="s">
        <v>78</v>
      </c>
      <c r="C9" s="47">
        <v>9738168.8390468527</v>
      </c>
      <c r="D9" s="47">
        <v>5024.8549221087987</v>
      </c>
    </row>
    <row r="10" spans="1:4" x14ac:dyDescent="0.2">
      <c r="A10" s="42" t="s">
        <v>135</v>
      </c>
      <c r="B10" s="37" t="s">
        <v>79</v>
      </c>
      <c r="C10" s="47">
        <v>5062276.7722652806</v>
      </c>
      <c r="D10" s="47">
        <v>4938.8066070880786</v>
      </c>
    </row>
    <row r="11" spans="1:4" x14ac:dyDescent="0.2">
      <c r="A11" s="42" t="s">
        <v>136</v>
      </c>
      <c r="B11" s="37" t="s">
        <v>80</v>
      </c>
      <c r="C11" s="47">
        <v>17682985.113810688</v>
      </c>
      <c r="D11" s="47">
        <v>5250.2924922240763</v>
      </c>
    </row>
    <row r="12" spans="1:4" x14ac:dyDescent="0.2">
      <c r="A12" s="42" t="s">
        <v>128</v>
      </c>
      <c r="B12" s="37" t="s">
        <v>81</v>
      </c>
      <c r="C12" s="47">
        <v>14882435.411853448</v>
      </c>
      <c r="D12" s="47">
        <v>4931.2244572079017</v>
      </c>
    </row>
    <row r="13" spans="1:4" x14ac:dyDescent="0.2">
      <c r="A13" s="42" t="s">
        <v>137</v>
      </c>
      <c r="B13" s="37" t="s">
        <v>41</v>
      </c>
      <c r="C13" s="47">
        <v>13620625.872010946</v>
      </c>
      <c r="D13" s="47">
        <v>4329.5059987320237</v>
      </c>
    </row>
    <row r="14" spans="1:4" x14ac:dyDescent="0.2">
      <c r="A14" s="42" t="s">
        <v>138</v>
      </c>
      <c r="B14" s="37" t="s">
        <v>82</v>
      </c>
      <c r="C14" s="47">
        <v>48052902.522840954</v>
      </c>
      <c r="D14" s="47">
        <v>7924.2913131334026</v>
      </c>
    </row>
    <row r="15" spans="1:4" x14ac:dyDescent="0.2">
      <c r="A15" s="42" t="s">
        <v>139</v>
      </c>
      <c r="B15" s="37" t="s">
        <v>83</v>
      </c>
      <c r="C15" s="47">
        <v>25064234.926692937</v>
      </c>
      <c r="D15" s="47">
        <v>5230.4329980577913</v>
      </c>
    </row>
    <row r="16" spans="1:4" x14ac:dyDescent="0.2">
      <c r="A16" s="42" t="s">
        <v>140</v>
      </c>
      <c r="B16" s="37" t="s">
        <v>84</v>
      </c>
      <c r="C16" s="47">
        <v>7656783.2676108144</v>
      </c>
      <c r="D16" s="47">
        <v>6276.0518586973885</v>
      </c>
    </row>
    <row r="17" spans="1:4" ht="24" x14ac:dyDescent="0.2">
      <c r="A17" s="42" t="s">
        <v>141</v>
      </c>
      <c r="B17" s="34" t="s">
        <v>85</v>
      </c>
      <c r="C17" s="47">
        <v>20006714.528148714</v>
      </c>
      <c r="D17" s="47">
        <v>4928.9762326062364</v>
      </c>
    </row>
    <row r="18" spans="1:4" x14ac:dyDescent="0.2">
      <c r="A18" s="42" t="s">
        <v>142</v>
      </c>
      <c r="B18" s="37" t="s">
        <v>112</v>
      </c>
      <c r="C18" s="47">
        <v>33006820.748695895</v>
      </c>
      <c r="D18" s="47">
        <v>6231.2291388891626</v>
      </c>
    </row>
    <row r="19" spans="1:4" x14ac:dyDescent="0.2">
      <c r="A19" s="42" t="s">
        <v>143</v>
      </c>
      <c r="B19" s="37" t="s">
        <v>113</v>
      </c>
      <c r="C19" s="47">
        <v>73886954.904468089</v>
      </c>
      <c r="D19" s="47">
        <v>5491.0043775615404</v>
      </c>
    </row>
    <row r="20" spans="1:4" x14ac:dyDescent="0.2">
      <c r="A20" s="42" t="s">
        <v>144</v>
      </c>
      <c r="B20" s="37" t="s">
        <v>114</v>
      </c>
      <c r="C20" s="47">
        <v>9713815.0338298157</v>
      </c>
      <c r="D20" s="47">
        <v>5067.1961574490433</v>
      </c>
    </row>
    <row r="21" spans="1:4" x14ac:dyDescent="0.2">
      <c r="A21" s="42" t="s">
        <v>145</v>
      </c>
      <c r="B21" s="37" t="s">
        <v>86</v>
      </c>
      <c r="C21" s="47">
        <v>29224822.087542687</v>
      </c>
      <c r="D21" s="47">
        <v>4270.7616670382413</v>
      </c>
    </row>
    <row r="22" spans="1:4" x14ac:dyDescent="0.2">
      <c r="A22" s="42" t="s">
        <v>126</v>
      </c>
      <c r="B22" s="37" t="s">
        <v>87</v>
      </c>
      <c r="C22" s="47">
        <v>20567475.750713367</v>
      </c>
      <c r="D22" s="47">
        <v>4951.2459679136655</v>
      </c>
    </row>
    <row r="23" spans="1:4" x14ac:dyDescent="0.2">
      <c r="A23" s="42" t="s">
        <v>147</v>
      </c>
      <c r="B23" s="37" t="s">
        <v>88</v>
      </c>
      <c r="C23" s="47">
        <v>5686564.4368222971</v>
      </c>
      <c r="D23" s="47">
        <v>6167.6403870089989</v>
      </c>
    </row>
    <row r="24" spans="1:4" x14ac:dyDescent="0.2">
      <c r="A24" s="42" t="s">
        <v>148</v>
      </c>
      <c r="B24" s="37" t="s">
        <v>89</v>
      </c>
      <c r="C24" s="47">
        <v>4346731.3013817314</v>
      </c>
      <c r="D24" s="47">
        <v>4634.0418991276456</v>
      </c>
    </row>
    <row r="25" spans="1:4" x14ac:dyDescent="0.2">
      <c r="A25" s="42" t="s">
        <v>146</v>
      </c>
      <c r="B25" s="37" t="s">
        <v>46</v>
      </c>
      <c r="C25" s="47">
        <v>4433049.0827477407</v>
      </c>
      <c r="D25" s="47">
        <v>5562.1694890184954</v>
      </c>
    </row>
    <row r="26" spans="1:4" x14ac:dyDescent="0.2">
      <c r="A26" s="42" t="s">
        <v>127</v>
      </c>
      <c r="B26" s="37" t="s">
        <v>90</v>
      </c>
      <c r="C26" s="47">
        <v>1528574.5305128475</v>
      </c>
      <c r="D26" s="47">
        <v>6477.0107225120655</v>
      </c>
    </row>
    <row r="27" spans="1:4" x14ac:dyDescent="0.2">
      <c r="A27" s="42" t="s">
        <v>149</v>
      </c>
      <c r="B27" s="37" t="s">
        <v>91</v>
      </c>
      <c r="C27" s="47">
        <v>3095878.7119507198</v>
      </c>
      <c r="D27" s="47">
        <v>5402.9296892682723</v>
      </c>
    </row>
    <row r="28" spans="1:4" x14ac:dyDescent="0.2">
      <c r="A28" s="27" t="s">
        <v>150</v>
      </c>
      <c r="B28" s="12" t="s">
        <v>92</v>
      </c>
      <c r="C28" s="48">
        <v>11556627.540956965</v>
      </c>
      <c r="D28" s="48">
        <v>5500.5366687086935</v>
      </c>
    </row>
    <row r="29" spans="1:4" x14ac:dyDescent="0.2">
      <c r="A29" s="27" t="s">
        <v>151</v>
      </c>
      <c r="B29" s="12" t="s">
        <v>93</v>
      </c>
      <c r="C29" s="48">
        <v>3734829.2504643635</v>
      </c>
      <c r="D29" s="48">
        <v>4837.8617233994346</v>
      </c>
    </row>
    <row r="30" spans="1:4" x14ac:dyDescent="0.2">
      <c r="A30" s="27" t="s">
        <v>152</v>
      </c>
      <c r="B30" s="12" t="s">
        <v>48</v>
      </c>
      <c r="C30" s="48">
        <v>12102461.788623223</v>
      </c>
      <c r="D30" s="48">
        <v>4621.023974273854</v>
      </c>
    </row>
    <row r="31" spans="1:4" x14ac:dyDescent="0.2">
      <c r="A31" s="27" t="s">
        <v>153</v>
      </c>
      <c r="B31" s="12" t="s">
        <v>94</v>
      </c>
      <c r="C31" s="48">
        <v>11202677.628651984</v>
      </c>
      <c r="D31" s="48">
        <v>5576.2457086371251</v>
      </c>
    </row>
    <row r="32" spans="1:4" x14ac:dyDescent="0.2">
      <c r="A32" s="27" t="s">
        <v>154</v>
      </c>
      <c r="B32" s="12" t="s">
        <v>95</v>
      </c>
      <c r="C32" s="48">
        <v>19274990.650416862</v>
      </c>
      <c r="D32" s="48">
        <v>5432.6354708052031</v>
      </c>
    </row>
    <row r="33" spans="1:4" x14ac:dyDescent="0.2">
      <c r="A33" s="27" t="s">
        <v>155</v>
      </c>
      <c r="B33" s="12" t="s">
        <v>51</v>
      </c>
      <c r="C33" s="48">
        <v>19202763.919650137</v>
      </c>
      <c r="D33" s="48">
        <v>4213.9047442725778</v>
      </c>
    </row>
    <row r="34" spans="1:4" x14ac:dyDescent="0.2">
      <c r="A34" s="27" t="s">
        <v>156</v>
      </c>
      <c r="B34" s="12" t="s">
        <v>65</v>
      </c>
      <c r="C34" s="48">
        <v>10569382.499589136</v>
      </c>
      <c r="D34" s="48">
        <v>4936.6569358193065</v>
      </c>
    </row>
    <row r="35" spans="1:4" x14ac:dyDescent="0.2">
      <c r="A35" s="27" t="s">
        <v>157</v>
      </c>
      <c r="B35" s="12" t="s">
        <v>96</v>
      </c>
      <c r="C35" s="48">
        <v>17291895.245939583</v>
      </c>
      <c r="D35" s="48">
        <v>4792.6538929987755</v>
      </c>
    </row>
    <row r="36" spans="1:4" x14ac:dyDescent="0.2">
      <c r="A36" s="27" t="s">
        <v>158</v>
      </c>
      <c r="B36" s="12" t="s">
        <v>97</v>
      </c>
      <c r="C36" s="48">
        <v>60686040.65822795</v>
      </c>
      <c r="D36" s="48">
        <v>5476.5852051464626</v>
      </c>
    </row>
    <row r="37" spans="1:4" x14ac:dyDescent="0.2">
      <c r="A37" s="27" t="s">
        <v>159</v>
      </c>
      <c r="B37" s="12" t="s">
        <v>98</v>
      </c>
      <c r="C37" s="48">
        <v>13207954.38901028</v>
      </c>
      <c r="D37" s="48">
        <v>4238.7530131611938</v>
      </c>
    </row>
    <row r="38" spans="1:4" x14ac:dyDescent="0.2">
      <c r="A38" s="27" t="s">
        <v>160</v>
      </c>
      <c r="B38" s="12" t="s">
        <v>99</v>
      </c>
      <c r="C38" s="48">
        <v>44472424.002996057</v>
      </c>
      <c r="D38" s="48">
        <v>6044.9128725018427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1" style="1" bestFit="1" customWidth="1"/>
    <col min="5" max="5" width="9.28515625" style="1" customWidth="1"/>
    <col min="6" max="6" width="2.7109375" style="3" customWidth="1"/>
    <col min="7" max="7" width="11.140625" style="1" bestFit="1" customWidth="1"/>
    <col min="8" max="8" width="11.5703125" style="1" bestFit="1" customWidth="1"/>
    <col min="9" max="9" width="11.140625" style="1" bestFit="1" customWidth="1"/>
    <col min="10" max="10" width="13.7109375" style="1" bestFit="1" customWidth="1"/>
    <col min="11" max="11" width="11.7109375" style="1" bestFit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Table'!B8</f>
        <v>20846579.23</v>
      </c>
      <c r="C9" s="1">
        <f>'Master Expend Table'!C8</f>
        <v>0</v>
      </c>
      <c r="D9" s="1">
        <f>'Master Expend Table'!D8</f>
        <v>1287472.32</v>
      </c>
      <c r="E9" s="1">
        <f>'Master Expend Table'!E8</f>
        <v>61943.05</v>
      </c>
      <c r="G9" s="1">
        <f>'Master Expend Table'!G8</f>
        <v>7231811.0599999996</v>
      </c>
      <c r="H9" s="1">
        <f>'Master Expend Table'!H8</f>
        <v>5012511.2</v>
      </c>
      <c r="I9" s="1">
        <f>'Master Expend Table'!I8</f>
        <v>7314790.1100000003</v>
      </c>
      <c r="J9" s="1">
        <f>'Master Expend Table'!J8</f>
        <v>4241671.21</v>
      </c>
      <c r="K9" s="1">
        <f>SUM(B9:J9)</f>
        <v>45996778.18</v>
      </c>
    </row>
    <row r="11" spans="1:11" x14ac:dyDescent="0.2">
      <c r="A11" t="s">
        <v>3</v>
      </c>
      <c r="B11" s="1">
        <f>(B9/($K9-$J9))*-$J$11</f>
        <v>2117689.1011297288</v>
      </c>
      <c r="C11" s="1">
        <f t="shared" ref="C11:I11" si="0">(C9/($K9-$J9))*-$J$11</f>
        <v>0</v>
      </c>
      <c r="D11" s="1">
        <f t="shared" si="0"/>
        <v>130787.21789264063</v>
      </c>
      <c r="E11" s="1">
        <f t="shared" si="0"/>
        <v>6292.4530892320336</v>
      </c>
      <c r="G11" s="1">
        <f t="shared" si="0"/>
        <v>734639.83199470141</v>
      </c>
      <c r="H11" s="1">
        <f t="shared" si="0"/>
        <v>509193.38949648378</v>
      </c>
      <c r="I11" s="1">
        <f t="shared" si="0"/>
        <v>743069.21639721375</v>
      </c>
      <c r="J11" s="1">
        <f>-J9</f>
        <v>-4241671.21</v>
      </c>
      <c r="K11" s="1">
        <v>0</v>
      </c>
    </row>
    <row r="12" spans="1:11" x14ac:dyDescent="0.2">
      <c r="A12" t="s">
        <v>4</v>
      </c>
      <c r="B12" s="1">
        <f>+B9+B11</f>
        <v>22964268.33112973</v>
      </c>
      <c r="C12" s="1">
        <f t="shared" ref="C12:J12" si="1">+C9+C11</f>
        <v>0</v>
      </c>
      <c r="D12" s="1">
        <f t="shared" si="1"/>
        <v>1418259.5378926408</v>
      </c>
      <c r="E12" s="1">
        <f t="shared" si="1"/>
        <v>68235.503089232036</v>
      </c>
      <c r="G12" s="1">
        <f t="shared" si="1"/>
        <v>7966450.8919947008</v>
      </c>
      <c r="H12" s="1">
        <f t="shared" si="1"/>
        <v>5521704.589496484</v>
      </c>
      <c r="I12" s="1">
        <f t="shared" si="1"/>
        <v>8057859.3263972141</v>
      </c>
      <c r="J12" s="1">
        <f t="shared" si="1"/>
        <v>0</v>
      </c>
      <c r="K12" s="1">
        <f>SUM(B12:J12)</f>
        <v>45996778.179999992</v>
      </c>
    </row>
    <row r="14" spans="1:11" x14ac:dyDescent="0.2">
      <c r="A14" t="s">
        <v>5</v>
      </c>
      <c r="B14" s="1">
        <f>B$9/($K$9-$J$9-$I$9)*-I14</f>
        <v>4877388.4269058369</v>
      </c>
      <c r="C14" s="1">
        <f t="shared" ref="C14:H14" si="2">C$9/($K$9-$J$9-$I$9)*-$I$14</f>
        <v>0</v>
      </c>
      <c r="D14" s="1">
        <f t="shared" si="2"/>
        <v>301224.6049698586</v>
      </c>
      <c r="E14" s="1">
        <f t="shared" si="2"/>
        <v>14492.560715307804</v>
      </c>
      <c r="G14" s="1">
        <f t="shared" si="2"/>
        <v>1691997.0984425931</v>
      </c>
      <c r="H14" s="1">
        <f t="shared" si="2"/>
        <v>1172756.6353636184</v>
      </c>
      <c r="I14" s="1">
        <f>-I12</f>
        <v>-8057859.3263972141</v>
      </c>
      <c r="K14" s="1">
        <v>0</v>
      </c>
    </row>
    <row r="15" spans="1:11" x14ac:dyDescent="0.2">
      <c r="A15" t="s">
        <v>4</v>
      </c>
      <c r="B15" s="1">
        <f>+B12+B14</f>
        <v>27841656.758035567</v>
      </c>
      <c r="C15" s="1">
        <f>+C12+C14</f>
        <v>0</v>
      </c>
      <c r="D15" s="1">
        <f>+D12+D14</f>
        <v>1719484.1428624995</v>
      </c>
      <c r="E15" s="1">
        <f>+E12+E14</f>
        <v>82728.063804539837</v>
      </c>
      <c r="G15" s="1">
        <f>+G12+G14</f>
        <v>9658447.9904372934</v>
      </c>
      <c r="H15" s="1">
        <f>+H12+H14</f>
        <v>6694461.2248601019</v>
      </c>
      <c r="I15" s="1">
        <f>+I12+I14</f>
        <v>0</v>
      </c>
      <c r="J15" s="1">
        <f>+J12+J14</f>
        <v>0</v>
      </c>
      <c r="K15" s="1">
        <f>SUM(B15:J15)</f>
        <v>45996778.18</v>
      </c>
    </row>
    <row r="17" spans="1:11" x14ac:dyDescent="0.2">
      <c r="A17" t="s">
        <v>6</v>
      </c>
      <c r="B17" s="1">
        <f>B$9/($K$9-$J$9-$I$9-$H$9)*-$H$17</f>
        <v>4742338.5195146408</v>
      </c>
      <c r="C17" s="1">
        <f>C$9/($K$9-$J$9-$I$9-$H$9)*-$H$17</f>
        <v>0</v>
      </c>
      <c r="D17" s="1">
        <f>D$9/($K$9-$J$9-$I$9-$H$9)*-$H$17</f>
        <v>292884.00310581218</v>
      </c>
      <c r="E17" s="1">
        <f>E$9/($K$9-$J$9-$I$9-$H$9)*-$H$17</f>
        <v>14091.27650106177</v>
      </c>
      <c r="G17" s="1">
        <f>G$9/($K$9-$J$9-$I$9-$H$9)*-$H$17</f>
        <v>1645147.4257385873</v>
      </c>
      <c r="H17" s="1">
        <f>-H15</f>
        <v>-6694461.2248601019</v>
      </c>
      <c r="K17" s="1">
        <v>0</v>
      </c>
    </row>
    <row r="18" spans="1:11" x14ac:dyDescent="0.2">
      <c r="A18" t="s">
        <v>4</v>
      </c>
      <c r="B18" s="1">
        <f>+B15+B17</f>
        <v>32583995.277550206</v>
      </c>
      <c r="C18" s="1">
        <f>+C15+C17</f>
        <v>0</v>
      </c>
      <c r="D18" s="1">
        <f>+D15+D17</f>
        <v>2012368.1459683117</v>
      </c>
      <c r="E18" s="1">
        <f>+E15+E17</f>
        <v>96819.34030560161</v>
      </c>
      <c r="G18" s="1">
        <f>+G15+G17</f>
        <v>11303595.416175881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45996778.18</v>
      </c>
    </row>
    <row r="20" spans="1:11" x14ac:dyDescent="0.2">
      <c r="A20" t="s">
        <v>7</v>
      </c>
      <c r="B20" s="1">
        <f>B$9/($K$9-$J$9-$I$9-$H$9-$G$9)*-$G$20</f>
        <v>10616388.302201845</v>
      </c>
      <c r="C20" s="1">
        <f>C$9/($K$9-$J$9-$I$9-$H$9-$G$9)*-$G$20</f>
        <v>0</v>
      </c>
      <c r="D20" s="1">
        <f>D$9/($K$9-$J$9-$I$9-$H$9-$G$9)*-$G$20</f>
        <v>655661.81993959076</v>
      </c>
      <c r="E20" s="1">
        <f>E$9/($K$9-$J$9-$I$9-$H$9-$G$9)*-$G$20</f>
        <v>31545.294034444996</v>
      </c>
      <c r="G20" s="1">
        <f>-G18</f>
        <v>-11303595.416175881</v>
      </c>
      <c r="K20" s="1">
        <f>SUM(B20:J20)</f>
        <v>0</v>
      </c>
    </row>
    <row r="22" spans="1:11" x14ac:dyDescent="0.2">
      <c r="A22" t="s">
        <v>8</v>
      </c>
      <c r="B22" s="1">
        <f>+B20+B18</f>
        <v>43200383.57975205</v>
      </c>
      <c r="C22" s="1">
        <f t="shared" ref="C22:K22" si="3">+C20+C18</f>
        <v>0</v>
      </c>
      <c r="D22" s="1">
        <f t="shared" si="3"/>
        <v>2668029.9659079025</v>
      </c>
      <c r="E22" s="1">
        <f t="shared" si="3"/>
        <v>128364.63434004661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45996778.18</v>
      </c>
    </row>
    <row r="27" spans="1:11" x14ac:dyDescent="0.2">
      <c r="A27" t="s">
        <v>9</v>
      </c>
      <c r="B27" s="1">
        <f>+B9</f>
        <v>20846579.23</v>
      </c>
    </row>
    <row r="28" spans="1:11" x14ac:dyDescent="0.2">
      <c r="A28" t="s">
        <v>10</v>
      </c>
      <c r="B28" s="1">
        <f>+B22-B27</f>
        <v>22353804.34975205</v>
      </c>
    </row>
    <row r="29" spans="1:11" x14ac:dyDescent="0.2">
      <c r="A29" s="29" t="s">
        <v>163</v>
      </c>
      <c r="B29" s="1">
        <v>5479</v>
      </c>
    </row>
    <row r="30" spans="1:11" x14ac:dyDescent="0.2">
      <c r="A30" t="s">
        <v>11</v>
      </c>
      <c r="B30" s="1">
        <f>+B28/B29</f>
        <v>4079.9058860653495</v>
      </c>
    </row>
  </sheetData>
  <phoneticPr fontId="0" type="noConversion"/>
  <pageMargins left="0.57999999999999996" right="0.55000000000000004" top="0.75" bottom="0.56000000000000005" header="0.5" footer="0.5"/>
  <pageSetup orientation="landscape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9.285156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Table'!B9</f>
        <v>8204544.6299999999</v>
      </c>
      <c r="C9" s="1">
        <f>'Master Expend Table'!C9</f>
        <v>0</v>
      </c>
      <c r="D9" s="1">
        <f>'Master Expend Table'!D9</f>
        <v>0</v>
      </c>
      <c r="E9" s="1">
        <f>'Master Expend Table'!E9</f>
        <v>25224.53</v>
      </c>
      <c r="G9" s="1">
        <f>'Master Expend Table'!G9</f>
        <v>1473835.86</v>
      </c>
      <c r="H9" s="1">
        <f>'Master Expend Table'!H9</f>
        <v>1546893.07</v>
      </c>
      <c r="I9" s="1">
        <f>'Master Expend Table'!I9</f>
        <v>2426717.59</v>
      </c>
      <c r="J9" s="1">
        <f>'Master Expend Table'!J9</f>
        <v>1738620.74</v>
      </c>
      <c r="K9" s="1">
        <f>SUM(B9:J9)</f>
        <v>15415836.42</v>
      </c>
    </row>
    <row r="11" spans="1:11" x14ac:dyDescent="0.2">
      <c r="A11" t="s">
        <v>3</v>
      </c>
      <c r="B11" s="1">
        <f>(B9/($K9-$J9))*-$J$11</f>
        <v>1042945.566533146</v>
      </c>
      <c r="C11" s="1">
        <f t="shared" ref="C11:I11" si="0">(C9/($K9-$J9))*-$J$11</f>
        <v>0</v>
      </c>
      <c r="D11" s="1">
        <f t="shared" si="0"/>
        <v>0</v>
      </c>
      <c r="E11" s="1">
        <f t="shared" si="0"/>
        <v>3206.492610837603</v>
      </c>
      <c r="G11" s="1">
        <f t="shared" si="0"/>
        <v>187351.11396238045</v>
      </c>
      <c r="H11" s="1">
        <f t="shared" si="0"/>
        <v>196638.00271842111</v>
      </c>
      <c r="I11" s="1">
        <f t="shared" si="0"/>
        <v>308479.56417521497</v>
      </c>
      <c r="J11" s="1">
        <f>-J9</f>
        <v>-1738620.74</v>
      </c>
      <c r="K11" s="1">
        <v>0</v>
      </c>
    </row>
    <row r="12" spans="1:11" x14ac:dyDescent="0.2">
      <c r="A12" t="s">
        <v>4</v>
      </c>
      <c r="B12" s="1">
        <f>+B9+B11</f>
        <v>9247490.1965331454</v>
      </c>
      <c r="C12" s="1">
        <f t="shared" ref="C12:J12" si="1">+C9+C11</f>
        <v>0</v>
      </c>
      <c r="D12" s="1">
        <f t="shared" si="1"/>
        <v>0</v>
      </c>
      <c r="E12" s="1">
        <f t="shared" si="1"/>
        <v>28431.022610837601</v>
      </c>
      <c r="G12" s="1">
        <f t="shared" si="1"/>
        <v>1661186.9739623806</v>
      </c>
      <c r="H12" s="1">
        <f t="shared" si="1"/>
        <v>1743531.0727184212</v>
      </c>
      <c r="I12" s="1">
        <f t="shared" si="1"/>
        <v>2735197.1541752149</v>
      </c>
      <c r="J12" s="1">
        <f t="shared" si="1"/>
        <v>0</v>
      </c>
      <c r="K12" s="1">
        <f>SUM(B12:J12)</f>
        <v>15415836.42</v>
      </c>
    </row>
    <row r="14" spans="1:11" x14ac:dyDescent="0.2">
      <c r="A14" t="s">
        <v>5</v>
      </c>
      <c r="B14" s="1">
        <f>B$9/($K$9-$J$9-$I$9)*-I14</f>
        <v>1994671.4308788031</v>
      </c>
      <c r="C14" s="1">
        <f t="shared" ref="C14:H14" si="2">C$9/($K$9-$J$9-$I$9)*-$I$14</f>
        <v>0</v>
      </c>
      <c r="D14" s="1">
        <f t="shared" si="2"/>
        <v>0</v>
      </c>
      <c r="E14" s="1">
        <f t="shared" si="2"/>
        <v>6132.5340548906606</v>
      </c>
      <c r="G14" s="1">
        <f t="shared" si="2"/>
        <v>358315.83790734917</v>
      </c>
      <c r="H14" s="1">
        <f t="shared" si="2"/>
        <v>376077.35133417207</v>
      </c>
      <c r="I14" s="1">
        <f>-I12</f>
        <v>-2735197.1541752149</v>
      </c>
      <c r="K14" s="1">
        <v>0</v>
      </c>
    </row>
    <row r="15" spans="1:11" x14ac:dyDescent="0.2">
      <c r="A15" t="s">
        <v>4</v>
      </c>
      <c r="B15" s="1">
        <f>+B12+B14</f>
        <v>11242161.627411949</v>
      </c>
      <c r="C15" s="1">
        <f>+C12+C14</f>
        <v>0</v>
      </c>
      <c r="D15" s="1">
        <f>+D12+D14</f>
        <v>0</v>
      </c>
      <c r="E15" s="1">
        <f>+E12+E14</f>
        <v>34563.556665728262</v>
      </c>
      <c r="G15" s="1">
        <f>+G12+G14</f>
        <v>2019502.8118697298</v>
      </c>
      <c r="H15" s="1">
        <f>+H12+H14</f>
        <v>2119608.4240525933</v>
      </c>
      <c r="I15" s="1">
        <f>+I12+I14</f>
        <v>0</v>
      </c>
      <c r="J15" s="1">
        <f>+J12+J14</f>
        <v>0</v>
      </c>
      <c r="K15" s="1">
        <f>SUM(B15:J15)</f>
        <v>15415836.419999998</v>
      </c>
    </row>
    <row r="17" spans="1:11" x14ac:dyDescent="0.2">
      <c r="A17" t="s">
        <v>6</v>
      </c>
      <c r="B17" s="1">
        <f>B$9/($K$9-$J$9-$I$9-$H$9)*-$H$17</f>
        <v>1792160.9419818972</v>
      </c>
      <c r="C17" s="1">
        <f>C$9/($K$9-$J$9-$I$9-$H$9)*-$H$17</f>
        <v>0</v>
      </c>
      <c r="D17" s="1">
        <f>D$9/($K$9-$J$9-$I$9-$H$9)*-$H$17</f>
        <v>0</v>
      </c>
      <c r="E17" s="1">
        <f>E$9/($K$9-$J$9-$I$9-$H$9)*-$H$17</f>
        <v>5509.9240097436859</v>
      </c>
      <c r="G17" s="1">
        <f>G$9/($K$9-$J$9-$I$9-$H$9)*-$H$17</f>
        <v>321937.55806095235</v>
      </c>
      <c r="H17" s="1">
        <f>-H15</f>
        <v>-2119608.4240525933</v>
      </c>
      <c r="K17" s="1">
        <v>0</v>
      </c>
    </row>
    <row r="18" spans="1:11" x14ac:dyDescent="0.2">
      <c r="A18" t="s">
        <v>4</v>
      </c>
      <c r="B18" s="1">
        <f>+B15+B17</f>
        <v>13034322.569393845</v>
      </c>
      <c r="C18" s="1">
        <f>+C15+C17</f>
        <v>0</v>
      </c>
      <c r="D18" s="1">
        <f>+D15+D17</f>
        <v>0</v>
      </c>
      <c r="E18" s="1">
        <f>+E15+E17</f>
        <v>40073.480675471947</v>
      </c>
      <c r="G18" s="1">
        <f>+G15+G17</f>
        <v>2341440.3699306822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15415836.42</v>
      </c>
    </row>
    <row r="20" spans="1:11" x14ac:dyDescent="0.2">
      <c r="A20" t="s">
        <v>7</v>
      </c>
      <c r="B20" s="1">
        <f>B$9/($K$9-$J$9-$I$9-$H$9-$G$9)*-$G$20</f>
        <v>2334263.7733936142</v>
      </c>
      <c r="C20" s="1">
        <f>C$9/($K$9-$J$9-$I$9-$H$9-$G$9)*-$G$20</f>
        <v>0</v>
      </c>
      <c r="D20" s="1">
        <f>D$9/($K$9-$J$9-$I$9-$H$9-$G$9)*-$G$20</f>
        <v>0</v>
      </c>
      <c r="E20" s="1">
        <f>E$9/($K$9-$J$9-$I$9-$H$9-$G$9)*-$G$20</f>
        <v>7176.5965370683125</v>
      </c>
      <c r="G20" s="1">
        <f>-G18</f>
        <v>-2341440.3699306822</v>
      </c>
      <c r="K20" s="1">
        <f>SUM(B20:J20)</f>
        <v>0</v>
      </c>
    </row>
    <row r="22" spans="1:11" x14ac:dyDescent="0.2">
      <c r="A22" t="s">
        <v>8</v>
      </c>
      <c r="B22" s="1">
        <f>+B20+B18</f>
        <v>15368586.342787459</v>
      </c>
      <c r="C22" s="1">
        <f t="shared" ref="C22:K22" si="3">+C20+C18</f>
        <v>0</v>
      </c>
      <c r="D22" s="1">
        <f t="shared" si="3"/>
        <v>0</v>
      </c>
      <c r="E22" s="1">
        <f t="shared" si="3"/>
        <v>47250.077212540258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15415836.42</v>
      </c>
    </row>
    <row r="27" spans="1:11" x14ac:dyDescent="0.2">
      <c r="A27" t="s">
        <v>9</v>
      </c>
      <c r="B27" s="1">
        <f>+B9</f>
        <v>8204544.6299999999</v>
      </c>
    </row>
    <row r="28" spans="1:11" x14ac:dyDescent="0.2">
      <c r="A28" t="s">
        <v>10</v>
      </c>
      <c r="B28" s="1">
        <f>+B22-B27</f>
        <v>7164041.7127874596</v>
      </c>
    </row>
    <row r="29" spans="1:11" x14ac:dyDescent="0.2">
      <c r="A29" s="29" t="s">
        <v>163</v>
      </c>
      <c r="B29" s="1">
        <v>1331</v>
      </c>
    </row>
    <row r="30" spans="1:11" x14ac:dyDescent="0.2">
      <c r="A30" t="s">
        <v>11</v>
      </c>
      <c r="B30" s="1">
        <f>+B28/B29</f>
        <v>5382.450573093508</v>
      </c>
    </row>
  </sheetData>
  <phoneticPr fontId="0" type="noConversion"/>
  <pageMargins left="0.46" right="0.55000000000000004" top="0.59" bottom="0.57999999999999996" header="0.5" footer="0.5"/>
  <pageSetup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0"/>
  <sheetViews>
    <sheetView zoomScale="90" zoomScaleNormal="9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Table'!B10</f>
        <v>26490031.25</v>
      </c>
      <c r="C9" s="1">
        <f>'Master Expend Table'!C10</f>
        <v>0</v>
      </c>
      <c r="D9" s="1">
        <f>'Master Expend Table'!D10</f>
        <v>196579.82</v>
      </c>
      <c r="E9" s="1">
        <f>'Master Expend Table'!E10</f>
        <v>4396321.6800000006</v>
      </c>
      <c r="G9" s="1">
        <f>'Master Expend Table'!G10</f>
        <v>8071404.3500000006</v>
      </c>
      <c r="H9" s="1">
        <f>'Master Expend Table'!H10</f>
        <v>5733810.1999999993</v>
      </c>
      <c r="I9" s="1">
        <f>'Master Expend Table'!I10</f>
        <v>10862899.060000001</v>
      </c>
      <c r="J9" s="1">
        <f>'Master Expend Table'!J10</f>
        <v>6862239.7000000002</v>
      </c>
      <c r="K9" s="1">
        <f>SUM(B9:J9)</f>
        <v>62613286.060000002</v>
      </c>
    </row>
    <row r="11" spans="1:11" x14ac:dyDescent="0.2">
      <c r="A11" t="s">
        <v>3</v>
      </c>
      <c r="B11" s="1">
        <f>(B9/($K9-$J9))*-$J$11</f>
        <v>3260583.5399784348</v>
      </c>
      <c r="C11" s="1">
        <f t="shared" ref="C11:I11" si="0">(C9/($K9-$J9))*-$J$11</f>
        <v>0</v>
      </c>
      <c r="D11" s="1">
        <f t="shared" si="0"/>
        <v>24196.457880128906</v>
      </c>
      <c r="E11" s="1">
        <f t="shared" si="0"/>
        <v>541130.88697312668</v>
      </c>
      <c r="G11" s="1">
        <f t="shared" si="0"/>
        <v>993486.49005917413</v>
      </c>
      <c r="H11" s="1">
        <f t="shared" si="0"/>
        <v>705758.5920922783</v>
      </c>
      <c r="I11" s="1">
        <f t="shared" si="0"/>
        <v>1337083.7330168574</v>
      </c>
      <c r="J11" s="1">
        <f>-J9</f>
        <v>-6862239.7000000002</v>
      </c>
      <c r="K11" s="1">
        <v>0</v>
      </c>
    </row>
    <row r="12" spans="1:11" x14ac:dyDescent="0.2">
      <c r="A12" t="s">
        <v>4</v>
      </c>
      <c r="B12" s="1">
        <f>+B9+B11</f>
        <v>29750614.789978433</v>
      </c>
      <c r="C12" s="1">
        <f t="shared" ref="C12:J12" si="1">+C9+C11</f>
        <v>0</v>
      </c>
      <c r="D12" s="1">
        <f t="shared" si="1"/>
        <v>220776.27788012891</v>
      </c>
      <c r="E12" s="1">
        <f t="shared" si="1"/>
        <v>4937452.5669731274</v>
      </c>
      <c r="G12" s="1">
        <f t="shared" si="1"/>
        <v>9064890.8400591742</v>
      </c>
      <c r="H12" s="1">
        <f t="shared" si="1"/>
        <v>6439568.7920922777</v>
      </c>
      <c r="I12" s="1">
        <f t="shared" si="1"/>
        <v>12199982.793016858</v>
      </c>
      <c r="J12" s="1">
        <f t="shared" si="1"/>
        <v>0</v>
      </c>
      <c r="K12" s="1">
        <f>SUM(B12:J12)</f>
        <v>62613286.060000002</v>
      </c>
    </row>
    <row r="14" spans="1:11" x14ac:dyDescent="0.2">
      <c r="A14" t="s">
        <v>5</v>
      </c>
      <c r="B14" s="1">
        <f>B$9/($K$9-$J$9-$I$9)*-I14</f>
        <v>7199627.1816831892</v>
      </c>
      <c r="C14" s="1">
        <f t="shared" ref="C14:H14" si="2">C$9/($K$9-$J$9-$I$9)*-$I$14</f>
        <v>0</v>
      </c>
      <c r="D14" s="1">
        <f t="shared" si="2"/>
        <v>53427.698974208979</v>
      </c>
      <c r="E14" s="1">
        <f t="shared" si="2"/>
        <v>1194859.9368583648</v>
      </c>
      <c r="G14" s="1">
        <f t="shared" si="2"/>
        <v>2193697.0026268256</v>
      </c>
      <c r="H14" s="1">
        <f t="shared" si="2"/>
        <v>1558370.9728742703</v>
      </c>
      <c r="I14" s="1">
        <f>-I12</f>
        <v>-12199982.793016858</v>
      </c>
      <c r="K14" s="1">
        <v>0</v>
      </c>
    </row>
    <row r="15" spans="1:11" x14ac:dyDescent="0.2">
      <c r="A15" t="s">
        <v>4</v>
      </c>
      <c r="B15" s="1">
        <f>+B12+B14</f>
        <v>36950241.97166162</v>
      </c>
      <c r="C15" s="1">
        <f>+C12+C14</f>
        <v>0</v>
      </c>
      <c r="D15" s="1">
        <f>+D12+D14</f>
        <v>274203.9768543379</v>
      </c>
      <c r="E15" s="1">
        <f>+E12+E14</f>
        <v>6132312.5038314927</v>
      </c>
      <c r="G15" s="1">
        <f>+G12+G14</f>
        <v>11258587.842685999</v>
      </c>
      <c r="H15" s="1">
        <f>+H12+H14</f>
        <v>7997939.7649665475</v>
      </c>
      <c r="I15" s="1">
        <f>+I12+I14</f>
        <v>0</v>
      </c>
      <c r="J15" s="1">
        <f>+J12+J14</f>
        <v>0</v>
      </c>
      <c r="K15" s="1">
        <f>SUM(B15:J15)</f>
        <v>62613286.059999995</v>
      </c>
    </row>
    <row r="17" spans="1:11" x14ac:dyDescent="0.2">
      <c r="A17" t="s">
        <v>6</v>
      </c>
      <c r="B17" s="1">
        <f>B$9/($K$9-$J$9-$I$9-$H$9)*-$H$17</f>
        <v>5411039.7468479052</v>
      </c>
      <c r="C17" s="1">
        <f>C$9/($K$9-$J$9-$I$9-$H$9)*-$H$17</f>
        <v>0</v>
      </c>
      <c r="D17" s="1">
        <f>D$9/($K$9-$J$9-$I$9-$H$9)*-$H$17</f>
        <v>40154.774051019922</v>
      </c>
      <c r="E17" s="1">
        <f>E$9/($K$9-$J$9-$I$9-$H$9)*-$H$17</f>
        <v>898023.52914963663</v>
      </c>
      <c r="G17" s="1">
        <f>G$9/($K$9-$J$9-$I$9-$H$9)*-$H$17</f>
        <v>1648721.7149179876</v>
      </c>
      <c r="H17" s="1">
        <f>-H15</f>
        <v>-7997939.7649665475</v>
      </c>
      <c r="K17" s="1">
        <v>0</v>
      </c>
    </row>
    <row r="18" spans="1:11" x14ac:dyDescent="0.2">
      <c r="A18" t="s">
        <v>4</v>
      </c>
      <c r="B18" s="1">
        <f>+B15+B17</f>
        <v>42361281.718509525</v>
      </c>
      <c r="C18" s="1">
        <f>+C15+C17</f>
        <v>0</v>
      </c>
      <c r="D18" s="1">
        <f>+D15+D17</f>
        <v>314358.75090535783</v>
      </c>
      <c r="E18" s="1">
        <f>+E15+E17</f>
        <v>7030336.0329811294</v>
      </c>
      <c r="G18" s="1">
        <f>+G15+G17</f>
        <v>12907309.557603987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62613286.059999995</v>
      </c>
    </row>
    <row r="20" spans="1:11" x14ac:dyDescent="0.2">
      <c r="A20" t="s">
        <v>7</v>
      </c>
      <c r="B20" s="1">
        <f>B$9/($K$9-$J$9-$I$9-$H$9-$G$9)*-$G$20</f>
        <v>11000089.222094186</v>
      </c>
      <c r="C20" s="1">
        <f>C$9/($K$9-$J$9-$I$9-$H$9-$G$9)*-$G$20</f>
        <v>0</v>
      </c>
      <c r="D20" s="1">
        <f>D$9/($K$9-$J$9-$I$9-$H$9-$G$9)*-$G$20</f>
        <v>81630.540140008889</v>
      </c>
      <c r="E20" s="1">
        <f>E$9/($K$9-$J$9-$I$9-$H$9-$G$9)*-$G$20</f>
        <v>1825589.795369796</v>
      </c>
      <c r="G20" s="1">
        <f>-G18</f>
        <v>-12907309.557603987</v>
      </c>
      <c r="K20" s="1">
        <f>SUM(B20:J20)</f>
        <v>0</v>
      </c>
    </row>
    <row r="22" spans="1:11" x14ac:dyDescent="0.2">
      <c r="A22" t="s">
        <v>8</v>
      </c>
      <c r="B22" s="1">
        <f>+B20+B18</f>
        <v>53361370.940603711</v>
      </c>
      <c r="C22" s="1">
        <f t="shared" ref="C22:K22" si="3">+C20+C18</f>
        <v>0</v>
      </c>
      <c r="D22" s="1">
        <f t="shared" si="3"/>
        <v>395989.29104536673</v>
      </c>
      <c r="E22" s="1">
        <f t="shared" si="3"/>
        <v>8855925.8283509258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62613286.059999995</v>
      </c>
    </row>
    <row r="27" spans="1:11" x14ac:dyDescent="0.2">
      <c r="A27" t="s">
        <v>9</v>
      </c>
      <c r="B27" s="1">
        <f>+B9</f>
        <v>26490031.25</v>
      </c>
    </row>
    <row r="28" spans="1:11" x14ac:dyDescent="0.2">
      <c r="A28" t="s">
        <v>10</v>
      </c>
      <c r="B28" s="1">
        <f>+B22-B27</f>
        <v>26871339.690603711</v>
      </c>
    </row>
    <row r="29" spans="1:11" x14ac:dyDescent="0.2">
      <c r="A29" s="29" t="s">
        <v>163</v>
      </c>
      <c r="B29" s="1">
        <f>'BEMIDJI SU'!B29+'NTC-Bemidji'!B29</f>
        <v>4877</v>
      </c>
    </row>
    <row r="30" spans="1:11" x14ac:dyDescent="0.2">
      <c r="A30" t="s">
        <v>11</v>
      </c>
      <c r="B30" s="1">
        <f>+B28/B29</f>
        <v>5509.8092455615561</v>
      </c>
    </row>
  </sheetData>
  <phoneticPr fontId="11" type="noConversion"/>
  <pageMargins left="0.66" right="0.35" top="0.89" bottom="0.69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0"/>
  <sheetViews>
    <sheetView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Table'!B11</f>
        <v>22996653.579999998</v>
      </c>
      <c r="C9" s="1">
        <f>'Master Expend Table'!C11</f>
        <v>0</v>
      </c>
      <c r="D9" s="1">
        <f>'Master Expend Table'!D11</f>
        <v>157994.96</v>
      </c>
      <c r="E9" s="1">
        <f>'Master Expend Table'!E11</f>
        <v>4325467.24</v>
      </c>
      <c r="G9" s="1">
        <f>'Master Expend Table'!G11</f>
        <v>7780547.2300000004</v>
      </c>
      <c r="H9" s="1">
        <f>'Master Expend Table'!H11</f>
        <v>4507405.22</v>
      </c>
      <c r="I9" s="1">
        <f>'Master Expend Table'!I11</f>
        <v>8801502.8300000001</v>
      </c>
      <c r="J9" s="1">
        <f>'Master Expend Table'!J11</f>
        <v>6254892.5499999998</v>
      </c>
      <c r="K9" s="1">
        <f>SUM(B9:J9)</f>
        <v>54824463.609999999</v>
      </c>
    </row>
    <row r="11" spans="1:11" x14ac:dyDescent="0.2">
      <c r="A11" t="s">
        <v>3</v>
      </c>
      <c r="B11" s="1">
        <f>(B9/($K9-$J9))*-$J$11</f>
        <v>2961557.9057673649</v>
      </c>
      <c r="C11" s="1">
        <f t="shared" ref="C11:I11" si="0">(C9/($K9-$J9))*-$J$11</f>
        <v>0</v>
      </c>
      <c r="D11" s="1">
        <f t="shared" si="0"/>
        <v>20346.926618329246</v>
      </c>
      <c r="E11" s="1">
        <f t="shared" si="0"/>
        <v>557042.8608752276</v>
      </c>
      <c r="G11" s="1">
        <f t="shared" si="0"/>
        <v>1001995.4025068579</v>
      </c>
      <c r="H11" s="1">
        <f t="shared" si="0"/>
        <v>580473.22047750256</v>
      </c>
      <c r="I11" s="1">
        <f t="shared" si="0"/>
        <v>1133476.2337547173</v>
      </c>
      <c r="J11" s="1">
        <f>-J9</f>
        <v>-6254892.5499999998</v>
      </c>
      <c r="K11" s="1">
        <v>0</v>
      </c>
    </row>
    <row r="12" spans="1:11" x14ac:dyDescent="0.2">
      <c r="A12" t="s">
        <v>4</v>
      </c>
      <c r="B12" s="1">
        <f>+B9+B11</f>
        <v>25958211.485767365</v>
      </c>
      <c r="C12" s="1">
        <f t="shared" ref="C12:J12" si="1">+C9+C11</f>
        <v>0</v>
      </c>
      <c r="D12" s="1">
        <f t="shared" si="1"/>
        <v>178341.88661832924</v>
      </c>
      <c r="E12" s="1">
        <f t="shared" si="1"/>
        <v>4882510.1008752277</v>
      </c>
      <c r="G12" s="1">
        <f t="shared" si="1"/>
        <v>8782542.6325068586</v>
      </c>
      <c r="H12" s="1">
        <f t="shared" si="1"/>
        <v>5087878.4404775025</v>
      </c>
      <c r="I12" s="1">
        <f t="shared" si="1"/>
        <v>9934979.0637547169</v>
      </c>
      <c r="J12" s="1">
        <f t="shared" si="1"/>
        <v>0</v>
      </c>
      <c r="K12" s="1">
        <f>SUM(B12:J12)</f>
        <v>54824463.610000007</v>
      </c>
    </row>
    <row r="14" spans="1:11" x14ac:dyDescent="0.2">
      <c r="A14" t="s">
        <v>5</v>
      </c>
      <c r="B14" s="1">
        <f>B$9/($K$9-$J$9-$I$9)*-I14</f>
        <v>5745093.5391769204</v>
      </c>
      <c r="C14" s="1">
        <f t="shared" ref="C14:H14" si="2">C$9/($K$9-$J$9-$I$9)*-$I$14</f>
        <v>0</v>
      </c>
      <c r="D14" s="1">
        <f t="shared" si="2"/>
        <v>39470.778683552955</v>
      </c>
      <c r="E14" s="1">
        <f t="shared" si="2"/>
        <v>1080601.3060986164</v>
      </c>
      <c r="G14" s="1">
        <f t="shared" si="2"/>
        <v>1943759.837353426</v>
      </c>
      <c r="H14" s="1">
        <f t="shared" si="2"/>
        <v>1126053.6024422003</v>
      </c>
      <c r="I14" s="1">
        <f>-I12</f>
        <v>-9934979.0637547169</v>
      </c>
      <c r="K14" s="1">
        <v>0</v>
      </c>
    </row>
    <row r="15" spans="1:11" x14ac:dyDescent="0.2">
      <c r="A15" t="s">
        <v>4</v>
      </c>
      <c r="B15" s="1">
        <f>+B12+B14</f>
        <v>31703305.024944283</v>
      </c>
      <c r="C15" s="1">
        <f>+C12+C14</f>
        <v>0</v>
      </c>
      <c r="D15" s="1">
        <f>+D12+D14</f>
        <v>217812.6653018822</v>
      </c>
      <c r="E15" s="1">
        <f>+E12+E14</f>
        <v>5963111.4069738444</v>
      </c>
      <c r="G15" s="1">
        <f>+G12+G14</f>
        <v>10726302.469860286</v>
      </c>
      <c r="H15" s="1">
        <f>+H12+H14</f>
        <v>6213932.0429197028</v>
      </c>
      <c r="I15" s="1">
        <f>+I12+I14</f>
        <v>0</v>
      </c>
      <c r="J15" s="1">
        <f>+J12+J14</f>
        <v>0</v>
      </c>
      <c r="K15" s="1">
        <f>SUM(B15:J15)</f>
        <v>54824463.609999999</v>
      </c>
    </row>
    <row r="17" spans="1:11" x14ac:dyDescent="0.2">
      <c r="A17" t="s">
        <v>6</v>
      </c>
      <c r="B17" s="1">
        <f>B$9/($K$9-$J$9-$I$9-$H$9)*-$H$17</f>
        <v>4052664.6512619294</v>
      </c>
      <c r="C17" s="1">
        <f>C$9/($K$9-$J$9-$I$9-$H$9)*-$H$17</f>
        <v>0</v>
      </c>
      <c r="D17" s="1">
        <f>D$9/($K$9-$J$9-$I$9-$H$9)*-$H$17</f>
        <v>27843.207153688076</v>
      </c>
      <c r="E17" s="1">
        <f>E$9/($K$9-$J$9-$I$9-$H$9)*-$H$17</f>
        <v>762270.3939404866</v>
      </c>
      <c r="G17" s="1">
        <f>G$9/($K$9-$J$9-$I$9-$H$9)*-$H$17</f>
        <v>1371153.7905635976</v>
      </c>
      <c r="H17" s="1">
        <f>-H15</f>
        <v>-6213932.0429197028</v>
      </c>
      <c r="K17" s="1">
        <v>0</v>
      </c>
    </row>
    <row r="18" spans="1:11" x14ac:dyDescent="0.2">
      <c r="A18" t="s">
        <v>4</v>
      </c>
      <c r="B18" s="1">
        <f>+B15+B17</f>
        <v>35755969.676206216</v>
      </c>
      <c r="C18" s="1">
        <f>+C15+C17</f>
        <v>0</v>
      </c>
      <c r="D18" s="1">
        <f>+D15+D17</f>
        <v>245655.87245557026</v>
      </c>
      <c r="E18" s="1">
        <f>+E15+E17</f>
        <v>6725381.8009143313</v>
      </c>
      <c r="G18" s="1">
        <f>+G15+G17</f>
        <v>12097456.260423884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54824463.609999999</v>
      </c>
    </row>
    <row r="20" spans="1:11" x14ac:dyDescent="0.2">
      <c r="A20" t="s">
        <v>7</v>
      </c>
      <c r="B20" s="1">
        <f>B$9/($K$9-$J$9-$I$9-$H$9-$G$9)*-$G$20</f>
        <v>10123720.476557987</v>
      </c>
      <c r="C20" s="1">
        <f>C$9/($K$9-$J$9-$I$9-$H$9-$G$9)*-$G$20</f>
        <v>0</v>
      </c>
      <c r="D20" s="1">
        <f>D$9/($K$9-$J$9-$I$9-$H$9-$G$9)*-$G$20</f>
        <v>69553.459427506852</v>
      </c>
      <c r="E20" s="1">
        <f>E$9/($K$9-$J$9-$I$9-$H$9-$G$9)*-$G$20</f>
        <v>1904182.3244383873</v>
      </c>
      <c r="G20" s="1">
        <f>-G18</f>
        <v>-12097456.260423884</v>
      </c>
      <c r="K20" s="1">
        <f>SUM(B20:J20)</f>
        <v>0</v>
      </c>
    </row>
    <row r="22" spans="1:11" x14ac:dyDescent="0.2">
      <c r="A22" t="s">
        <v>8</v>
      </c>
      <c r="B22" s="1">
        <f>+B20+B18</f>
        <v>45879690.152764201</v>
      </c>
      <c r="C22" s="1">
        <f t="shared" ref="C22:K22" si="3">+C20+C18</f>
        <v>0</v>
      </c>
      <c r="D22" s="1">
        <f t="shared" si="3"/>
        <v>315209.3318830771</v>
      </c>
      <c r="E22" s="1">
        <f t="shared" si="3"/>
        <v>8629564.1253527179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54824463.609999999</v>
      </c>
    </row>
    <row r="27" spans="1:11" x14ac:dyDescent="0.2">
      <c r="A27" t="s">
        <v>9</v>
      </c>
      <c r="B27" s="1">
        <f>+B9</f>
        <v>22996653.579999998</v>
      </c>
    </row>
    <row r="28" spans="1:11" x14ac:dyDescent="0.2">
      <c r="A28" t="s">
        <v>10</v>
      </c>
      <c r="B28" s="1">
        <f>+B22-B27</f>
        <v>22883036.572764203</v>
      </c>
    </row>
    <row r="29" spans="1:11" x14ac:dyDescent="0.2">
      <c r="A29" s="29" t="s">
        <v>163</v>
      </c>
      <c r="B29" s="1">
        <v>4319</v>
      </c>
    </row>
    <row r="30" spans="1:11" x14ac:dyDescent="0.2">
      <c r="A30" t="s">
        <v>11</v>
      </c>
      <c r="B30" s="1">
        <f>+B28/B29</f>
        <v>5298.2256477805513</v>
      </c>
    </row>
  </sheetData>
  <phoneticPr fontId="0" type="noConversion"/>
  <pageMargins left="0.52" right="0.55000000000000004" top="1" bottom="0.55000000000000004" header="0.5" footer="0.5"/>
  <pageSetup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85546875" style="1" customWidth="1"/>
    <col min="8" max="8" width="11.42578125" style="1" customWidth="1"/>
    <col min="9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2018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Table'!B12</f>
        <v>3493377.67</v>
      </c>
      <c r="C9" s="1">
        <f>'Master Expend Table'!C12</f>
        <v>0</v>
      </c>
      <c r="D9" s="1">
        <f>'Master Expend Table'!D12</f>
        <v>38584.86</v>
      </c>
      <c r="E9" s="1">
        <f>'Master Expend Table'!E12</f>
        <v>70854.44</v>
      </c>
      <c r="G9" s="1">
        <f>'Master Expend Table'!G12</f>
        <v>290857.12</v>
      </c>
      <c r="H9" s="1">
        <f>'Master Expend Table'!H12</f>
        <v>1226404.98</v>
      </c>
      <c r="I9" s="1">
        <f>'Master Expend Table'!I12</f>
        <v>2061396.23</v>
      </c>
      <c r="J9" s="1">
        <f>'Master Expend Table'!J12</f>
        <v>607347.15</v>
      </c>
      <c r="K9" s="1">
        <f>SUM(B9:J9)</f>
        <v>7788822.4500000011</v>
      </c>
    </row>
    <row r="11" spans="1:11" x14ac:dyDescent="0.2">
      <c r="A11" t="s">
        <v>3</v>
      </c>
      <c r="B11" s="1">
        <f>(B9/($K9-$J9))*-$J$11</f>
        <v>295439.70885037235</v>
      </c>
      <c r="C11" s="1">
        <f t="shared" ref="C11:I11" si="0">(C9/($K9-$J9))*-$J$11</f>
        <v>0</v>
      </c>
      <c r="D11" s="1">
        <f t="shared" si="0"/>
        <v>3263.174177337768</v>
      </c>
      <c r="E11" s="1">
        <f t="shared" si="0"/>
        <v>5992.2565212813588</v>
      </c>
      <c r="G11" s="1">
        <f t="shared" si="0"/>
        <v>24598.182895540696</v>
      </c>
      <c r="H11" s="1">
        <f t="shared" si="0"/>
        <v>103718.73998491744</v>
      </c>
      <c r="I11" s="1">
        <f t="shared" si="0"/>
        <v>174335.08757055033</v>
      </c>
      <c r="J11" s="1">
        <f>-J9</f>
        <v>-607347.15</v>
      </c>
      <c r="K11" s="1">
        <v>0</v>
      </c>
    </row>
    <row r="12" spans="1:11" x14ac:dyDescent="0.2">
      <c r="A12" t="s">
        <v>4</v>
      </c>
      <c r="B12" s="1">
        <f>+B9+B11</f>
        <v>3788817.3788503725</v>
      </c>
      <c r="C12" s="1">
        <f t="shared" ref="C12:J12" si="1">+C9+C11</f>
        <v>0</v>
      </c>
      <c r="D12" s="1">
        <f t="shared" si="1"/>
        <v>41848.034177337766</v>
      </c>
      <c r="E12" s="1">
        <f t="shared" si="1"/>
        <v>76846.696521281367</v>
      </c>
      <c r="G12" s="1">
        <f t="shared" si="1"/>
        <v>315455.30289554072</v>
      </c>
      <c r="H12" s="1">
        <f t="shared" si="1"/>
        <v>1330123.7199849174</v>
      </c>
      <c r="I12" s="1">
        <f t="shared" si="1"/>
        <v>2235731.3175705504</v>
      </c>
      <c r="J12" s="1">
        <f t="shared" si="1"/>
        <v>0</v>
      </c>
      <c r="K12" s="1">
        <f>SUM(B12:J12)</f>
        <v>7788822.4499999993</v>
      </c>
    </row>
    <row r="14" spans="1:11" x14ac:dyDescent="0.2">
      <c r="A14" t="s">
        <v>5</v>
      </c>
      <c r="B14" s="1">
        <f>B$9/($K$9-$J$9-$I$9)*-I14</f>
        <v>1525416.6496535449</v>
      </c>
      <c r="C14" s="1">
        <f t="shared" ref="C14:H14" si="2">C$9/($K$9-$J$9-$I$9)*-$I$14</f>
        <v>0</v>
      </c>
      <c r="D14" s="1">
        <f t="shared" si="2"/>
        <v>16848.446812380032</v>
      </c>
      <c r="E14" s="1">
        <f t="shared" si="2"/>
        <v>30939.266431470071</v>
      </c>
      <c r="G14" s="1">
        <f t="shared" si="2"/>
        <v>127005.53316306024</v>
      </c>
      <c r="H14" s="1">
        <f t="shared" si="2"/>
        <v>535521.42151009489</v>
      </c>
      <c r="I14" s="1">
        <f>-I12</f>
        <v>-2235731.3175705504</v>
      </c>
      <c r="K14" s="1">
        <v>0</v>
      </c>
    </row>
    <row r="15" spans="1:11" x14ac:dyDescent="0.2">
      <c r="A15" t="s">
        <v>4</v>
      </c>
      <c r="B15" s="1">
        <f>+B12+B14</f>
        <v>5314234.0285039172</v>
      </c>
      <c r="C15" s="1">
        <f>+C12+C14</f>
        <v>0</v>
      </c>
      <c r="D15" s="1">
        <f>+D12+D14</f>
        <v>58696.480989717798</v>
      </c>
      <c r="E15" s="1">
        <f>+E12+E14</f>
        <v>107785.96295275143</v>
      </c>
      <c r="G15" s="1">
        <f>+G12+G14</f>
        <v>442460.83605860098</v>
      </c>
      <c r="H15" s="1">
        <f>+H12+H14</f>
        <v>1865645.1414950122</v>
      </c>
      <c r="I15" s="1">
        <f>+I12+I14</f>
        <v>0</v>
      </c>
      <c r="J15" s="1">
        <f>+J12+J14</f>
        <v>0</v>
      </c>
      <c r="K15" s="1">
        <f>SUM(B15:J15)</f>
        <v>7788822.4499999993</v>
      </c>
    </row>
    <row r="17" spans="1:11" x14ac:dyDescent="0.2">
      <c r="A17" t="s">
        <v>6</v>
      </c>
      <c r="B17" s="1">
        <f>B$9/($K$9-$J$9-$I$9-$H$9)*-$H$17</f>
        <v>1673844.0164216892</v>
      </c>
      <c r="C17" s="1">
        <f>C$9/($K$9-$J$9-$I$9-$H$9)*-$H$17</f>
        <v>0</v>
      </c>
      <c r="D17" s="1">
        <f>D$9/($K$9-$J$9-$I$9-$H$9)*-$H$17</f>
        <v>18487.848476877847</v>
      </c>
      <c r="E17" s="1">
        <f>E$9/($K$9-$J$9-$I$9-$H$9)*-$H$17</f>
        <v>33949.744812707177</v>
      </c>
      <c r="G17" s="1">
        <f>G$9/($K$9-$J$9-$I$9-$H$9)*-$H$17</f>
        <v>139363.53178373788</v>
      </c>
      <c r="H17" s="1">
        <f>-H15</f>
        <v>-1865645.1414950122</v>
      </c>
      <c r="K17" s="1">
        <v>0</v>
      </c>
    </row>
    <row r="18" spans="1:11" x14ac:dyDescent="0.2">
      <c r="A18" t="s">
        <v>4</v>
      </c>
      <c r="B18" s="1">
        <f>+B15+B17</f>
        <v>6988078.0449256059</v>
      </c>
      <c r="C18" s="1">
        <f>+C15+C17</f>
        <v>0</v>
      </c>
      <c r="D18" s="1">
        <f>+D15+D17</f>
        <v>77184.329466595649</v>
      </c>
      <c r="E18" s="1">
        <f>+E15+E17</f>
        <v>141735.70776545862</v>
      </c>
      <c r="G18" s="1">
        <f>+G15+G17</f>
        <v>581824.36784233886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7788822.4499999993</v>
      </c>
    </row>
    <row r="20" spans="1:11" x14ac:dyDescent="0.2">
      <c r="A20" t="s">
        <v>7</v>
      </c>
      <c r="B20" s="1">
        <f>B$9/($K$9-$J$9-$I$9-$H$9-$G$9)*-$G$20</f>
        <v>564150.84957321396</v>
      </c>
      <c r="C20" s="1">
        <f>C$9/($K$9-$J$9-$I$9-$H$9-$G$9)*-$G$20</f>
        <v>0</v>
      </c>
      <c r="D20" s="1">
        <f>D$9/($K$9-$J$9-$I$9-$H$9-$G$9)*-$G$20</f>
        <v>6231.1274662906753</v>
      </c>
      <c r="E20" s="1">
        <f>E$9/($K$9-$J$9-$I$9-$H$9-$G$9)*-$G$20</f>
        <v>11442.390802834185</v>
      </c>
      <c r="G20" s="1">
        <f>-G18</f>
        <v>-581824.36784233886</v>
      </c>
      <c r="K20" s="1">
        <f>SUM(B20:J20)</f>
        <v>0</v>
      </c>
    </row>
    <row r="22" spans="1:11" x14ac:dyDescent="0.2">
      <c r="A22" t="s">
        <v>8</v>
      </c>
      <c r="B22" s="1">
        <f>+B20+B18</f>
        <v>7552228.8944988195</v>
      </c>
      <c r="C22" s="1">
        <f t="shared" ref="C22:K22" si="3">+C20+C18</f>
        <v>0</v>
      </c>
      <c r="D22" s="1">
        <f t="shared" si="3"/>
        <v>83415.456932886329</v>
      </c>
      <c r="E22" s="1">
        <f t="shared" si="3"/>
        <v>153178.0985682928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7788822.4499999993</v>
      </c>
    </row>
    <row r="27" spans="1:11" x14ac:dyDescent="0.2">
      <c r="A27" t="s">
        <v>9</v>
      </c>
      <c r="B27" s="1">
        <f>+B9</f>
        <v>3493377.67</v>
      </c>
    </row>
    <row r="28" spans="1:11" x14ac:dyDescent="0.2">
      <c r="A28" t="s">
        <v>10</v>
      </c>
      <c r="B28" s="1">
        <f>+B22-B27</f>
        <v>4058851.2244988196</v>
      </c>
    </row>
    <row r="29" spans="1:11" x14ac:dyDescent="0.2">
      <c r="A29" s="29" t="s">
        <v>163</v>
      </c>
      <c r="B29" s="1">
        <v>558</v>
      </c>
    </row>
    <row r="30" spans="1:11" x14ac:dyDescent="0.2">
      <c r="A30" t="s">
        <v>11</v>
      </c>
      <c r="B30" s="1">
        <f>+B28/B29</f>
        <v>7273.9269256251246</v>
      </c>
    </row>
  </sheetData>
  <phoneticPr fontId="11" type="noConversion"/>
  <pageMargins left="0.75" right="0.75" top="1" bottom="1" header="0.5" footer="0.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Master Expend Table</vt:lpstr>
      <vt:lpstr>System</vt:lpstr>
      <vt:lpstr>ALEX TC</vt:lpstr>
      <vt:lpstr>ARCCATC</vt:lpstr>
      <vt:lpstr>ANOKARAM CC</vt:lpstr>
      <vt:lpstr>ANOKA TC</vt:lpstr>
      <vt:lpstr>BSU &amp; TC</vt:lpstr>
      <vt:lpstr>BEMIDJI SU</vt:lpstr>
      <vt:lpstr>NTC-Bemidji</vt:lpstr>
      <vt:lpstr>CENTRAL LAKES</vt:lpstr>
      <vt:lpstr>CENTURY</vt:lpstr>
      <vt:lpstr>Sheet2</vt:lpstr>
      <vt:lpstr>DAKCTY TC</vt:lpstr>
      <vt:lpstr>INVER HILLS</vt:lpstr>
      <vt:lpstr>FDL CC</vt:lpstr>
      <vt:lpstr>HENN TC</vt:lpstr>
      <vt:lpstr>LAKE SUPERIOR</vt:lpstr>
      <vt:lpstr>METRO SU</vt:lpstr>
      <vt:lpstr>MPLS COLLEGE</vt:lpstr>
      <vt:lpstr>MN SC-SOUTHEAST</vt:lpstr>
      <vt:lpstr>MINNESOTA STATE COLLEGE</vt:lpstr>
      <vt:lpstr>MSU MOORHEAD</vt:lpstr>
      <vt:lpstr>MSU MANKATO</vt:lpstr>
      <vt:lpstr>MN WEST</vt:lpstr>
      <vt:lpstr>NORMANDALE</vt:lpstr>
      <vt:lpstr>NO HENN CC</vt:lpstr>
      <vt:lpstr>NHED</vt:lpstr>
      <vt:lpstr>HIBBING</vt:lpstr>
      <vt:lpstr>ITASCA CC</vt:lpstr>
      <vt:lpstr>MESABI RANGE</vt:lpstr>
      <vt:lpstr>RAINY RIVER</vt:lpstr>
      <vt:lpstr>VERMILION</vt:lpstr>
      <vt:lpstr>NORTHLAND</vt:lpstr>
      <vt:lpstr>PINE TC</vt:lpstr>
      <vt:lpstr>RIDGEWATER</vt:lpstr>
      <vt:lpstr>RIVERLAND</vt:lpstr>
      <vt:lpstr>ROCHESTER</vt:lpstr>
      <vt:lpstr>SAINT PAUL</vt:lpstr>
      <vt:lpstr>SOUTH CENTRAL</vt:lpstr>
      <vt:lpstr>SOUTHWEST MN SU</vt:lpstr>
      <vt:lpstr>ST CLOUD SU</vt:lpstr>
      <vt:lpstr>ST CLOUD TCC</vt:lpstr>
      <vt:lpstr>WINONA SU</vt:lpstr>
      <vt:lpstr>Sheet1</vt:lpstr>
      <vt:lpstr>Indirect Combine</vt:lpstr>
      <vt:lpstr>Indirect SPlit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Kedrowski</dc:creator>
  <cp:lastModifiedBy>Susan Anderson</cp:lastModifiedBy>
  <cp:lastPrinted>2014-04-15T15:36:16Z</cp:lastPrinted>
  <dcterms:created xsi:type="dcterms:W3CDTF">2000-03-31T14:58:40Z</dcterms:created>
  <dcterms:modified xsi:type="dcterms:W3CDTF">2019-03-13T21:25:35Z</dcterms:modified>
</cp:coreProperties>
</file>