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21\"/>
    </mc:Choice>
  </mc:AlternateContent>
  <xr:revisionPtr revIDLastSave="0" documentId="14_{30661CD7-8AB8-4843-BEA4-B9C6636E015A}" xr6:coauthVersionLast="36" xr6:coauthVersionMax="36" xr10:uidLastSave="{00000000-0000-0000-0000-000000000000}"/>
  <bookViews>
    <workbookView xWindow="345" yWindow="-135" windowWidth="11340" windowHeight="6270" xr2:uid="{00000000-000D-0000-FFFF-FFFF00000000}"/>
  </bookViews>
  <sheets>
    <sheet name="Master Expend Table" sheetId="43" r:id="rId1"/>
    <sheet name="System" sheetId="38" r:id="rId2"/>
    <sheet name="ALEX TC" sheetId="1" r:id="rId3"/>
    <sheet name="ARCCATC" sheetId="48" r:id="rId4"/>
    <sheet name="ANOKARAM CC" sheetId="11" r:id="rId5"/>
    <sheet name="ANOKA TC" sheetId="12" r:id="rId6"/>
    <sheet name="BSU &amp; TC" sheetId="44" r:id="rId7"/>
    <sheet name="BEMIDJI SU" sheetId="37" r:id="rId8"/>
    <sheet name="NTC-Bemidji" sheetId="45" r:id="rId9"/>
    <sheet name="CENTRAL LAKES" sheetId="36" r:id="rId10"/>
    <sheet name="CENTURY" sheetId="35" r:id="rId11"/>
    <sheet name="Sheet2" sheetId="49" r:id="rId12"/>
    <sheet name="DAKCTY TC" sheetId="34" r:id="rId13"/>
    <sheet name="INVER HILLS" sheetId="29" r:id="rId14"/>
    <sheet name="FDL CC" sheetId="32" r:id="rId15"/>
    <sheet name="HENN TC" sheetId="31" r:id="rId16"/>
    <sheet name="LAKE SUPERIOR" sheetId="27" r:id="rId17"/>
    <sheet name="METRO SU" sheetId="25" r:id="rId18"/>
    <sheet name="MPLS COLLEGE" sheetId="24" r:id="rId19"/>
    <sheet name="MN SC-SOUTHEAST" sheetId="23" r:id="rId20"/>
    <sheet name="MINNESOTA STATE COLLEGE" sheetId="46" r:id="rId21"/>
    <sheet name="MSU MOORHEAD" sheetId="20" r:id="rId22"/>
    <sheet name="MSU MANKATO" sheetId="22" r:id="rId23"/>
    <sheet name="MN WEST" sheetId="21" r:id="rId24"/>
    <sheet name="NORMANDALE" sheetId="19" r:id="rId25"/>
    <sheet name="NO HENN CC" sheetId="18" r:id="rId26"/>
    <sheet name="NHED" sheetId="39" r:id="rId27"/>
    <sheet name="HIBBING" sheetId="30" r:id="rId28"/>
    <sheet name="ITASCA CC" sheetId="28" r:id="rId29"/>
    <sheet name="MESABI RANGE" sheetId="40" r:id="rId30"/>
    <sheet name="RAINY RIVER" sheetId="14" r:id="rId31"/>
    <sheet name="VERMILION" sheetId="41" r:id="rId32"/>
    <sheet name="NORTHLAND" sheetId="17" r:id="rId33"/>
    <sheet name="PINE TC" sheetId="15" r:id="rId34"/>
    <sheet name="RIDGEWATER" sheetId="13" r:id="rId35"/>
    <sheet name="RIVERLAND" sheetId="10" r:id="rId36"/>
    <sheet name="ROCHESTER" sheetId="9" r:id="rId37"/>
    <sheet name="SAINT PAUL" sheetId="4" r:id="rId38"/>
    <sheet name="SOUTH CENTRAL" sheetId="8" r:id="rId39"/>
    <sheet name="SOUTHWEST MN SU" sheetId="7" r:id="rId40"/>
    <sheet name="ST CLOUD SU" sheetId="6" r:id="rId41"/>
    <sheet name="ST CLOUD TCC" sheetId="5" r:id="rId42"/>
    <sheet name="WINONA SU" sheetId="2" r:id="rId43"/>
    <sheet name="Sheet1" sheetId="47" r:id="rId44"/>
    <sheet name="Indirect Combined" sheetId="52" r:id="rId45"/>
    <sheet name="Indirect SPlit" sheetId="51" r:id="rId46"/>
  </sheets>
  <calcPr calcId="191029"/>
</workbook>
</file>

<file path=xl/calcChain.xml><?xml version="1.0" encoding="utf-8"?>
<calcChain xmlns="http://schemas.openxmlformats.org/spreadsheetml/2006/main">
  <c r="E46" i="43" l="1"/>
  <c r="E44" i="43"/>
  <c r="E26" i="43" l="1"/>
  <c r="D26" i="43"/>
  <c r="E16" i="43"/>
  <c r="E8" i="43"/>
  <c r="K46" i="43" l="1"/>
  <c r="A1" i="1" l="1"/>
  <c r="I30" i="43" l="1"/>
  <c r="B29" i="49" l="1"/>
  <c r="A1" i="49"/>
  <c r="J15" i="43"/>
  <c r="J9" i="49" s="1"/>
  <c r="I15" i="43"/>
  <c r="I9" i="49" s="1"/>
  <c r="H15" i="43"/>
  <c r="H9" i="49" s="1"/>
  <c r="G15" i="43"/>
  <c r="G9" i="49" s="1"/>
  <c r="E15" i="43"/>
  <c r="E9" i="49" s="1"/>
  <c r="D15" i="43"/>
  <c r="D9" i="49" s="1"/>
  <c r="C15" i="43"/>
  <c r="C9" i="49" s="1"/>
  <c r="B15" i="43"/>
  <c r="B9" i="49" s="1"/>
  <c r="K9" i="49" l="1"/>
  <c r="J11" i="49"/>
  <c r="J12" i="49" s="1"/>
  <c r="J15" i="49" s="1"/>
  <c r="J18" i="49" s="1"/>
  <c r="J22" i="49" s="1"/>
  <c r="B27" i="49"/>
  <c r="B29" i="48"/>
  <c r="A1" i="48"/>
  <c r="J7" i="43"/>
  <c r="I7" i="43"/>
  <c r="H7" i="43"/>
  <c r="G7" i="43"/>
  <c r="E7" i="43"/>
  <c r="D7" i="43"/>
  <c r="C7" i="43"/>
  <c r="B7" i="43"/>
  <c r="B11" i="49" l="1"/>
  <c r="B12" i="49" s="1"/>
  <c r="I9" i="48"/>
  <c r="B9" i="48"/>
  <c r="B27" i="48" s="1"/>
  <c r="G9" i="48"/>
  <c r="J9" i="48"/>
  <c r="J11" i="48" s="1"/>
  <c r="C9" i="48"/>
  <c r="D9" i="48"/>
  <c r="E9" i="48"/>
  <c r="H9" i="48"/>
  <c r="D11" i="49"/>
  <c r="D12" i="49" s="1"/>
  <c r="C11" i="49"/>
  <c r="C12" i="49" s="1"/>
  <c r="E11" i="49"/>
  <c r="E12" i="49" s="1"/>
  <c r="I11" i="49"/>
  <c r="I12" i="49" s="1"/>
  <c r="H11" i="49"/>
  <c r="H12" i="49" s="1"/>
  <c r="G11" i="49"/>
  <c r="G12" i="49" s="1"/>
  <c r="K7" i="43"/>
  <c r="K25" i="43"/>
  <c r="K9" i="48" l="1"/>
  <c r="B11" i="48" s="1"/>
  <c r="B12" i="48" s="1"/>
  <c r="K12" i="49"/>
  <c r="I14" i="49"/>
  <c r="I15" i="49" s="1"/>
  <c r="I18" i="49" s="1"/>
  <c r="I22" i="49" s="1"/>
  <c r="J12" i="48"/>
  <c r="J15" i="48" s="1"/>
  <c r="J18" i="48" s="1"/>
  <c r="J22" i="48" s="1"/>
  <c r="B9" i="45"/>
  <c r="B27" i="45" s="1"/>
  <c r="C9" i="45"/>
  <c r="D9" i="45"/>
  <c r="E9" i="45"/>
  <c r="G9" i="45"/>
  <c r="H9" i="45"/>
  <c r="I9" i="45"/>
  <c r="J9" i="45"/>
  <c r="J11" i="45" s="1"/>
  <c r="B10" i="43"/>
  <c r="B9" i="37"/>
  <c r="B27" i="37" s="1"/>
  <c r="C9" i="37"/>
  <c r="D9" i="37"/>
  <c r="E9" i="37"/>
  <c r="G9" i="37"/>
  <c r="H9" i="37"/>
  <c r="I9" i="37"/>
  <c r="J9" i="37"/>
  <c r="J11" i="37" s="1"/>
  <c r="J12" i="37" s="1"/>
  <c r="J15" i="37" s="1"/>
  <c r="J18" i="37" s="1"/>
  <c r="J22" i="37" s="1"/>
  <c r="I9" i="2"/>
  <c r="G9" i="2"/>
  <c r="I9" i="5"/>
  <c r="G9" i="5"/>
  <c r="I9" i="6"/>
  <c r="G9" i="6"/>
  <c r="I9" i="7"/>
  <c r="G9" i="7"/>
  <c r="I9" i="8"/>
  <c r="G9" i="8"/>
  <c r="I9" i="4"/>
  <c r="G9" i="4"/>
  <c r="I9" i="9"/>
  <c r="G9" i="9"/>
  <c r="I9" i="10"/>
  <c r="G9" i="10"/>
  <c r="I9" i="13"/>
  <c r="G9" i="13"/>
  <c r="I9" i="15"/>
  <c r="G9" i="15"/>
  <c r="I9" i="17"/>
  <c r="G9" i="17"/>
  <c r="I9" i="41"/>
  <c r="G9" i="41"/>
  <c r="I9" i="14"/>
  <c r="G9" i="14"/>
  <c r="I9" i="40"/>
  <c r="G9" i="40"/>
  <c r="I9" i="28"/>
  <c r="G9" i="28"/>
  <c r="I9" i="30"/>
  <c r="G9" i="30"/>
  <c r="I9" i="18"/>
  <c r="G9" i="18"/>
  <c r="I9" i="19"/>
  <c r="G9" i="19"/>
  <c r="I9" i="21"/>
  <c r="G9" i="21"/>
  <c r="I9" i="22"/>
  <c r="G9" i="22"/>
  <c r="I9" i="20"/>
  <c r="G9" i="20"/>
  <c r="I9" i="46"/>
  <c r="G9" i="46"/>
  <c r="I9" i="23"/>
  <c r="G9" i="23"/>
  <c r="I9" i="24"/>
  <c r="G9" i="24"/>
  <c r="I9" i="25"/>
  <c r="G9" i="25"/>
  <c r="I9" i="27"/>
  <c r="G9" i="27"/>
  <c r="I9" i="29"/>
  <c r="G9" i="29"/>
  <c r="I9" i="31"/>
  <c r="G9" i="31"/>
  <c r="I9" i="32"/>
  <c r="G9" i="32"/>
  <c r="I9" i="34"/>
  <c r="G9" i="34"/>
  <c r="I9" i="35"/>
  <c r="G9" i="35"/>
  <c r="I9" i="36"/>
  <c r="G9" i="36"/>
  <c r="I9" i="12"/>
  <c r="G9" i="12"/>
  <c r="I9" i="11"/>
  <c r="G9" i="11"/>
  <c r="I9" i="1"/>
  <c r="G9" i="1"/>
  <c r="G10" i="43"/>
  <c r="G30" i="43"/>
  <c r="I10" i="43"/>
  <c r="E10" i="43"/>
  <c r="D10" i="43"/>
  <c r="C10" i="43"/>
  <c r="J10" i="43"/>
  <c r="H10" i="43"/>
  <c r="K6" i="43"/>
  <c r="K8" i="43"/>
  <c r="K9" i="43"/>
  <c r="K11" i="43"/>
  <c r="K12" i="43"/>
  <c r="K13" i="43"/>
  <c r="K14" i="43"/>
  <c r="K16" i="43"/>
  <c r="K18" i="43"/>
  <c r="K19" i="43"/>
  <c r="K17" i="43"/>
  <c r="K20" i="43"/>
  <c r="K21" i="43"/>
  <c r="K22" i="43"/>
  <c r="K23" i="43"/>
  <c r="K24" i="43"/>
  <c r="K26" i="43"/>
  <c r="K27" i="43"/>
  <c r="K28" i="43"/>
  <c r="K29" i="43"/>
  <c r="B30" i="43"/>
  <c r="C30" i="43"/>
  <c r="C9" i="39" s="1"/>
  <c r="D30" i="43"/>
  <c r="E30" i="43"/>
  <c r="H30" i="43"/>
  <c r="J30" i="43"/>
  <c r="J9" i="39" s="1"/>
  <c r="K31" i="43"/>
  <c r="K32" i="43"/>
  <c r="K33" i="43"/>
  <c r="K34" i="43"/>
  <c r="K35" i="43"/>
  <c r="K36" i="43"/>
  <c r="K37" i="43"/>
  <c r="K38" i="43"/>
  <c r="K39" i="43"/>
  <c r="K40" i="43"/>
  <c r="K41" i="43"/>
  <c r="K42" i="43"/>
  <c r="K43" i="43"/>
  <c r="K44" i="43"/>
  <c r="K45" i="43"/>
  <c r="B29" i="39"/>
  <c r="B29" i="44"/>
  <c r="J9" i="46"/>
  <c r="J11" i="46" s="1"/>
  <c r="H9" i="46"/>
  <c r="E9" i="46"/>
  <c r="D9" i="46"/>
  <c r="C9" i="46"/>
  <c r="B9" i="46"/>
  <c r="A1" i="46"/>
  <c r="A1" i="45"/>
  <c r="A1" i="44"/>
  <c r="J9" i="2"/>
  <c r="J11" i="2" s="1"/>
  <c r="J12" i="2" s="1"/>
  <c r="J15" i="2" s="1"/>
  <c r="J18" i="2" s="1"/>
  <c r="J22" i="2" s="1"/>
  <c r="H9" i="2"/>
  <c r="E9" i="2"/>
  <c r="D9" i="2"/>
  <c r="C9" i="2"/>
  <c r="B9" i="2"/>
  <c r="B27" i="2" s="1"/>
  <c r="J9" i="5"/>
  <c r="J11" i="5" s="1"/>
  <c r="J12" i="5" s="1"/>
  <c r="J15" i="5" s="1"/>
  <c r="J18" i="5" s="1"/>
  <c r="J22" i="5" s="1"/>
  <c r="H9" i="5"/>
  <c r="E9" i="5"/>
  <c r="D9" i="5"/>
  <c r="C9" i="5"/>
  <c r="B9" i="5"/>
  <c r="B27" i="5" s="1"/>
  <c r="J9" i="6"/>
  <c r="J11" i="6" s="1"/>
  <c r="J12" i="6" s="1"/>
  <c r="J15" i="6" s="1"/>
  <c r="J18" i="6" s="1"/>
  <c r="J22" i="6" s="1"/>
  <c r="H9" i="6"/>
  <c r="E9" i="6"/>
  <c r="D9" i="6"/>
  <c r="C9" i="6"/>
  <c r="B9" i="6"/>
  <c r="B27" i="6" s="1"/>
  <c r="J9" i="7"/>
  <c r="J11" i="7" s="1"/>
  <c r="J12" i="7" s="1"/>
  <c r="J15" i="7" s="1"/>
  <c r="J18" i="7" s="1"/>
  <c r="J22" i="7" s="1"/>
  <c r="H9" i="7"/>
  <c r="E9" i="7"/>
  <c r="D9" i="7"/>
  <c r="C9" i="7"/>
  <c r="B9" i="7"/>
  <c r="B27" i="7" s="1"/>
  <c r="J9" i="8"/>
  <c r="J11" i="8" s="1"/>
  <c r="J12" i="8" s="1"/>
  <c r="J15" i="8" s="1"/>
  <c r="J18" i="8" s="1"/>
  <c r="J22" i="8" s="1"/>
  <c r="H9" i="8"/>
  <c r="E9" i="8"/>
  <c r="D9" i="8"/>
  <c r="C9" i="8"/>
  <c r="B9" i="8"/>
  <c r="B27" i="8" s="1"/>
  <c r="J9" i="4"/>
  <c r="J11" i="4" s="1"/>
  <c r="J12" i="4" s="1"/>
  <c r="J15" i="4" s="1"/>
  <c r="J18" i="4" s="1"/>
  <c r="J22" i="4" s="1"/>
  <c r="H9" i="4"/>
  <c r="E9" i="4"/>
  <c r="D9" i="4"/>
  <c r="C9" i="4"/>
  <c r="B9" i="4"/>
  <c r="B27" i="4" s="1"/>
  <c r="J9" i="9"/>
  <c r="J11" i="9" s="1"/>
  <c r="J12" i="9" s="1"/>
  <c r="J15" i="9" s="1"/>
  <c r="J18" i="9" s="1"/>
  <c r="J22" i="9" s="1"/>
  <c r="H9" i="9"/>
  <c r="E9" i="9"/>
  <c r="D9" i="9"/>
  <c r="C9" i="9"/>
  <c r="B9" i="9"/>
  <c r="B27" i="9" s="1"/>
  <c r="J9" i="10"/>
  <c r="J11" i="10" s="1"/>
  <c r="J12" i="10" s="1"/>
  <c r="J15" i="10" s="1"/>
  <c r="J18" i="10" s="1"/>
  <c r="J22" i="10" s="1"/>
  <c r="H9" i="10"/>
  <c r="E9" i="10"/>
  <c r="D9" i="10"/>
  <c r="C9" i="10"/>
  <c r="B9" i="10"/>
  <c r="B27" i="10" s="1"/>
  <c r="J9" i="13"/>
  <c r="J11" i="13" s="1"/>
  <c r="J12" i="13" s="1"/>
  <c r="J15" i="13" s="1"/>
  <c r="J18" i="13" s="1"/>
  <c r="J22" i="13" s="1"/>
  <c r="H9" i="13"/>
  <c r="E9" i="13"/>
  <c r="D9" i="13"/>
  <c r="C9" i="13"/>
  <c r="B9" i="13"/>
  <c r="B27" i="13" s="1"/>
  <c r="J9" i="15"/>
  <c r="J11" i="15" s="1"/>
  <c r="J12" i="15" s="1"/>
  <c r="J15" i="15" s="1"/>
  <c r="J18" i="15" s="1"/>
  <c r="J22" i="15" s="1"/>
  <c r="H9" i="15"/>
  <c r="E9" i="15"/>
  <c r="D9" i="15"/>
  <c r="C9" i="15"/>
  <c r="B9" i="15"/>
  <c r="B27" i="15" s="1"/>
  <c r="J9" i="17"/>
  <c r="J11" i="17" s="1"/>
  <c r="J12" i="17" s="1"/>
  <c r="J15" i="17" s="1"/>
  <c r="J18" i="17" s="1"/>
  <c r="J22" i="17" s="1"/>
  <c r="H9" i="17"/>
  <c r="E9" i="17"/>
  <c r="D9" i="17"/>
  <c r="C9" i="17"/>
  <c r="B9" i="17"/>
  <c r="B27" i="17" s="1"/>
  <c r="J9" i="41"/>
  <c r="J11" i="41" s="1"/>
  <c r="H9" i="41"/>
  <c r="E9" i="41"/>
  <c r="D9" i="41"/>
  <c r="C9" i="41"/>
  <c r="B9" i="41"/>
  <c r="B27" i="41" s="1"/>
  <c r="J9" i="14"/>
  <c r="H9" i="14"/>
  <c r="E9" i="14"/>
  <c r="D9" i="14"/>
  <c r="C9" i="14"/>
  <c r="B9" i="14"/>
  <c r="B27" i="14" s="1"/>
  <c r="J9" i="40"/>
  <c r="H9" i="40"/>
  <c r="E9" i="40"/>
  <c r="D9" i="40"/>
  <c r="C9" i="40"/>
  <c r="B9" i="40"/>
  <c r="B27" i="40" s="1"/>
  <c r="J9" i="28"/>
  <c r="H9" i="28"/>
  <c r="E9" i="28"/>
  <c r="D9" i="28"/>
  <c r="C9" i="28"/>
  <c r="B9" i="28"/>
  <c r="B27" i="28" s="1"/>
  <c r="J9" i="30"/>
  <c r="J11" i="30" s="1"/>
  <c r="J12" i="30" s="1"/>
  <c r="J15" i="30" s="1"/>
  <c r="J18" i="30" s="1"/>
  <c r="J22" i="30" s="1"/>
  <c r="H9" i="30"/>
  <c r="E9" i="30"/>
  <c r="D9" i="30"/>
  <c r="C9" i="30"/>
  <c r="B9" i="30"/>
  <c r="B27" i="30" s="1"/>
  <c r="J9" i="18"/>
  <c r="J11" i="18" s="1"/>
  <c r="J12" i="18" s="1"/>
  <c r="J15" i="18" s="1"/>
  <c r="J18" i="18" s="1"/>
  <c r="J22" i="18" s="1"/>
  <c r="H9" i="18"/>
  <c r="E9" i="18"/>
  <c r="D9" i="18"/>
  <c r="C9" i="18"/>
  <c r="B9" i="18"/>
  <c r="J9" i="19"/>
  <c r="J11" i="19" s="1"/>
  <c r="H9" i="19"/>
  <c r="E9" i="19"/>
  <c r="D9" i="19"/>
  <c r="C9" i="19"/>
  <c r="B9" i="19"/>
  <c r="B27" i="19" s="1"/>
  <c r="J9" i="21"/>
  <c r="J11" i="21" s="1"/>
  <c r="J12" i="21" s="1"/>
  <c r="J15" i="21" s="1"/>
  <c r="J18" i="21" s="1"/>
  <c r="J22" i="21" s="1"/>
  <c r="H9" i="21"/>
  <c r="E9" i="21"/>
  <c r="D9" i="21"/>
  <c r="C9" i="21"/>
  <c r="B9" i="21"/>
  <c r="B27" i="21" s="1"/>
  <c r="J9" i="22"/>
  <c r="J11" i="22" s="1"/>
  <c r="J12" i="22" s="1"/>
  <c r="J15" i="22" s="1"/>
  <c r="J18" i="22" s="1"/>
  <c r="J22" i="22" s="1"/>
  <c r="H9" i="22"/>
  <c r="E9" i="22"/>
  <c r="D9" i="22"/>
  <c r="C9" i="22"/>
  <c r="B9" i="22"/>
  <c r="J9" i="20"/>
  <c r="J11" i="20" s="1"/>
  <c r="J12" i="20" s="1"/>
  <c r="J15" i="20" s="1"/>
  <c r="J18" i="20" s="1"/>
  <c r="J22" i="20" s="1"/>
  <c r="H9" i="20"/>
  <c r="E9" i="20"/>
  <c r="D9" i="20"/>
  <c r="C9" i="20"/>
  <c r="B9" i="20"/>
  <c r="B27" i="20" s="1"/>
  <c r="J9" i="23"/>
  <c r="J11" i="23" s="1"/>
  <c r="J12" i="23" s="1"/>
  <c r="J15" i="23" s="1"/>
  <c r="J18" i="23" s="1"/>
  <c r="J22" i="23" s="1"/>
  <c r="H9" i="23"/>
  <c r="E9" i="23"/>
  <c r="D9" i="23"/>
  <c r="C9" i="23"/>
  <c r="B9" i="23"/>
  <c r="J9" i="24"/>
  <c r="J11" i="24" s="1"/>
  <c r="J12" i="24" s="1"/>
  <c r="J15" i="24" s="1"/>
  <c r="J18" i="24" s="1"/>
  <c r="J22" i="24" s="1"/>
  <c r="H9" i="24"/>
  <c r="E9" i="24"/>
  <c r="D9" i="24"/>
  <c r="C9" i="24"/>
  <c r="B9" i="24"/>
  <c r="J9" i="25"/>
  <c r="J11" i="25" s="1"/>
  <c r="J12" i="25" s="1"/>
  <c r="J15" i="25" s="1"/>
  <c r="J18" i="25" s="1"/>
  <c r="J22" i="25" s="1"/>
  <c r="H9" i="25"/>
  <c r="E9" i="25"/>
  <c r="D9" i="25"/>
  <c r="C9" i="25"/>
  <c r="B9" i="25"/>
  <c r="B27" i="25" s="1"/>
  <c r="J9" i="27"/>
  <c r="J11" i="27" s="1"/>
  <c r="J12" i="27" s="1"/>
  <c r="J15" i="27" s="1"/>
  <c r="J18" i="27" s="1"/>
  <c r="J22" i="27" s="1"/>
  <c r="H9" i="27"/>
  <c r="E9" i="27"/>
  <c r="D9" i="27"/>
  <c r="C9" i="27"/>
  <c r="B9" i="27"/>
  <c r="J9" i="29"/>
  <c r="J11" i="29" s="1"/>
  <c r="J12" i="29" s="1"/>
  <c r="J15" i="29" s="1"/>
  <c r="J18" i="29" s="1"/>
  <c r="J22" i="29" s="1"/>
  <c r="H9" i="29"/>
  <c r="E9" i="29"/>
  <c r="D9" i="29"/>
  <c r="C9" i="29"/>
  <c r="B9" i="29"/>
  <c r="J9" i="31"/>
  <c r="H9" i="31"/>
  <c r="E9" i="31"/>
  <c r="D9" i="31"/>
  <c r="C9" i="31"/>
  <c r="B9" i="31"/>
  <c r="B27" i="31" s="1"/>
  <c r="J9" i="32"/>
  <c r="J11" i="32" s="1"/>
  <c r="H9" i="32"/>
  <c r="E9" i="32"/>
  <c r="D9" i="32"/>
  <c r="C9" i="32"/>
  <c r="B9" i="32"/>
  <c r="B27" i="32" s="1"/>
  <c r="J9" i="34"/>
  <c r="J11" i="34" s="1"/>
  <c r="H9" i="34"/>
  <c r="E9" i="34"/>
  <c r="D9" i="34"/>
  <c r="C9" i="34"/>
  <c r="B9" i="34"/>
  <c r="B27" i="34" s="1"/>
  <c r="J9" i="35"/>
  <c r="J11" i="35" s="1"/>
  <c r="H9" i="35"/>
  <c r="E9" i="35"/>
  <c r="D9" i="35"/>
  <c r="C9" i="35"/>
  <c r="B9" i="35"/>
  <c r="B27" i="35" s="1"/>
  <c r="J9" i="36"/>
  <c r="J11" i="36" s="1"/>
  <c r="H9" i="36"/>
  <c r="E9" i="36"/>
  <c r="D9" i="36"/>
  <c r="C9" i="36"/>
  <c r="B9" i="36"/>
  <c r="B27" i="36" s="1"/>
  <c r="J9" i="12"/>
  <c r="J11" i="12" s="1"/>
  <c r="H9" i="12"/>
  <c r="E9" i="12"/>
  <c r="D9" i="12"/>
  <c r="C9" i="12"/>
  <c r="B9" i="12"/>
  <c r="B27" i="12" s="1"/>
  <c r="J9" i="11"/>
  <c r="J11" i="11" s="1"/>
  <c r="J12" i="11" s="1"/>
  <c r="J15" i="11" s="1"/>
  <c r="J18" i="11" s="1"/>
  <c r="J22" i="11" s="1"/>
  <c r="H9" i="11"/>
  <c r="E9" i="11"/>
  <c r="D9" i="11"/>
  <c r="C9" i="11"/>
  <c r="B9" i="11"/>
  <c r="B27" i="11" s="1"/>
  <c r="C9" i="1"/>
  <c r="J9" i="1"/>
  <c r="J11" i="1" s="1"/>
  <c r="H9" i="1"/>
  <c r="E9" i="1"/>
  <c r="D9" i="1"/>
  <c r="B9" i="1"/>
  <c r="A1" i="2"/>
  <c r="A1" i="4"/>
  <c r="A1" i="5"/>
  <c r="A1" i="6"/>
  <c r="A1" i="7"/>
  <c r="A1" i="8"/>
  <c r="A1" i="9"/>
  <c r="A1" i="10"/>
  <c r="A1" i="13"/>
  <c r="A1" i="15"/>
  <c r="A1" i="17"/>
  <c r="A1" i="41"/>
  <c r="A1" i="14"/>
  <c r="A1" i="40"/>
  <c r="A1" i="28"/>
  <c r="A1" i="39"/>
  <c r="A1" i="18"/>
  <c r="A1" i="19"/>
  <c r="A1" i="21"/>
  <c r="A1" i="22"/>
  <c r="A1" i="20"/>
  <c r="A1" i="23"/>
  <c r="A1" i="24"/>
  <c r="A1" i="25"/>
  <c r="A1" i="27"/>
  <c r="A1" i="29"/>
  <c r="A1" i="30"/>
  <c r="A1" i="31"/>
  <c r="A1" i="32"/>
  <c r="A1" i="34"/>
  <c r="A1" i="35"/>
  <c r="A1" i="36"/>
  <c r="A1" i="37"/>
  <c r="A1" i="11"/>
  <c r="A1" i="12"/>
  <c r="H11" i="48" l="1"/>
  <c r="H12" i="48" s="1"/>
  <c r="I11" i="48"/>
  <c r="I12" i="48" s="1"/>
  <c r="I14" i="48" s="1"/>
  <c r="C14" i="48" s="1"/>
  <c r="C11" i="48"/>
  <c r="C12" i="48" s="1"/>
  <c r="D11" i="48"/>
  <c r="D12" i="48" s="1"/>
  <c r="D48" i="43"/>
  <c r="D9" i="38" s="1"/>
  <c r="C48" i="43"/>
  <c r="C9" i="38" s="1"/>
  <c r="G11" i="48"/>
  <c r="G12" i="48" s="1"/>
  <c r="E11" i="48"/>
  <c r="E12" i="48" s="1"/>
  <c r="E48" i="43"/>
  <c r="E9" i="38" s="1"/>
  <c r="I48" i="43"/>
  <c r="I9" i="38" s="1"/>
  <c r="B48" i="43"/>
  <c r="B9" i="38" s="1"/>
  <c r="B27" i="38" s="1"/>
  <c r="K15" i="43"/>
  <c r="H48" i="43"/>
  <c r="H9" i="38" s="1"/>
  <c r="G48" i="43"/>
  <c r="G9" i="38" s="1"/>
  <c r="J48" i="43"/>
  <c r="J9" i="38" s="1"/>
  <c r="J11" i="38" s="1"/>
  <c r="J12" i="38" s="1"/>
  <c r="J15" i="38" s="1"/>
  <c r="J18" i="38" s="1"/>
  <c r="J22" i="38" s="1"/>
  <c r="D14" i="49"/>
  <c r="D15" i="49" s="1"/>
  <c r="E14" i="49"/>
  <c r="E15" i="49" s="1"/>
  <c r="B14" i="49"/>
  <c r="B15" i="49" s="1"/>
  <c r="G14" i="49"/>
  <c r="G15" i="49" s="1"/>
  <c r="C14" i="49"/>
  <c r="C15" i="49" s="1"/>
  <c r="H14" i="49"/>
  <c r="H15" i="49" s="1"/>
  <c r="J11" i="39"/>
  <c r="J12" i="39" s="1"/>
  <c r="J15" i="39" s="1"/>
  <c r="J18" i="39" s="1"/>
  <c r="J22" i="39" s="1"/>
  <c r="J12" i="45"/>
  <c r="J15" i="45" s="1"/>
  <c r="J18" i="45" s="1"/>
  <c r="J22" i="45" s="1"/>
  <c r="J12" i="12"/>
  <c r="J15" i="12" s="1"/>
  <c r="J18" i="12" s="1"/>
  <c r="J22" i="12" s="1"/>
  <c r="I9" i="39"/>
  <c r="K9" i="28"/>
  <c r="H9" i="39"/>
  <c r="G9" i="39"/>
  <c r="D9" i="39"/>
  <c r="B9" i="39"/>
  <c r="B27" i="39" s="1"/>
  <c r="K9" i="45"/>
  <c r="I11" i="45" s="1"/>
  <c r="I12" i="45" s="1"/>
  <c r="J9" i="44"/>
  <c r="J11" i="44" s="1"/>
  <c r="J12" i="44" s="1"/>
  <c r="J15" i="44" s="1"/>
  <c r="J18" i="44" s="1"/>
  <c r="J22" i="44" s="1"/>
  <c r="I9" i="44"/>
  <c r="H9" i="44"/>
  <c r="G9" i="44"/>
  <c r="E9" i="44"/>
  <c r="D9" i="44"/>
  <c r="C9" i="44"/>
  <c r="B9" i="44"/>
  <c r="B27" i="44" s="1"/>
  <c r="K9" i="5"/>
  <c r="C11" i="5" s="1"/>
  <c r="C12" i="5" s="1"/>
  <c r="K9" i="34"/>
  <c r="H11" i="34" s="1"/>
  <c r="H12" i="34" s="1"/>
  <c r="K9" i="10"/>
  <c r="D11" i="10" s="1"/>
  <c r="D12" i="10" s="1"/>
  <c r="K9" i="7"/>
  <c r="B11" i="7" s="1"/>
  <c r="B12" i="7" s="1"/>
  <c r="K9" i="2"/>
  <c r="C11" i="2" s="1"/>
  <c r="C12" i="2" s="1"/>
  <c r="K9" i="14"/>
  <c r="K10" i="43"/>
  <c r="J12" i="32"/>
  <c r="J15" i="32" s="1"/>
  <c r="J18" i="32" s="1"/>
  <c r="J22" i="32" s="1"/>
  <c r="K9" i="12"/>
  <c r="B11" i="12" s="1"/>
  <c r="B12" i="12" s="1"/>
  <c r="J12" i="19"/>
  <c r="J15" i="19" s="1"/>
  <c r="J18" i="19" s="1"/>
  <c r="J22" i="19" s="1"/>
  <c r="K30" i="43"/>
  <c r="E9" i="39"/>
  <c r="J12" i="46"/>
  <c r="J15" i="46" s="1"/>
  <c r="J18" i="46" s="1"/>
  <c r="J22" i="46" s="1"/>
  <c r="K9" i="36"/>
  <c r="G11" i="36" s="1"/>
  <c r="G12" i="36" s="1"/>
  <c r="K9" i="32"/>
  <c r="G11" i="32" s="1"/>
  <c r="G12" i="32" s="1"/>
  <c r="K9" i="17"/>
  <c r="K9" i="9"/>
  <c r="K9" i="4"/>
  <c r="H11" i="4" s="1"/>
  <c r="H12" i="4" s="1"/>
  <c r="K9" i="6"/>
  <c r="K9" i="29"/>
  <c r="D11" i="29" s="1"/>
  <c r="D12" i="29" s="1"/>
  <c r="B27" i="29"/>
  <c r="K9" i="27"/>
  <c r="D11" i="27" s="1"/>
  <c r="D12" i="27" s="1"/>
  <c r="B27" i="27"/>
  <c r="K9" i="25"/>
  <c r="B11" i="25" s="1"/>
  <c r="B12" i="25" s="1"/>
  <c r="B27" i="24"/>
  <c r="K9" i="24"/>
  <c r="B11" i="24" s="1"/>
  <c r="B12" i="24" s="1"/>
  <c r="B27" i="23"/>
  <c r="K9" i="23"/>
  <c r="G11" i="23" s="1"/>
  <c r="G12" i="23" s="1"/>
  <c r="K9" i="20"/>
  <c r="B11" i="20" s="1"/>
  <c r="B12" i="20" s="1"/>
  <c r="K9" i="22"/>
  <c r="B11" i="22" s="1"/>
  <c r="B12" i="22" s="1"/>
  <c r="B27" i="22"/>
  <c r="K9" i="21"/>
  <c r="B11" i="21" s="1"/>
  <c r="B12" i="21" s="1"/>
  <c r="K9" i="19"/>
  <c r="B11" i="19" s="1"/>
  <c r="B12" i="19" s="1"/>
  <c r="B27" i="18"/>
  <c r="K9" i="18"/>
  <c r="K9" i="30"/>
  <c r="C11" i="30" s="1"/>
  <c r="C12" i="30" s="1"/>
  <c r="J11" i="28"/>
  <c r="J12" i="28" s="1"/>
  <c r="J15" i="28" s="1"/>
  <c r="J18" i="28" s="1"/>
  <c r="J22" i="28" s="1"/>
  <c r="K9" i="40"/>
  <c r="J11" i="40"/>
  <c r="J12" i="40" s="1"/>
  <c r="J15" i="40" s="1"/>
  <c r="J18" i="40" s="1"/>
  <c r="J22" i="40" s="1"/>
  <c r="J11" i="14"/>
  <c r="K9" i="41"/>
  <c r="C11" i="41" s="1"/>
  <c r="C12" i="41" s="1"/>
  <c r="B27" i="46"/>
  <c r="K9" i="46"/>
  <c r="J12" i="41"/>
  <c r="J15" i="41" s="1"/>
  <c r="J18" i="41" s="1"/>
  <c r="J22" i="41" s="1"/>
  <c r="K9" i="1"/>
  <c r="B27" i="1"/>
  <c r="K9" i="11"/>
  <c r="K9" i="35"/>
  <c r="J11" i="31"/>
  <c r="J12" i="31" s="1"/>
  <c r="J15" i="31" s="1"/>
  <c r="J18" i="31" s="1"/>
  <c r="J22" i="31" s="1"/>
  <c r="J12" i="1"/>
  <c r="J15" i="1" s="1"/>
  <c r="J18" i="1" s="1"/>
  <c r="J22" i="1" s="1"/>
  <c r="J12" i="36"/>
  <c r="J15" i="36" s="1"/>
  <c r="J18" i="36" s="1"/>
  <c r="J22" i="36" s="1"/>
  <c r="J12" i="35"/>
  <c r="J15" i="35" s="1"/>
  <c r="J18" i="35" s="1"/>
  <c r="J22" i="35" s="1"/>
  <c r="J12" i="34"/>
  <c r="J15" i="34" s="1"/>
  <c r="J18" i="34" s="1"/>
  <c r="J22" i="34" s="1"/>
  <c r="K9" i="31"/>
  <c r="K9" i="15"/>
  <c r="H11" i="15" s="1"/>
  <c r="H12" i="15" s="1"/>
  <c r="K9" i="13"/>
  <c r="K9" i="8"/>
  <c r="K9" i="37"/>
  <c r="D11" i="37" s="1"/>
  <c r="D12" i="37" s="1"/>
  <c r="C15" i="48" l="1"/>
  <c r="I15" i="48"/>
  <c r="I18" i="48" s="1"/>
  <c r="I22" i="48" s="1"/>
  <c r="H14" i="48"/>
  <c r="H15" i="48" s="1"/>
  <c r="H17" i="48" s="1"/>
  <c r="H18" i="48" s="1"/>
  <c r="H22" i="48" s="1"/>
  <c r="D14" i="48"/>
  <c r="D15" i="48" s="1"/>
  <c r="G14" i="48"/>
  <c r="G15" i="48" s="1"/>
  <c r="E14" i="48"/>
  <c r="E15" i="48" s="1"/>
  <c r="B14" i="48"/>
  <c r="B15" i="48" s="1"/>
  <c r="K12" i="48"/>
  <c r="K48" i="43"/>
  <c r="K15" i="49"/>
  <c r="H17" i="49"/>
  <c r="H18" i="49" s="1"/>
  <c r="H22" i="49" s="1"/>
  <c r="E11" i="10"/>
  <c r="E12" i="10" s="1"/>
  <c r="H11" i="7"/>
  <c r="H12" i="7" s="1"/>
  <c r="H11" i="45"/>
  <c r="H12" i="45" s="1"/>
  <c r="H11" i="10"/>
  <c r="H12" i="10" s="1"/>
  <c r="I11" i="5"/>
  <c r="I12" i="5" s="1"/>
  <c r="I14" i="5" s="1"/>
  <c r="C14" i="5" s="1"/>
  <c r="C15" i="5" s="1"/>
  <c r="D11" i="45"/>
  <c r="D12" i="45" s="1"/>
  <c r="G11" i="45"/>
  <c r="G12" i="45" s="1"/>
  <c r="B11" i="45"/>
  <c r="B12" i="45" s="1"/>
  <c r="E11" i="45"/>
  <c r="E12" i="45" s="1"/>
  <c r="G11" i="2"/>
  <c r="G12" i="2" s="1"/>
  <c r="B11" i="2"/>
  <c r="B12" i="2" s="1"/>
  <c r="E11" i="5"/>
  <c r="E12" i="5" s="1"/>
  <c r="B11" i="5"/>
  <c r="B12" i="5" s="1"/>
  <c r="H11" i="5"/>
  <c r="H12" i="5" s="1"/>
  <c r="E11" i="7"/>
  <c r="E12" i="7" s="1"/>
  <c r="D11" i="7"/>
  <c r="D12" i="7" s="1"/>
  <c r="I11" i="7"/>
  <c r="I12" i="7" s="1"/>
  <c r="I14" i="7" s="1"/>
  <c r="C11" i="7"/>
  <c r="C12" i="7" s="1"/>
  <c r="G11" i="7"/>
  <c r="G12" i="7" s="1"/>
  <c r="K9" i="39"/>
  <c r="D11" i="39" s="1"/>
  <c r="D12" i="39" s="1"/>
  <c r="C11" i="34"/>
  <c r="C12" i="34" s="1"/>
  <c r="D11" i="34"/>
  <c r="D12" i="34" s="1"/>
  <c r="E11" i="34"/>
  <c r="E12" i="34" s="1"/>
  <c r="C11" i="45"/>
  <c r="C12" i="45" s="1"/>
  <c r="K9" i="44"/>
  <c r="D11" i="44" s="1"/>
  <c r="D12" i="44" s="1"/>
  <c r="C11" i="12"/>
  <c r="C12" i="12" s="1"/>
  <c r="E11" i="12"/>
  <c r="E12" i="12" s="1"/>
  <c r="G11" i="12"/>
  <c r="G12" i="12" s="1"/>
  <c r="G11" i="5"/>
  <c r="G12" i="5" s="1"/>
  <c r="D11" i="5"/>
  <c r="D12" i="5" s="1"/>
  <c r="G11" i="10"/>
  <c r="G12" i="10" s="1"/>
  <c r="B11" i="10"/>
  <c r="B12" i="10" s="1"/>
  <c r="C11" i="32"/>
  <c r="C12" i="32" s="1"/>
  <c r="B11" i="34"/>
  <c r="B12" i="34" s="1"/>
  <c r="G11" i="34"/>
  <c r="G12" i="34" s="1"/>
  <c r="I11" i="34"/>
  <c r="I12" i="34" s="1"/>
  <c r="I14" i="34" s="1"/>
  <c r="D11" i="12"/>
  <c r="D12" i="12" s="1"/>
  <c r="I11" i="12"/>
  <c r="I12" i="12" s="1"/>
  <c r="I14" i="12" s="1"/>
  <c r="H11" i="25"/>
  <c r="H12" i="25" s="1"/>
  <c r="I11" i="14"/>
  <c r="I12" i="14" s="1"/>
  <c r="I14" i="14" s="1"/>
  <c r="C11" i="10"/>
  <c r="C12" i="10" s="1"/>
  <c r="I11" i="10"/>
  <c r="I12" i="10" s="1"/>
  <c r="I14" i="10" s="1"/>
  <c r="I11" i="2"/>
  <c r="I12" i="2" s="1"/>
  <c r="I14" i="2" s="1"/>
  <c r="B14" i="2" s="1"/>
  <c r="H11" i="2"/>
  <c r="H12" i="2" s="1"/>
  <c r="D11" i="2"/>
  <c r="D12" i="2" s="1"/>
  <c r="E11" i="2"/>
  <c r="E12" i="2" s="1"/>
  <c r="H11" i="22"/>
  <c r="H12" i="22" s="1"/>
  <c r="B11" i="29"/>
  <c r="B12" i="29" s="1"/>
  <c r="H11" i="29"/>
  <c r="H12" i="29" s="1"/>
  <c r="H11" i="12"/>
  <c r="H12" i="12" s="1"/>
  <c r="E11" i="30"/>
  <c r="E12" i="30" s="1"/>
  <c r="D11" i="19"/>
  <c r="D12" i="19" s="1"/>
  <c r="H11" i="20"/>
  <c r="H12" i="20" s="1"/>
  <c r="D11" i="20"/>
  <c r="D12" i="20" s="1"/>
  <c r="D11" i="23"/>
  <c r="D12" i="23" s="1"/>
  <c r="D11" i="24"/>
  <c r="D12" i="24" s="1"/>
  <c r="D11" i="25"/>
  <c r="D12" i="25" s="1"/>
  <c r="E11" i="32"/>
  <c r="E12" i="32" s="1"/>
  <c r="E11" i="36"/>
  <c r="E12" i="36" s="1"/>
  <c r="K9" i="38"/>
  <c r="D11" i="38" s="1"/>
  <c r="D12" i="38" s="1"/>
  <c r="C11" i="36"/>
  <c r="C12" i="36" s="1"/>
  <c r="G11" i="37"/>
  <c r="G12" i="37" s="1"/>
  <c r="C11" i="13"/>
  <c r="C12" i="13" s="1"/>
  <c r="H11" i="13"/>
  <c r="H12" i="13" s="1"/>
  <c r="D11" i="13"/>
  <c r="D12" i="13" s="1"/>
  <c r="E11" i="13"/>
  <c r="E12" i="13" s="1"/>
  <c r="B11" i="13"/>
  <c r="B12" i="13" s="1"/>
  <c r="I11" i="13"/>
  <c r="I12" i="13" s="1"/>
  <c r="E11" i="11"/>
  <c r="E12" i="11" s="1"/>
  <c r="I11" i="11"/>
  <c r="I12" i="11" s="1"/>
  <c r="D11" i="11"/>
  <c r="D12" i="11" s="1"/>
  <c r="H11" i="11"/>
  <c r="H12" i="11" s="1"/>
  <c r="C11" i="11"/>
  <c r="C12" i="11" s="1"/>
  <c r="C11" i="37"/>
  <c r="C12" i="37" s="1"/>
  <c r="E11" i="37"/>
  <c r="E12" i="37" s="1"/>
  <c r="H11" i="37"/>
  <c r="H12" i="37" s="1"/>
  <c r="B11" i="37"/>
  <c r="B12" i="37" s="1"/>
  <c r="I11" i="15"/>
  <c r="I12" i="15" s="1"/>
  <c r="D11" i="15"/>
  <c r="D12" i="15" s="1"/>
  <c r="B11" i="15"/>
  <c r="B12" i="15" s="1"/>
  <c r="E11" i="15"/>
  <c r="E12" i="15" s="1"/>
  <c r="C11" i="15"/>
  <c r="C12" i="15" s="1"/>
  <c r="G11" i="46"/>
  <c r="G12" i="46" s="1"/>
  <c r="H11" i="46"/>
  <c r="H12" i="46" s="1"/>
  <c r="D11" i="46"/>
  <c r="D12" i="46" s="1"/>
  <c r="I11" i="46"/>
  <c r="I12" i="46" s="1"/>
  <c r="E11" i="46"/>
  <c r="E12" i="46" s="1"/>
  <c r="C11" i="46"/>
  <c r="C12" i="46" s="1"/>
  <c r="B11" i="46"/>
  <c r="B12" i="46" s="1"/>
  <c r="B11" i="40"/>
  <c r="B12" i="40" s="1"/>
  <c r="I11" i="40"/>
  <c r="I12" i="40" s="1"/>
  <c r="G11" i="40"/>
  <c r="G12" i="40" s="1"/>
  <c r="D11" i="40"/>
  <c r="D12" i="40" s="1"/>
  <c r="H11" i="40"/>
  <c r="H12" i="40" s="1"/>
  <c r="E11" i="40"/>
  <c r="E12" i="40" s="1"/>
  <c r="C11" i="40"/>
  <c r="C12" i="40" s="1"/>
  <c r="B11" i="28"/>
  <c r="B12" i="28" s="1"/>
  <c r="D11" i="28"/>
  <c r="D12" i="28" s="1"/>
  <c r="I11" i="30"/>
  <c r="I12" i="30" s="1"/>
  <c r="D11" i="30"/>
  <c r="D12" i="30" s="1"/>
  <c r="H11" i="30"/>
  <c r="H12" i="30" s="1"/>
  <c r="B11" i="30"/>
  <c r="B12" i="30" s="1"/>
  <c r="E11" i="18"/>
  <c r="E12" i="18" s="1"/>
  <c r="H11" i="18"/>
  <c r="H12" i="18" s="1"/>
  <c r="B11" i="18"/>
  <c r="B12" i="18" s="1"/>
  <c r="C11" i="18"/>
  <c r="C12" i="18" s="1"/>
  <c r="I11" i="18"/>
  <c r="I12" i="18" s="1"/>
  <c r="D11" i="18"/>
  <c r="D12" i="18" s="1"/>
  <c r="C11" i="21"/>
  <c r="C12" i="21" s="1"/>
  <c r="I11" i="21"/>
  <c r="I12" i="21" s="1"/>
  <c r="E11" i="21"/>
  <c r="E12" i="21" s="1"/>
  <c r="D11" i="21"/>
  <c r="D12" i="21" s="1"/>
  <c r="H11" i="21"/>
  <c r="H12" i="21" s="1"/>
  <c r="I11" i="20"/>
  <c r="I12" i="20" s="1"/>
  <c r="C11" i="20"/>
  <c r="C12" i="20" s="1"/>
  <c r="E11" i="20"/>
  <c r="E12" i="20" s="1"/>
  <c r="E11" i="25"/>
  <c r="E12" i="25" s="1"/>
  <c r="I11" i="25"/>
  <c r="I12" i="25" s="1"/>
  <c r="C11" i="25"/>
  <c r="C12" i="25" s="1"/>
  <c r="C11" i="29"/>
  <c r="C12" i="29" s="1"/>
  <c r="I11" i="29"/>
  <c r="I12" i="29" s="1"/>
  <c r="E11" i="29"/>
  <c r="E12" i="29" s="1"/>
  <c r="B11" i="6"/>
  <c r="B12" i="6" s="1"/>
  <c r="C11" i="6"/>
  <c r="C12" i="6" s="1"/>
  <c r="G11" i="6"/>
  <c r="G12" i="6" s="1"/>
  <c r="I11" i="6"/>
  <c r="I12" i="6" s="1"/>
  <c r="D11" i="6"/>
  <c r="D12" i="6" s="1"/>
  <c r="H11" i="6"/>
  <c r="H12" i="6" s="1"/>
  <c r="E11" i="6"/>
  <c r="E12" i="6" s="1"/>
  <c r="H11" i="17"/>
  <c r="H12" i="17" s="1"/>
  <c r="E11" i="17"/>
  <c r="E12" i="17" s="1"/>
  <c r="C11" i="17"/>
  <c r="C12" i="17" s="1"/>
  <c r="B11" i="17"/>
  <c r="B12" i="17" s="1"/>
  <c r="I11" i="17"/>
  <c r="I12" i="17" s="1"/>
  <c r="D11" i="17"/>
  <c r="D12" i="17" s="1"/>
  <c r="G11" i="17"/>
  <c r="G12" i="17" s="1"/>
  <c r="B11" i="36"/>
  <c r="B12" i="36" s="1"/>
  <c r="I11" i="36"/>
  <c r="I12" i="36" s="1"/>
  <c r="H11" i="36"/>
  <c r="H12" i="36" s="1"/>
  <c r="D11" i="36"/>
  <c r="D12" i="36" s="1"/>
  <c r="I14" i="45"/>
  <c r="I15" i="45" s="1"/>
  <c r="I18" i="45" s="1"/>
  <c r="I22" i="45" s="1"/>
  <c r="C11" i="35"/>
  <c r="C12" i="35" s="1"/>
  <c r="B11" i="11"/>
  <c r="B12" i="11" s="1"/>
  <c r="I11" i="37"/>
  <c r="I12" i="37" s="1"/>
  <c r="E11" i="41"/>
  <c r="E12" i="41" s="1"/>
  <c r="H11" i="23"/>
  <c r="H12" i="23" s="1"/>
  <c r="H11" i="24"/>
  <c r="H12" i="24" s="1"/>
  <c r="J12" i="14"/>
  <c r="J15" i="14" s="1"/>
  <c r="J18" i="14" s="1"/>
  <c r="J22" i="14" s="1"/>
  <c r="E11" i="28"/>
  <c r="E12" i="28" s="1"/>
  <c r="C11" i="28"/>
  <c r="C12" i="28" s="1"/>
  <c r="D11" i="22"/>
  <c r="D12" i="22" s="1"/>
  <c r="B11" i="27"/>
  <c r="B12" i="27" s="1"/>
  <c r="H11" i="28"/>
  <c r="H12" i="28" s="1"/>
  <c r="H11" i="14"/>
  <c r="H12" i="14" s="1"/>
  <c r="G11" i="15"/>
  <c r="G12" i="15" s="1"/>
  <c r="G11" i="11"/>
  <c r="G12" i="11" s="1"/>
  <c r="G11" i="18"/>
  <c r="G12" i="18" s="1"/>
  <c r="G11" i="21"/>
  <c r="G12" i="21" s="1"/>
  <c r="G11" i="25"/>
  <c r="G12" i="25" s="1"/>
  <c r="G11" i="29"/>
  <c r="G12" i="29" s="1"/>
  <c r="E11" i="8"/>
  <c r="E12" i="8" s="1"/>
  <c r="C11" i="8"/>
  <c r="C12" i="8" s="1"/>
  <c r="H11" i="8"/>
  <c r="H12" i="8" s="1"/>
  <c r="D11" i="8"/>
  <c r="D12" i="8" s="1"/>
  <c r="I11" i="8"/>
  <c r="I12" i="8" s="1"/>
  <c r="G11" i="8"/>
  <c r="G12" i="8" s="1"/>
  <c r="B11" i="8"/>
  <c r="B12" i="8" s="1"/>
  <c r="D11" i="31"/>
  <c r="D12" i="31" s="1"/>
  <c r="E11" i="31"/>
  <c r="E12" i="31" s="1"/>
  <c r="C11" i="31"/>
  <c r="C12" i="31" s="1"/>
  <c r="G11" i="31"/>
  <c r="G12" i="31" s="1"/>
  <c r="I11" i="31"/>
  <c r="I12" i="31" s="1"/>
  <c r="B11" i="31"/>
  <c r="B12" i="31" s="1"/>
  <c r="H11" i="31"/>
  <c r="H12" i="31" s="1"/>
  <c r="B11" i="35"/>
  <c r="B12" i="35" s="1"/>
  <c r="D11" i="35"/>
  <c r="D12" i="35" s="1"/>
  <c r="H11" i="35"/>
  <c r="H12" i="35" s="1"/>
  <c r="I11" i="35"/>
  <c r="I12" i="35" s="1"/>
  <c r="E11" i="35"/>
  <c r="E12" i="35" s="1"/>
  <c r="G11" i="1"/>
  <c r="G12" i="1" s="1"/>
  <c r="I11" i="1"/>
  <c r="I12" i="1" s="1"/>
  <c r="C11" i="1"/>
  <c r="C12" i="1" s="1"/>
  <c r="D11" i="1"/>
  <c r="D12" i="1" s="1"/>
  <c r="H11" i="1"/>
  <c r="H12" i="1" s="1"/>
  <c r="B11" i="1"/>
  <c r="B12" i="1" s="1"/>
  <c r="E11" i="1"/>
  <c r="E12" i="1" s="1"/>
  <c r="B11" i="41"/>
  <c r="B12" i="41" s="1"/>
  <c r="H11" i="41"/>
  <c r="H12" i="41" s="1"/>
  <c r="D11" i="41"/>
  <c r="D12" i="41" s="1"/>
  <c r="I11" i="41"/>
  <c r="I12" i="41" s="1"/>
  <c r="G11" i="41"/>
  <c r="G12" i="41" s="1"/>
  <c r="C11" i="14"/>
  <c r="C12" i="14" s="1"/>
  <c r="E11" i="14"/>
  <c r="E12" i="14" s="1"/>
  <c r="I11" i="19"/>
  <c r="I12" i="19" s="1"/>
  <c r="H11" i="19"/>
  <c r="H12" i="19" s="1"/>
  <c r="E11" i="19"/>
  <c r="E12" i="19" s="1"/>
  <c r="C11" i="19"/>
  <c r="C12" i="19" s="1"/>
  <c r="I11" i="22"/>
  <c r="I12" i="22" s="1"/>
  <c r="E11" i="22"/>
  <c r="E12" i="22" s="1"/>
  <c r="C11" i="22"/>
  <c r="C12" i="22" s="1"/>
  <c r="E11" i="23"/>
  <c r="E12" i="23" s="1"/>
  <c r="C11" i="23"/>
  <c r="C12" i="23" s="1"/>
  <c r="B11" i="23"/>
  <c r="B12" i="23" s="1"/>
  <c r="I11" i="23"/>
  <c r="I12" i="23" s="1"/>
  <c r="I11" i="24"/>
  <c r="I12" i="24" s="1"/>
  <c r="E11" i="24"/>
  <c r="E12" i="24" s="1"/>
  <c r="C11" i="24"/>
  <c r="C12" i="24" s="1"/>
  <c r="G11" i="24"/>
  <c r="G12" i="24" s="1"/>
  <c r="I11" i="27"/>
  <c r="I12" i="27" s="1"/>
  <c r="G11" i="27"/>
  <c r="G12" i="27" s="1"/>
  <c r="E11" i="27"/>
  <c r="E12" i="27" s="1"/>
  <c r="H11" i="27"/>
  <c r="H12" i="27" s="1"/>
  <c r="C11" i="27"/>
  <c r="C12" i="27" s="1"/>
  <c r="I11" i="4"/>
  <c r="I12" i="4" s="1"/>
  <c r="C11" i="4"/>
  <c r="C12" i="4" s="1"/>
  <c r="E11" i="4"/>
  <c r="E12" i="4" s="1"/>
  <c r="B11" i="4"/>
  <c r="B12" i="4" s="1"/>
  <c r="G11" i="4"/>
  <c r="G12" i="4" s="1"/>
  <c r="D11" i="4"/>
  <c r="D12" i="4" s="1"/>
  <c r="B11" i="9"/>
  <c r="B12" i="9" s="1"/>
  <c r="E11" i="9"/>
  <c r="E12" i="9" s="1"/>
  <c r="I11" i="9"/>
  <c r="I12" i="9" s="1"/>
  <c r="G11" i="9"/>
  <c r="G12" i="9" s="1"/>
  <c r="D11" i="9"/>
  <c r="D12" i="9" s="1"/>
  <c r="C11" i="9"/>
  <c r="C12" i="9" s="1"/>
  <c r="H11" i="9"/>
  <c r="H12" i="9" s="1"/>
  <c r="D11" i="32"/>
  <c r="D12" i="32" s="1"/>
  <c r="H11" i="32"/>
  <c r="H12" i="32" s="1"/>
  <c r="B11" i="32"/>
  <c r="B12" i="32" s="1"/>
  <c r="I11" i="32"/>
  <c r="I12" i="32" s="1"/>
  <c r="I11" i="28"/>
  <c r="I12" i="28" s="1"/>
  <c r="D11" i="14"/>
  <c r="D12" i="14" s="1"/>
  <c r="B11" i="14"/>
  <c r="B12" i="14" s="1"/>
  <c r="G11" i="13"/>
  <c r="G12" i="13" s="1"/>
  <c r="G11" i="22"/>
  <c r="G12" i="22" s="1"/>
  <c r="G11" i="30"/>
  <c r="G12" i="30" s="1"/>
  <c r="G11" i="19"/>
  <c r="G12" i="19" s="1"/>
  <c r="G11" i="20"/>
  <c r="G12" i="20" s="1"/>
  <c r="G11" i="35"/>
  <c r="G12" i="35" s="1"/>
  <c r="G11" i="14"/>
  <c r="G12" i="14" s="1"/>
  <c r="G11" i="28"/>
  <c r="G12" i="28" s="1"/>
  <c r="K15" i="48" l="1"/>
  <c r="C17" i="49"/>
  <c r="C18" i="49" s="1"/>
  <c r="D17" i="49"/>
  <c r="D18" i="49" s="1"/>
  <c r="G17" i="49"/>
  <c r="G18" i="49" s="1"/>
  <c r="G20" i="49" s="1"/>
  <c r="E17" i="49"/>
  <c r="E18" i="49" s="1"/>
  <c r="B17" i="49"/>
  <c r="B18" i="49" s="1"/>
  <c r="G14" i="5"/>
  <c r="G15" i="5" s="1"/>
  <c r="B15" i="2"/>
  <c r="H14" i="5"/>
  <c r="H15" i="5" s="1"/>
  <c r="H17" i="5" s="1"/>
  <c r="D17" i="5" s="1"/>
  <c r="E14" i="5"/>
  <c r="E15" i="5" s="1"/>
  <c r="I15" i="5"/>
  <c r="I18" i="5" s="1"/>
  <c r="I22" i="5" s="1"/>
  <c r="B14" i="5"/>
  <c r="B15" i="5" s="1"/>
  <c r="K12" i="45"/>
  <c r="G11" i="44"/>
  <c r="G12" i="44" s="1"/>
  <c r="E17" i="48"/>
  <c r="E18" i="48" s="1"/>
  <c r="C17" i="48"/>
  <c r="C18" i="48" s="1"/>
  <c r="B17" i="48"/>
  <c r="B18" i="48" s="1"/>
  <c r="D17" i="48"/>
  <c r="D18" i="48" s="1"/>
  <c r="G17" i="48"/>
  <c r="G18" i="48" s="1"/>
  <c r="G20" i="48" s="1"/>
  <c r="D14" i="5"/>
  <c r="D15" i="5" s="1"/>
  <c r="H14" i="2"/>
  <c r="H15" i="2" s="1"/>
  <c r="H17" i="2" s="1"/>
  <c r="H18" i="2" s="1"/>
  <c r="H22" i="2" s="1"/>
  <c r="G14" i="2"/>
  <c r="G15" i="2" s="1"/>
  <c r="K12" i="5"/>
  <c r="K12" i="7"/>
  <c r="K12" i="10"/>
  <c r="G11" i="39"/>
  <c r="G12" i="39" s="1"/>
  <c r="E11" i="39"/>
  <c r="E12" i="39" s="1"/>
  <c r="C11" i="39"/>
  <c r="C12" i="39" s="1"/>
  <c r="I11" i="39"/>
  <c r="I12" i="39" s="1"/>
  <c r="I14" i="39" s="1"/>
  <c r="I15" i="39" s="1"/>
  <c r="I18" i="39" s="1"/>
  <c r="I22" i="39" s="1"/>
  <c r="B11" i="39"/>
  <c r="B12" i="39" s="1"/>
  <c r="H11" i="39"/>
  <c r="H12" i="39" s="1"/>
  <c r="C11" i="44"/>
  <c r="C12" i="44" s="1"/>
  <c r="H11" i="44"/>
  <c r="H12" i="44" s="1"/>
  <c r="B11" i="44"/>
  <c r="B12" i="44" s="1"/>
  <c r="I11" i="44"/>
  <c r="I12" i="44" s="1"/>
  <c r="I14" i="44" s="1"/>
  <c r="I15" i="44" s="1"/>
  <c r="I18" i="44" s="1"/>
  <c r="I22" i="44" s="1"/>
  <c r="E11" i="44"/>
  <c r="E12" i="44" s="1"/>
  <c r="K12" i="12"/>
  <c r="K12" i="34"/>
  <c r="D14" i="2"/>
  <c r="D15" i="2" s="1"/>
  <c r="I15" i="2"/>
  <c r="I18" i="2" s="1"/>
  <c r="I22" i="2" s="1"/>
  <c r="C14" i="2"/>
  <c r="C15" i="2" s="1"/>
  <c r="E14" i="2"/>
  <c r="E15" i="2" s="1"/>
  <c r="K12" i="2"/>
  <c r="K12" i="24"/>
  <c r="K12" i="19"/>
  <c r="K12" i="20"/>
  <c r="C11" i="38"/>
  <c r="C12" i="38" s="1"/>
  <c r="B11" i="38"/>
  <c r="B12" i="38" s="1"/>
  <c r="G11" i="38"/>
  <c r="G12" i="38" s="1"/>
  <c r="H11" i="38"/>
  <c r="H12" i="38" s="1"/>
  <c r="I11" i="38"/>
  <c r="I12" i="38" s="1"/>
  <c r="I14" i="38" s="1"/>
  <c r="C14" i="38" s="1"/>
  <c r="E11" i="38"/>
  <c r="E12" i="38" s="1"/>
  <c r="B14" i="12"/>
  <c r="B15" i="12" s="1"/>
  <c r="C14" i="12"/>
  <c r="C15" i="12" s="1"/>
  <c r="D14" i="12"/>
  <c r="D15" i="12" s="1"/>
  <c r="E14" i="12"/>
  <c r="E15" i="12" s="1"/>
  <c r="H14" i="12"/>
  <c r="H15" i="12" s="1"/>
  <c r="G14" i="12"/>
  <c r="G15" i="12" s="1"/>
  <c r="I14" i="32"/>
  <c r="I15" i="32" s="1"/>
  <c r="I18" i="32" s="1"/>
  <c r="I22" i="32" s="1"/>
  <c r="K12" i="32"/>
  <c r="K12" i="9"/>
  <c r="I14" i="4"/>
  <c r="I15" i="4" s="1"/>
  <c r="I18" i="4" s="1"/>
  <c r="I22" i="4" s="1"/>
  <c r="G14" i="7"/>
  <c r="G15" i="7" s="1"/>
  <c r="H14" i="7"/>
  <c r="H15" i="7" s="1"/>
  <c r="C14" i="7"/>
  <c r="C15" i="7" s="1"/>
  <c r="D14" i="7"/>
  <c r="D15" i="7" s="1"/>
  <c r="E14" i="7"/>
  <c r="E15" i="7" s="1"/>
  <c r="B14" i="7"/>
  <c r="B15" i="7" s="1"/>
  <c r="I14" i="27"/>
  <c r="I15" i="27" s="1"/>
  <c r="I18" i="27" s="1"/>
  <c r="I22" i="27" s="1"/>
  <c r="K12" i="23"/>
  <c r="I14" i="19"/>
  <c r="I15" i="19" s="1"/>
  <c r="I18" i="19" s="1"/>
  <c r="I22" i="19" s="1"/>
  <c r="K12" i="41"/>
  <c r="I14" i="35"/>
  <c r="I15" i="35" s="1"/>
  <c r="I18" i="35" s="1"/>
  <c r="I22" i="35" s="1"/>
  <c r="K12" i="31"/>
  <c r="K12" i="27"/>
  <c r="I14" i="37"/>
  <c r="I15" i="37" s="1"/>
  <c r="I18" i="37" s="1"/>
  <c r="I22" i="37" s="1"/>
  <c r="D14" i="10"/>
  <c r="D15" i="10" s="1"/>
  <c r="B14" i="10"/>
  <c r="B15" i="10" s="1"/>
  <c r="G14" i="10"/>
  <c r="G15" i="10" s="1"/>
  <c r="H14" i="10"/>
  <c r="H15" i="10" s="1"/>
  <c r="E14" i="10"/>
  <c r="E15" i="10" s="1"/>
  <c r="C14" i="10"/>
  <c r="C15" i="10" s="1"/>
  <c r="K12" i="36"/>
  <c r="I14" i="17"/>
  <c r="I15" i="17" s="1"/>
  <c r="I18" i="17" s="1"/>
  <c r="I22" i="17" s="1"/>
  <c r="K12" i="6"/>
  <c r="I14" i="25"/>
  <c r="I15" i="25" s="1"/>
  <c r="I18" i="25" s="1"/>
  <c r="I22" i="25" s="1"/>
  <c r="I14" i="20"/>
  <c r="I15" i="20" s="1"/>
  <c r="I18" i="20" s="1"/>
  <c r="I22" i="20" s="1"/>
  <c r="I14" i="21"/>
  <c r="I15" i="21" s="1"/>
  <c r="I18" i="21" s="1"/>
  <c r="I22" i="21" s="1"/>
  <c r="I14" i="18"/>
  <c r="I15" i="18" s="1"/>
  <c r="I18" i="18" s="1"/>
  <c r="I22" i="18" s="1"/>
  <c r="K12" i="18"/>
  <c r="K12" i="30"/>
  <c r="I14" i="30"/>
  <c r="I15" i="30" s="1"/>
  <c r="I18" i="30" s="1"/>
  <c r="I22" i="30" s="1"/>
  <c r="K12" i="28"/>
  <c r="K12" i="40"/>
  <c r="K12" i="46"/>
  <c r="K12" i="15"/>
  <c r="I14" i="15"/>
  <c r="I15" i="15" s="1"/>
  <c r="I18" i="15" s="1"/>
  <c r="I22" i="15" s="1"/>
  <c r="K12" i="37"/>
  <c r="I14" i="11"/>
  <c r="I15" i="11" s="1"/>
  <c r="I18" i="11" s="1"/>
  <c r="I22" i="11" s="1"/>
  <c r="K12" i="13"/>
  <c r="D14" i="14"/>
  <c r="D15" i="14" s="1"/>
  <c r="B14" i="14"/>
  <c r="B15" i="14" s="1"/>
  <c r="E14" i="14"/>
  <c r="E15" i="14" s="1"/>
  <c r="G14" i="14"/>
  <c r="G15" i="14" s="1"/>
  <c r="H14" i="14"/>
  <c r="H15" i="14" s="1"/>
  <c r="C14" i="14"/>
  <c r="C15" i="14" s="1"/>
  <c r="K12" i="29"/>
  <c r="G14" i="34"/>
  <c r="G15" i="34" s="1"/>
  <c r="E14" i="34"/>
  <c r="E15" i="34" s="1"/>
  <c r="C14" i="34"/>
  <c r="C15" i="34" s="1"/>
  <c r="H14" i="34"/>
  <c r="H15" i="34" s="1"/>
  <c r="B14" i="34"/>
  <c r="B15" i="34" s="1"/>
  <c r="D14" i="34"/>
  <c r="D15" i="34" s="1"/>
  <c r="I14" i="9"/>
  <c r="I15" i="9" s="1"/>
  <c r="I18" i="9" s="1"/>
  <c r="I22" i="9" s="1"/>
  <c r="K12" i="14"/>
  <c r="I14" i="28"/>
  <c r="I15" i="28" s="1"/>
  <c r="I18" i="28" s="1"/>
  <c r="I22" i="28" s="1"/>
  <c r="K12" i="4"/>
  <c r="I14" i="24"/>
  <c r="I15" i="24" s="1"/>
  <c r="I18" i="24" s="1"/>
  <c r="I22" i="24" s="1"/>
  <c r="I14" i="23"/>
  <c r="I15" i="23" s="1"/>
  <c r="I18" i="23" s="1"/>
  <c r="I22" i="23" s="1"/>
  <c r="I14" i="22"/>
  <c r="I15" i="22" s="1"/>
  <c r="I18" i="22" s="1"/>
  <c r="I22" i="22" s="1"/>
  <c r="I14" i="41"/>
  <c r="I15" i="41" s="1"/>
  <c r="I18" i="41" s="1"/>
  <c r="I22" i="41" s="1"/>
  <c r="K12" i="1"/>
  <c r="I14" i="1"/>
  <c r="I15" i="1" s="1"/>
  <c r="I18" i="1" s="1"/>
  <c r="I22" i="1" s="1"/>
  <c r="K12" i="35"/>
  <c r="I14" i="31"/>
  <c r="I15" i="31" s="1"/>
  <c r="I18" i="31" s="1"/>
  <c r="I22" i="31" s="1"/>
  <c r="K12" i="8"/>
  <c r="I14" i="8"/>
  <c r="I15" i="8" s="1"/>
  <c r="I18" i="8" s="1"/>
  <c r="I22" i="8" s="1"/>
  <c r="K12" i="11"/>
  <c r="D14" i="45"/>
  <c r="D15" i="45" s="1"/>
  <c r="H14" i="45"/>
  <c r="H15" i="45" s="1"/>
  <c r="G14" i="45"/>
  <c r="G15" i="45" s="1"/>
  <c r="B14" i="45"/>
  <c r="B15" i="45" s="1"/>
  <c r="C14" i="45"/>
  <c r="C15" i="45" s="1"/>
  <c r="E14" i="45"/>
  <c r="E15" i="45" s="1"/>
  <c r="I14" i="36"/>
  <c r="I15" i="36" s="1"/>
  <c r="I18" i="36" s="1"/>
  <c r="I22" i="36" s="1"/>
  <c r="K12" i="17"/>
  <c r="I14" i="6"/>
  <c r="I15" i="6" s="1"/>
  <c r="I18" i="6" s="1"/>
  <c r="I22" i="6" s="1"/>
  <c r="I14" i="29"/>
  <c r="I15" i="29" s="1"/>
  <c r="I18" i="29" s="1"/>
  <c r="I22" i="29" s="1"/>
  <c r="I14" i="40"/>
  <c r="I15" i="40" s="1"/>
  <c r="I18" i="40" s="1"/>
  <c r="I22" i="40" s="1"/>
  <c r="I14" i="46"/>
  <c r="I15" i="46" s="1"/>
  <c r="I18" i="46" s="1"/>
  <c r="I22" i="46" s="1"/>
  <c r="I14" i="13"/>
  <c r="I15" i="13" s="1"/>
  <c r="I18" i="13" s="1"/>
  <c r="I22" i="13" s="1"/>
  <c r="I15" i="12"/>
  <c r="I18" i="12" s="1"/>
  <c r="I22" i="12" s="1"/>
  <c r="I15" i="34"/>
  <c r="I18" i="34" s="1"/>
  <c r="I22" i="34" s="1"/>
  <c r="I15" i="7"/>
  <c r="I18" i="7" s="1"/>
  <c r="I22" i="7" s="1"/>
  <c r="I15" i="10"/>
  <c r="I18" i="10" s="1"/>
  <c r="I22" i="10" s="1"/>
  <c r="I15" i="14"/>
  <c r="I18" i="14" s="1"/>
  <c r="I22" i="14" s="1"/>
  <c r="K12" i="25"/>
  <c r="K12" i="22"/>
  <c r="K12" i="21"/>
  <c r="K18" i="49" l="1"/>
  <c r="G22" i="49"/>
  <c r="B20" i="49"/>
  <c r="C20" i="49"/>
  <c r="C22" i="49" s="1"/>
  <c r="D20" i="49"/>
  <c r="D22" i="49" s="1"/>
  <c r="E20" i="49"/>
  <c r="E22" i="49" s="1"/>
  <c r="G22" i="48"/>
  <c r="D20" i="48"/>
  <c r="D22" i="48" s="1"/>
  <c r="B20" i="48"/>
  <c r="C20" i="48"/>
  <c r="C22" i="48" s="1"/>
  <c r="E20" i="48"/>
  <c r="E22" i="48" s="1"/>
  <c r="K18" i="48"/>
  <c r="D18" i="5"/>
  <c r="K12" i="44"/>
  <c r="K15" i="2"/>
  <c r="B17" i="5"/>
  <c r="B18" i="5" s="1"/>
  <c r="H18" i="5"/>
  <c r="H22" i="5" s="1"/>
  <c r="E17" i="5"/>
  <c r="E18" i="5" s="1"/>
  <c r="C17" i="5"/>
  <c r="C18" i="5" s="1"/>
  <c r="G17" i="5"/>
  <c r="G18" i="5" s="1"/>
  <c r="G20" i="5" s="1"/>
  <c r="B20" i="5" s="1"/>
  <c r="K15" i="5"/>
  <c r="K12" i="39"/>
  <c r="B17" i="2"/>
  <c r="B18" i="2" s="1"/>
  <c r="E17" i="2"/>
  <c r="E18" i="2" s="1"/>
  <c r="D17" i="2"/>
  <c r="D18" i="2" s="1"/>
  <c r="C15" i="38"/>
  <c r="C17" i="2"/>
  <c r="C18" i="2" s="1"/>
  <c r="G17" i="2"/>
  <c r="G18" i="2" s="1"/>
  <c r="G20" i="2" s="1"/>
  <c r="D20" i="2" s="1"/>
  <c r="I15" i="38"/>
  <c r="I18" i="38" s="1"/>
  <c r="I22" i="38" s="1"/>
  <c r="D14" i="38"/>
  <c r="D15" i="38" s="1"/>
  <c r="G14" i="38"/>
  <c r="G15" i="38" s="1"/>
  <c r="B14" i="38"/>
  <c r="B15" i="38" s="1"/>
  <c r="K12" i="38"/>
  <c r="E14" i="38"/>
  <c r="E15" i="38" s="1"/>
  <c r="H14" i="38"/>
  <c r="H15" i="38" s="1"/>
  <c r="H17" i="38" s="1"/>
  <c r="H18" i="38" s="1"/>
  <c r="H22" i="38" s="1"/>
  <c r="H17" i="14"/>
  <c r="H18" i="14" s="1"/>
  <c r="H22" i="14" s="1"/>
  <c r="H17" i="45"/>
  <c r="H18" i="45" s="1"/>
  <c r="H22" i="45" s="1"/>
  <c r="E14" i="13"/>
  <c r="E15" i="13" s="1"/>
  <c r="H14" i="13"/>
  <c r="H15" i="13" s="1"/>
  <c r="B14" i="13"/>
  <c r="B15" i="13" s="1"/>
  <c r="C14" i="13"/>
  <c r="C15" i="13" s="1"/>
  <c r="G14" i="13"/>
  <c r="G15" i="13" s="1"/>
  <c r="D14" i="13"/>
  <c r="D15" i="13" s="1"/>
  <c r="D14" i="46"/>
  <c r="D15" i="46" s="1"/>
  <c r="C14" i="46"/>
  <c r="C15" i="46" s="1"/>
  <c r="H14" i="46"/>
  <c r="H15" i="46" s="1"/>
  <c r="B14" i="46"/>
  <c r="B15" i="46" s="1"/>
  <c r="G14" i="46"/>
  <c r="G15" i="46" s="1"/>
  <c r="E14" i="46"/>
  <c r="E15" i="46" s="1"/>
  <c r="B14" i="40"/>
  <c r="B15" i="40" s="1"/>
  <c r="D14" i="40"/>
  <c r="D15" i="40" s="1"/>
  <c r="G14" i="40"/>
  <c r="G15" i="40" s="1"/>
  <c r="C14" i="40"/>
  <c r="C15" i="40" s="1"/>
  <c r="E14" i="40"/>
  <c r="E15" i="40" s="1"/>
  <c r="H14" i="40"/>
  <c r="H15" i="40" s="1"/>
  <c r="B14" i="29"/>
  <c r="B15" i="29" s="1"/>
  <c r="D14" i="29"/>
  <c r="D15" i="29" s="1"/>
  <c r="H14" i="29"/>
  <c r="H15" i="29" s="1"/>
  <c r="C14" i="29"/>
  <c r="C15" i="29" s="1"/>
  <c r="G14" i="29"/>
  <c r="G15" i="29" s="1"/>
  <c r="E14" i="29"/>
  <c r="E15" i="29" s="1"/>
  <c r="D14" i="6"/>
  <c r="D15" i="6" s="1"/>
  <c r="E14" i="6"/>
  <c r="E15" i="6" s="1"/>
  <c r="G14" i="6"/>
  <c r="G15" i="6" s="1"/>
  <c r="B14" i="6"/>
  <c r="B15" i="6" s="1"/>
  <c r="C14" i="6"/>
  <c r="C15" i="6" s="1"/>
  <c r="H14" i="6"/>
  <c r="H15" i="6" s="1"/>
  <c r="H14" i="8"/>
  <c r="H15" i="8" s="1"/>
  <c r="B14" i="8"/>
  <c r="B15" i="8" s="1"/>
  <c r="C14" i="8"/>
  <c r="C15" i="8" s="1"/>
  <c r="D14" i="8"/>
  <c r="D15" i="8" s="1"/>
  <c r="E14" i="8"/>
  <c r="E15" i="8" s="1"/>
  <c r="G14" i="8"/>
  <c r="G15" i="8" s="1"/>
  <c r="G14" i="41"/>
  <c r="G15" i="41" s="1"/>
  <c r="B14" i="41"/>
  <c r="B15" i="41" s="1"/>
  <c r="D14" i="41"/>
  <c r="D15" i="41" s="1"/>
  <c r="H14" i="41"/>
  <c r="H15" i="41" s="1"/>
  <c r="C14" i="41"/>
  <c r="C15" i="41" s="1"/>
  <c r="E14" i="41"/>
  <c r="E15" i="41" s="1"/>
  <c r="B14" i="24"/>
  <c r="B15" i="24" s="1"/>
  <c r="C14" i="24"/>
  <c r="C15" i="24" s="1"/>
  <c r="D14" i="24"/>
  <c r="D15" i="24" s="1"/>
  <c r="E14" i="24"/>
  <c r="E15" i="24" s="1"/>
  <c r="G14" i="24"/>
  <c r="G15" i="24" s="1"/>
  <c r="H14" i="24"/>
  <c r="H15" i="24" s="1"/>
  <c r="H17" i="34"/>
  <c r="H18" i="34" s="1"/>
  <c r="H22" i="34" s="1"/>
  <c r="E14" i="11"/>
  <c r="E15" i="11" s="1"/>
  <c r="H14" i="11"/>
  <c r="H15" i="11" s="1"/>
  <c r="C14" i="11"/>
  <c r="C15" i="11" s="1"/>
  <c r="D14" i="11"/>
  <c r="D15" i="11" s="1"/>
  <c r="B14" i="11"/>
  <c r="B15" i="11" s="1"/>
  <c r="G14" i="11"/>
  <c r="G15" i="11" s="1"/>
  <c r="C14" i="15"/>
  <c r="C15" i="15" s="1"/>
  <c r="E14" i="15"/>
  <c r="E15" i="15" s="1"/>
  <c r="B14" i="15"/>
  <c r="B15" i="15" s="1"/>
  <c r="H14" i="15"/>
  <c r="H15" i="15" s="1"/>
  <c r="D14" i="15"/>
  <c r="D15" i="15" s="1"/>
  <c r="G14" i="15"/>
  <c r="G15" i="15" s="1"/>
  <c r="B14" i="39"/>
  <c r="B15" i="39" s="1"/>
  <c r="D14" i="39"/>
  <c r="D15" i="39" s="1"/>
  <c r="G14" i="39"/>
  <c r="G15" i="39" s="1"/>
  <c r="C14" i="39"/>
  <c r="C15" i="39" s="1"/>
  <c r="E14" i="39"/>
  <c r="E15" i="39" s="1"/>
  <c r="H14" i="39"/>
  <c r="H15" i="39" s="1"/>
  <c r="G14" i="20"/>
  <c r="G15" i="20" s="1"/>
  <c r="D14" i="20"/>
  <c r="D15" i="20" s="1"/>
  <c r="B14" i="20"/>
  <c r="B15" i="20" s="1"/>
  <c r="E14" i="20"/>
  <c r="E15" i="20" s="1"/>
  <c r="C14" i="20"/>
  <c r="C15" i="20" s="1"/>
  <c r="H14" i="20"/>
  <c r="H15" i="20" s="1"/>
  <c r="E14" i="25"/>
  <c r="E15" i="25" s="1"/>
  <c r="C14" i="25"/>
  <c r="C15" i="25" s="1"/>
  <c r="H14" i="25"/>
  <c r="H15" i="25" s="1"/>
  <c r="D14" i="25"/>
  <c r="D15" i="25" s="1"/>
  <c r="B14" i="25"/>
  <c r="B15" i="25" s="1"/>
  <c r="G14" i="25"/>
  <c r="G15" i="25" s="1"/>
  <c r="E14" i="44"/>
  <c r="E15" i="44" s="1"/>
  <c r="C14" i="44"/>
  <c r="C15" i="44" s="1"/>
  <c r="B14" i="44"/>
  <c r="B15" i="44" s="1"/>
  <c r="G14" i="44"/>
  <c r="G15" i="44" s="1"/>
  <c r="D14" i="44"/>
  <c r="D15" i="44" s="1"/>
  <c r="H14" i="44"/>
  <c r="H15" i="44" s="1"/>
  <c r="D14" i="17"/>
  <c r="D15" i="17" s="1"/>
  <c r="B14" i="17"/>
  <c r="B15" i="17" s="1"/>
  <c r="H14" i="17"/>
  <c r="H15" i="17" s="1"/>
  <c r="E14" i="17"/>
  <c r="E15" i="17" s="1"/>
  <c r="G14" i="17"/>
  <c r="G15" i="17" s="1"/>
  <c r="C14" i="17"/>
  <c r="C15" i="17" s="1"/>
  <c r="D14" i="35"/>
  <c r="D15" i="35" s="1"/>
  <c r="E14" i="35"/>
  <c r="E15" i="35" s="1"/>
  <c r="B14" i="35"/>
  <c r="B15" i="35" s="1"/>
  <c r="H14" i="35"/>
  <c r="H15" i="35" s="1"/>
  <c r="C14" i="35"/>
  <c r="C15" i="35" s="1"/>
  <c r="G14" i="35"/>
  <c r="G15" i="35" s="1"/>
  <c r="D14" i="27"/>
  <c r="D15" i="27" s="1"/>
  <c r="H14" i="27"/>
  <c r="H15" i="27" s="1"/>
  <c r="G14" i="27"/>
  <c r="G15" i="27" s="1"/>
  <c r="B14" i="27"/>
  <c r="B15" i="27" s="1"/>
  <c r="C14" i="27"/>
  <c r="C15" i="27" s="1"/>
  <c r="E14" i="27"/>
  <c r="E15" i="27" s="1"/>
  <c r="G14" i="4"/>
  <c r="G15" i="4" s="1"/>
  <c r="D14" i="4"/>
  <c r="D15" i="4" s="1"/>
  <c r="C14" i="4"/>
  <c r="C15" i="4" s="1"/>
  <c r="E14" i="4"/>
  <c r="E15" i="4" s="1"/>
  <c r="B14" i="4"/>
  <c r="B15" i="4" s="1"/>
  <c r="H14" i="4"/>
  <c r="H15" i="4" s="1"/>
  <c r="G14" i="32"/>
  <c r="G15" i="32" s="1"/>
  <c r="E14" i="32"/>
  <c r="E15" i="32" s="1"/>
  <c r="B14" i="32"/>
  <c r="B15" i="32" s="1"/>
  <c r="H14" i="32"/>
  <c r="H15" i="32" s="1"/>
  <c r="D14" i="32"/>
  <c r="D15" i="32" s="1"/>
  <c r="C14" i="32"/>
  <c r="C15" i="32" s="1"/>
  <c r="H17" i="12"/>
  <c r="H18" i="12" s="1"/>
  <c r="H22" i="12" s="1"/>
  <c r="K15" i="12"/>
  <c r="G14" i="36"/>
  <c r="G15" i="36" s="1"/>
  <c r="B14" i="36"/>
  <c r="B15" i="36" s="1"/>
  <c r="C14" i="36"/>
  <c r="C15" i="36" s="1"/>
  <c r="D14" i="36"/>
  <c r="D15" i="36" s="1"/>
  <c r="E14" i="36"/>
  <c r="E15" i="36" s="1"/>
  <c r="H14" i="36"/>
  <c r="H15" i="36" s="1"/>
  <c r="K15" i="45"/>
  <c r="G14" i="31"/>
  <c r="G15" i="31" s="1"/>
  <c r="E14" i="31"/>
  <c r="E15" i="31" s="1"/>
  <c r="B14" i="31"/>
  <c r="B15" i="31" s="1"/>
  <c r="H14" i="31"/>
  <c r="H15" i="31" s="1"/>
  <c r="C14" i="31"/>
  <c r="C15" i="31" s="1"/>
  <c r="D14" i="31"/>
  <c r="D15" i="31" s="1"/>
  <c r="C14" i="1"/>
  <c r="C15" i="1" s="1"/>
  <c r="E14" i="1"/>
  <c r="E15" i="1" s="1"/>
  <c r="H14" i="1"/>
  <c r="H15" i="1" s="1"/>
  <c r="D14" i="1"/>
  <c r="D15" i="1" s="1"/>
  <c r="G14" i="1"/>
  <c r="G15" i="1" s="1"/>
  <c r="B14" i="1"/>
  <c r="B15" i="1" s="1"/>
  <c r="B14" i="22"/>
  <c r="B15" i="22" s="1"/>
  <c r="H14" i="22"/>
  <c r="H15" i="22" s="1"/>
  <c r="D14" i="22"/>
  <c r="D15" i="22" s="1"/>
  <c r="C14" i="22"/>
  <c r="C15" i="22" s="1"/>
  <c r="G14" i="22"/>
  <c r="G15" i="22" s="1"/>
  <c r="E14" i="22"/>
  <c r="E15" i="22" s="1"/>
  <c r="G14" i="23"/>
  <c r="G15" i="23" s="1"/>
  <c r="D14" i="23"/>
  <c r="D15" i="23" s="1"/>
  <c r="H14" i="23"/>
  <c r="H15" i="23" s="1"/>
  <c r="B14" i="23"/>
  <c r="B15" i="23" s="1"/>
  <c r="E14" i="23"/>
  <c r="E15" i="23" s="1"/>
  <c r="C14" i="23"/>
  <c r="C15" i="23" s="1"/>
  <c r="D14" i="28"/>
  <c r="D15" i="28" s="1"/>
  <c r="C14" i="28"/>
  <c r="C15" i="28" s="1"/>
  <c r="E14" i="28"/>
  <c r="E15" i="28" s="1"/>
  <c r="G14" i="28"/>
  <c r="G15" i="28" s="1"/>
  <c r="B14" i="28"/>
  <c r="B15" i="28" s="1"/>
  <c r="H14" i="28"/>
  <c r="H15" i="28" s="1"/>
  <c r="K15" i="14"/>
  <c r="B14" i="9"/>
  <c r="B15" i="9" s="1"/>
  <c r="C14" i="9"/>
  <c r="C15" i="9" s="1"/>
  <c r="H14" i="9"/>
  <c r="H15" i="9" s="1"/>
  <c r="G14" i="9"/>
  <c r="G15" i="9" s="1"/>
  <c r="E14" i="9"/>
  <c r="E15" i="9" s="1"/>
  <c r="D14" i="9"/>
  <c r="D15" i="9" s="1"/>
  <c r="K15" i="34"/>
  <c r="B14" i="30"/>
  <c r="B15" i="30" s="1"/>
  <c r="H14" i="30"/>
  <c r="H15" i="30" s="1"/>
  <c r="D14" i="30"/>
  <c r="D15" i="30" s="1"/>
  <c r="C14" i="30"/>
  <c r="C15" i="30" s="1"/>
  <c r="E14" i="30"/>
  <c r="E15" i="30" s="1"/>
  <c r="G14" i="30"/>
  <c r="G15" i="30" s="1"/>
  <c r="H14" i="18"/>
  <c r="H15" i="18" s="1"/>
  <c r="C14" i="18"/>
  <c r="C15" i="18" s="1"/>
  <c r="E14" i="18"/>
  <c r="E15" i="18" s="1"/>
  <c r="G14" i="18"/>
  <c r="G15" i="18" s="1"/>
  <c r="B14" i="18"/>
  <c r="B15" i="18" s="1"/>
  <c r="D14" i="18"/>
  <c r="D15" i="18" s="1"/>
  <c r="D14" i="21"/>
  <c r="D15" i="21" s="1"/>
  <c r="C14" i="21"/>
  <c r="C15" i="21" s="1"/>
  <c r="H14" i="21"/>
  <c r="H15" i="21" s="1"/>
  <c r="B14" i="21"/>
  <c r="B15" i="21" s="1"/>
  <c r="E14" i="21"/>
  <c r="E15" i="21" s="1"/>
  <c r="G14" i="21"/>
  <c r="G15" i="21" s="1"/>
  <c r="H17" i="10"/>
  <c r="H18" i="10" s="1"/>
  <c r="H22" i="10" s="1"/>
  <c r="K15" i="10"/>
  <c r="E14" i="37"/>
  <c r="E15" i="37" s="1"/>
  <c r="C14" i="37"/>
  <c r="C15" i="37" s="1"/>
  <c r="H14" i="37"/>
  <c r="H15" i="37" s="1"/>
  <c r="D14" i="37"/>
  <c r="D15" i="37" s="1"/>
  <c r="B14" i="37"/>
  <c r="B15" i="37" s="1"/>
  <c r="G14" i="37"/>
  <c r="G15" i="37" s="1"/>
  <c r="B14" i="19"/>
  <c r="B15" i="19" s="1"/>
  <c r="C14" i="19"/>
  <c r="C15" i="19" s="1"/>
  <c r="G14" i="19"/>
  <c r="G15" i="19" s="1"/>
  <c r="D14" i="19"/>
  <c r="D15" i="19" s="1"/>
  <c r="E14" i="19"/>
  <c r="E15" i="19" s="1"/>
  <c r="H14" i="19"/>
  <c r="H15" i="19" s="1"/>
  <c r="K15" i="7"/>
  <c r="H17" i="7"/>
  <c r="H18" i="7" s="1"/>
  <c r="H22" i="7" s="1"/>
  <c r="B22" i="49" l="1"/>
  <c r="B28" i="49" s="1"/>
  <c r="K20" i="49"/>
  <c r="K22" i="49" s="1"/>
  <c r="B22" i="48"/>
  <c r="B28" i="48" s="1"/>
  <c r="K20" i="48"/>
  <c r="K22" i="48" s="1"/>
  <c r="G22" i="5"/>
  <c r="B20" i="2"/>
  <c r="B22" i="2" s="1"/>
  <c r="B28" i="2" s="1"/>
  <c r="D20" i="5"/>
  <c r="D22" i="5" s="1"/>
  <c r="K18" i="5"/>
  <c r="C20" i="5"/>
  <c r="C22" i="5" s="1"/>
  <c r="E20" i="5"/>
  <c r="E22" i="5" s="1"/>
  <c r="D22" i="2"/>
  <c r="K18" i="2"/>
  <c r="G22" i="2"/>
  <c r="C20" i="2"/>
  <c r="C22" i="2" s="1"/>
  <c r="E20" i="2"/>
  <c r="E22" i="2" s="1"/>
  <c r="K15" i="38"/>
  <c r="K15" i="37"/>
  <c r="H17" i="37"/>
  <c r="H18" i="37" s="1"/>
  <c r="H22" i="37" s="1"/>
  <c r="B17" i="7"/>
  <c r="B18" i="7" s="1"/>
  <c r="C17" i="7"/>
  <c r="C18" i="7" s="1"/>
  <c r="D17" i="7"/>
  <c r="D18" i="7" s="1"/>
  <c r="E17" i="7"/>
  <c r="E18" i="7" s="1"/>
  <c r="G17" i="7"/>
  <c r="G18" i="7" s="1"/>
  <c r="G20" i="7" s="1"/>
  <c r="H17" i="19"/>
  <c r="H18" i="19" s="1"/>
  <c r="H22" i="19" s="1"/>
  <c r="K15" i="21"/>
  <c r="H17" i="30"/>
  <c r="H18" i="30" s="1"/>
  <c r="H22" i="30" s="1"/>
  <c r="H17" i="28"/>
  <c r="H18" i="28" s="1"/>
  <c r="H22" i="28" s="1"/>
  <c r="K15" i="23"/>
  <c r="H17" i="22"/>
  <c r="K15" i="1"/>
  <c r="H17" i="31"/>
  <c r="H17" i="36"/>
  <c r="H18" i="36" s="1"/>
  <c r="H22" i="36" s="1"/>
  <c r="K15" i="36"/>
  <c r="B22" i="5"/>
  <c r="B28" i="5" s="1"/>
  <c r="D17" i="12"/>
  <c r="D18" i="12" s="1"/>
  <c r="E17" i="12"/>
  <c r="E18" i="12" s="1"/>
  <c r="B17" i="12"/>
  <c r="B18" i="12" s="1"/>
  <c r="G17" i="12"/>
  <c r="G18" i="12" s="1"/>
  <c r="G20" i="12" s="1"/>
  <c r="C17" i="12"/>
  <c r="C18" i="12" s="1"/>
  <c r="H17" i="32"/>
  <c r="H17" i="4"/>
  <c r="H18" i="4" s="1"/>
  <c r="H22" i="4" s="1"/>
  <c r="K15" i="27"/>
  <c r="H17" i="27"/>
  <c r="H18" i="27" s="1"/>
  <c r="H22" i="27" s="1"/>
  <c r="H17" i="35"/>
  <c r="K15" i="17"/>
  <c r="H17" i="44"/>
  <c r="H17" i="20"/>
  <c r="H17" i="39"/>
  <c r="H17" i="15"/>
  <c r="H18" i="15" s="1"/>
  <c r="H22" i="15" s="1"/>
  <c r="H17" i="11"/>
  <c r="H18" i="11" s="1"/>
  <c r="H22" i="11" s="1"/>
  <c r="K15" i="24"/>
  <c r="H17" i="8"/>
  <c r="H18" i="8" s="1"/>
  <c r="H22" i="8" s="1"/>
  <c r="H17" i="29"/>
  <c r="K15" i="29"/>
  <c r="K15" i="40"/>
  <c r="H17" i="46"/>
  <c r="H18" i="46" s="1"/>
  <c r="H22" i="46" s="1"/>
  <c r="K15" i="13"/>
  <c r="C17" i="14"/>
  <c r="C18" i="14" s="1"/>
  <c r="B17" i="14"/>
  <c r="B18" i="14" s="1"/>
  <c r="G17" i="14"/>
  <c r="G18" i="14" s="1"/>
  <c r="G20" i="14" s="1"/>
  <c r="D17" i="14"/>
  <c r="D18" i="14" s="1"/>
  <c r="E17" i="14"/>
  <c r="E18" i="14" s="1"/>
  <c r="K15" i="19"/>
  <c r="B17" i="10"/>
  <c r="B18" i="10" s="1"/>
  <c r="D17" i="10"/>
  <c r="D18" i="10" s="1"/>
  <c r="C17" i="10"/>
  <c r="C18" i="10" s="1"/>
  <c r="E17" i="10"/>
  <c r="E18" i="10" s="1"/>
  <c r="G17" i="10"/>
  <c r="G18" i="10" s="1"/>
  <c r="G20" i="10" s="1"/>
  <c r="H17" i="21"/>
  <c r="H18" i="21" s="1"/>
  <c r="H22" i="21" s="1"/>
  <c r="K15" i="18"/>
  <c r="H17" i="18"/>
  <c r="K15" i="30"/>
  <c r="H17" i="9"/>
  <c r="K15" i="9"/>
  <c r="K15" i="28"/>
  <c r="H17" i="23"/>
  <c r="H18" i="23" s="1"/>
  <c r="H22" i="23" s="1"/>
  <c r="K15" i="22"/>
  <c r="H17" i="1"/>
  <c r="H18" i="1" s="1"/>
  <c r="H22" i="1" s="1"/>
  <c r="K15" i="31"/>
  <c r="K15" i="32"/>
  <c r="K15" i="4"/>
  <c r="D17" i="38"/>
  <c r="D18" i="38" s="1"/>
  <c r="B17" i="38"/>
  <c r="B18" i="38" s="1"/>
  <c r="C17" i="38"/>
  <c r="C18" i="38" s="1"/>
  <c r="E17" i="38"/>
  <c r="E18" i="38" s="1"/>
  <c r="G17" i="38"/>
  <c r="G18" i="38" s="1"/>
  <c r="G20" i="38" s="1"/>
  <c r="K15" i="35"/>
  <c r="H17" i="17"/>
  <c r="H18" i="17" s="1"/>
  <c r="H22" i="17" s="1"/>
  <c r="K15" i="44"/>
  <c r="K15" i="25"/>
  <c r="H17" i="25"/>
  <c r="H18" i="25" s="1"/>
  <c r="H22" i="25" s="1"/>
  <c r="K15" i="20"/>
  <c r="K15" i="39"/>
  <c r="K15" i="15"/>
  <c r="K15" i="11"/>
  <c r="D17" i="34"/>
  <c r="D18" i="34" s="1"/>
  <c r="E17" i="34"/>
  <c r="E18" i="34" s="1"/>
  <c r="B17" i="34"/>
  <c r="B18" i="34" s="1"/>
  <c r="G17" i="34"/>
  <c r="G18" i="34" s="1"/>
  <c r="G20" i="34" s="1"/>
  <c r="C17" i="34"/>
  <c r="C18" i="34" s="1"/>
  <c r="H17" i="24"/>
  <c r="H18" i="24" s="1"/>
  <c r="H22" i="24" s="1"/>
  <c r="H17" i="41"/>
  <c r="K15" i="41"/>
  <c r="K15" i="8"/>
  <c r="H17" i="6"/>
  <c r="H18" i="6" s="1"/>
  <c r="H22" i="6" s="1"/>
  <c r="K15" i="6"/>
  <c r="H17" i="40"/>
  <c r="H18" i="40" s="1"/>
  <c r="H22" i="40" s="1"/>
  <c r="K15" i="46"/>
  <c r="H17" i="13"/>
  <c r="C17" i="45"/>
  <c r="C18" i="45" s="1"/>
  <c r="G17" i="45"/>
  <c r="G18" i="45" s="1"/>
  <c r="G20" i="45" s="1"/>
  <c r="B17" i="45"/>
  <c r="B18" i="45" s="1"/>
  <c r="E17" i="45"/>
  <c r="E18" i="45" s="1"/>
  <c r="D17" i="45"/>
  <c r="D18" i="45" s="1"/>
  <c r="B30" i="49" l="1"/>
  <c r="D15" i="47" s="1"/>
  <c r="C15" i="47"/>
  <c r="B30" i="48"/>
  <c r="D7" i="47" s="1"/>
  <c r="C7" i="47"/>
  <c r="K20" i="5"/>
  <c r="K22" i="5" s="1"/>
  <c r="K20" i="2"/>
  <c r="K22" i="2" s="1"/>
  <c r="C20" i="45"/>
  <c r="C22" i="45" s="1"/>
  <c r="D20" i="45"/>
  <c r="D22" i="45" s="1"/>
  <c r="E20" i="45"/>
  <c r="E22" i="45" s="1"/>
  <c r="B20" i="45"/>
  <c r="G22" i="45"/>
  <c r="C17" i="41"/>
  <c r="C18" i="41" s="1"/>
  <c r="D17" i="41"/>
  <c r="D18" i="41" s="1"/>
  <c r="E17" i="41"/>
  <c r="E18" i="41" s="1"/>
  <c r="B17" i="41"/>
  <c r="B18" i="41" s="1"/>
  <c r="G17" i="41"/>
  <c r="G18" i="41" s="1"/>
  <c r="G20" i="41" s="1"/>
  <c r="B17" i="9"/>
  <c r="B18" i="9" s="1"/>
  <c r="C17" i="9"/>
  <c r="C18" i="9" s="1"/>
  <c r="E17" i="9"/>
  <c r="E18" i="9" s="1"/>
  <c r="D17" i="9"/>
  <c r="D18" i="9" s="1"/>
  <c r="G17" i="9"/>
  <c r="G18" i="9" s="1"/>
  <c r="G20" i="9" s="1"/>
  <c r="C17" i="18"/>
  <c r="C18" i="18" s="1"/>
  <c r="E17" i="18"/>
  <c r="E18" i="18" s="1"/>
  <c r="B17" i="18"/>
  <c r="B18" i="18" s="1"/>
  <c r="D17" i="18"/>
  <c r="D18" i="18" s="1"/>
  <c r="G17" i="18"/>
  <c r="G18" i="18" s="1"/>
  <c r="G20" i="18" s="1"/>
  <c r="C20" i="10"/>
  <c r="C22" i="10" s="1"/>
  <c r="E20" i="10"/>
  <c r="E22" i="10" s="1"/>
  <c r="G22" i="10"/>
  <c r="D20" i="10"/>
  <c r="D22" i="10" s="1"/>
  <c r="B20" i="10"/>
  <c r="E20" i="14"/>
  <c r="E22" i="14" s="1"/>
  <c r="G22" i="14"/>
  <c r="C20" i="14"/>
  <c r="C22" i="14" s="1"/>
  <c r="B20" i="14"/>
  <c r="D20" i="14"/>
  <c r="D22" i="14" s="1"/>
  <c r="D17" i="29"/>
  <c r="D18" i="29" s="1"/>
  <c r="C17" i="29"/>
  <c r="C18" i="29" s="1"/>
  <c r="G17" i="29"/>
  <c r="G18" i="29" s="1"/>
  <c r="G20" i="29" s="1"/>
  <c r="E17" i="29"/>
  <c r="E18" i="29" s="1"/>
  <c r="B17" i="29"/>
  <c r="B18" i="29" s="1"/>
  <c r="B30" i="2"/>
  <c r="D46" i="47" s="1"/>
  <c r="C46" i="47"/>
  <c r="C17" i="39"/>
  <c r="C18" i="39" s="1"/>
  <c r="E17" i="39"/>
  <c r="E18" i="39" s="1"/>
  <c r="G17" i="39"/>
  <c r="G18" i="39" s="1"/>
  <c r="G20" i="39" s="1"/>
  <c r="D17" i="39"/>
  <c r="D18" i="39" s="1"/>
  <c r="B17" i="39"/>
  <c r="B18" i="39" s="1"/>
  <c r="B17" i="20"/>
  <c r="B18" i="20" s="1"/>
  <c r="D17" i="20"/>
  <c r="D18" i="20" s="1"/>
  <c r="E17" i="20"/>
  <c r="E18" i="20" s="1"/>
  <c r="C17" i="20"/>
  <c r="C18" i="20" s="1"/>
  <c r="G17" i="20"/>
  <c r="G18" i="20" s="1"/>
  <c r="G20" i="20" s="1"/>
  <c r="E17" i="44"/>
  <c r="E18" i="44" s="1"/>
  <c r="C17" i="44"/>
  <c r="C18" i="44" s="1"/>
  <c r="G17" i="44"/>
  <c r="G18" i="44" s="1"/>
  <c r="G20" i="44" s="1"/>
  <c r="B17" i="44"/>
  <c r="B18" i="44" s="1"/>
  <c r="D17" i="44"/>
  <c r="D18" i="44" s="1"/>
  <c r="C17" i="35"/>
  <c r="C18" i="35" s="1"/>
  <c r="D17" i="35"/>
  <c r="D18" i="35" s="1"/>
  <c r="B17" i="35"/>
  <c r="B18" i="35" s="1"/>
  <c r="G17" i="35"/>
  <c r="G18" i="35" s="1"/>
  <c r="G20" i="35" s="1"/>
  <c r="E17" i="35"/>
  <c r="E18" i="35" s="1"/>
  <c r="B17" i="32"/>
  <c r="B18" i="32" s="1"/>
  <c r="E17" i="32"/>
  <c r="E18" i="32" s="1"/>
  <c r="G17" i="32"/>
  <c r="G18" i="32" s="1"/>
  <c r="G20" i="32" s="1"/>
  <c r="D17" i="32"/>
  <c r="D18" i="32" s="1"/>
  <c r="C17" i="32"/>
  <c r="C18" i="32" s="1"/>
  <c r="D20" i="12"/>
  <c r="D22" i="12" s="1"/>
  <c r="B20" i="12"/>
  <c r="C20" i="12"/>
  <c r="C22" i="12" s="1"/>
  <c r="E20" i="12"/>
  <c r="E22" i="12" s="1"/>
  <c r="G22" i="12"/>
  <c r="B30" i="5"/>
  <c r="D45" i="47" s="1"/>
  <c r="C45" i="47"/>
  <c r="G17" i="31"/>
  <c r="G18" i="31" s="1"/>
  <c r="G20" i="31" s="1"/>
  <c r="C17" i="31"/>
  <c r="C18" i="31" s="1"/>
  <c r="D17" i="31"/>
  <c r="D18" i="31" s="1"/>
  <c r="E17" i="31"/>
  <c r="E18" i="31" s="1"/>
  <c r="B17" i="31"/>
  <c r="B18" i="31" s="1"/>
  <c r="D17" i="22"/>
  <c r="D18" i="22" s="1"/>
  <c r="C17" i="22"/>
  <c r="C18" i="22" s="1"/>
  <c r="G17" i="22"/>
  <c r="G18" i="22" s="1"/>
  <c r="G20" i="22" s="1"/>
  <c r="B17" i="22"/>
  <c r="B18" i="22" s="1"/>
  <c r="E17" i="22"/>
  <c r="E18" i="22" s="1"/>
  <c r="D20" i="7"/>
  <c r="D22" i="7" s="1"/>
  <c r="C20" i="7"/>
  <c r="C22" i="7" s="1"/>
  <c r="E20" i="7"/>
  <c r="E22" i="7" s="1"/>
  <c r="G22" i="7"/>
  <c r="B20" i="7"/>
  <c r="K18" i="34"/>
  <c r="K18" i="38"/>
  <c r="K18" i="10"/>
  <c r="K18" i="7"/>
  <c r="D17" i="13"/>
  <c r="D18" i="13" s="1"/>
  <c r="G17" i="13"/>
  <c r="G18" i="13" s="1"/>
  <c r="G20" i="13" s="1"/>
  <c r="B17" i="13"/>
  <c r="B18" i="13" s="1"/>
  <c r="C17" i="13"/>
  <c r="C18" i="13" s="1"/>
  <c r="E17" i="13"/>
  <c r="E18" i="13" s="1"/>
  <c r="D17" i="40"/>
  <c r="D18" i="40" s="1"/>
  <c r="B17" i="40"/>
  <c r="B18" i="40" s="1"/>
  <c r="C17" i="40"/>
  <c r="C18" i="40" s="1"/>
  <c r="E17" i="40"/>
  <c r="E18" i="40" s="1"/>
  <c r="G17" i="40"/>
  <c r="G18" i="40" s="1"/>
  <c r="G20" i="40" s="1"/>
  <c r="B17" i="6"/>
  <c r="B18" i="6" s="1"/>
  <c r="E17" i="6"/>
  <c r="E18" i="6" s="1"/>
  <c r="G17" i="6"/>
  <c r="G18" i="6" s="1"/>
  <c r="G20" i="6" s="1"/>
  <c r="D17" i="6"/>
  <c r="D18" i="6" s="1"/>
  <c r="C17" i="6"/>
  <c r="C18" i="6" s="1"/>
  <c r="B17" i="24"/>
  <c r="B18" i="24" s="1"/>
  <c r="E17" i="24"/>
  <c r="E18" i="24" s="1"/>
  <c r="G17" i="24"/>
  <c r="G18" i="24" s="1"/>
  <c r="G20" i="24" s="1"/>
  <c r="C17" i="24"/>
  <c r="C18" i="24" s="1"/>
  <c r="D17" i="24"/>
  <c r="D18" i="24" s="1"/>
  <c r="C20" i="34"/>
  <c r="C22" i="34" s="1"/>
  <c r="D20" i="34"/>
  <c r="D22" i="34" s="1"/>
  <c r="E20" i="34"/>
  <c r="E22" i="34" s="1"/>
  <c r="B20" i="34"/>
  <c r="G22" i="34"/>
  <c r="D17" i="25"/>
  <c r="D18" i="25" s="1"/>
  <c r="B17" i="25"/>
  <c r="B18" i="25" s="1"/>
  <c r="E17" i="25"/>
  <c r="E18" i="25" s="1"/>
  <c r="C17" i="25"/>
  <c r="C18" i="25" s="1"/>
  <c r="G17" i="25"/>
  <c r="G18" i="25" s="1"/>
  <c r="G20" i="25" s="1"/>
  <c r="B17" i="17"/>
  <c r="B18" i="17" s="1"/>
  <c r="D17" i="17"/>
  <c r="D18" i="17" s="1"/>
  <c r="G17" i="17"/>
  <c r="G18" i="17" s="1"/>
  <c r="G20" i="17" s="1"/>
  <c r="C17" i="17"/>
  <c r="C18" i="17" s="1"/>
  <c r="E17" i="17"/>
  <c r="E18" i="17" s="1"/>
  <c r="E20" i="38"/>
  <c r="E22" i="38" s="1"/>
  <c r="C20" i="38"/>
  <c r="C22" i="38" s="1"/>
  <c r="D20" i="38"/>
  <c r="D22" i="38" s="1"/>
  <c r="G22" i="38"/>
  <c r="B20" i="38"/>
  <c r="C17" i="1"/>
  <c r="C18" i="1" s="1"/>
  <c r="E17" i="1"/>
  <c r="E18" i="1" s="1"/>
  <c r="B17" i="1"/>
  <c r="B18" i="1" s="1"/>
  <c r="D17" i="1"/>
  <c r="D18" i="1" s="1"/>
  <c r="G17" i="1"/>
  <c r="G18" i="1" s="1"/>
  <c r="G20" i="1" s="1"/>
  <c r="E17" i="23"/>
  <c r="E18" i="23" s="1"/>
  <c r="D17" i="23"/>
  <c r="D18" i="23" s="1"/>
  <c r="B17" i="23"/>
  <c r="B18" i="23" s="1"/>
  <c r="C17" i="23"/>
  <c r="C18" i="23" s="1"/>
  <c r="G17" i="23"/>
  <c r="G18" i="23" s="1"/>
  <c r="G20" i="23" s="1"/>
  <c r="G17" i="21"/>
  <c r="G18" i="21" s="1"/>
  <c r="G20" i="21" s="1"/>
  <c r="C17" i="21"/>
  <c r="C18" i="21" s="1"/>
  <c r="E17" i="21"/>
  <c r="E18" i="21" s="1"/>
  <c r="D17" i="21"/>
  <c r="D18" i="21" s="1"/>
  <c r="B17" i="21"/>
  <c r="B18" i="21" s="1"/>
  <c r="C17" i="46"/>
  <c r="C18" i="46" s="1"/>
  <c r="B17" i="46"/>
  <c r="B18" i="46" s="1"/>
  <c r="G17" i="46"/>
  <c r="G18" i="46" s="1"/>
  <c r="G20" i="46" s="1"/>
  <c r="E17" i="46"/>
  <c r="E18" i="46" s="1"/>
  <c r="D17" i="46"/>
  <c r="D18" i="46" s="1"/>
  <c r="D17" i="8"/>
  <c r="D18" i="8" s="1"/>
  <c r="C17" i="8"/>
  <c r="C18" i="8" s="1"/>
  <c r="B17" i="8"/>
  <c r="B18" i="8" s="1"/>
  <c r="E17" i="8"/>
  <c r="E18" i="8" s="1"/>
  <c r="G17" i="8"/>
  <c r="G18" i="8" s="1"/>
  <c r="G20" i="8" s="1"/>
  <c r="D17" i="11"/>
  <c r="D18" i="11" s="1"/>
  <c r="E17" i="11"/>
  <c r="E18" i="11" s="1"/>
  <c r="B17" i="11"/>
  <c r="B18" i="11" s="1"/>
  <c r="C17" i="11"/>
  <c r="C18" i="11" s="1"/>
  <c r="G17" i="11"/>
  <c r="G18" i="11" s="1"/>
  <c r="G20" i="11" s="1"/>
  <c r="C17" i="15"/>
  <c r="C18" i="15" s="1"/>
  <c r="B17" i="15"/>
  <c r="B18" i="15" s="1"/>
  <c r="D17" i="15"/>
  <c r="D18" i="15" s="1"/>
  <c r="G17" i="15"/>
  <c r="G18" i="15" s="1"/>
  <c r="G20" i="15" s="1"/>
  <c r="E17" i="15"/>
  <c r="E18" i="15" s="1"/>
  <c r="D17" i="27"/>
  <c r="D18" i="27" s="1"/>
  <c r="C17" i="27"/>
  <c r="C18" i="27" s="1"/>
  <c r="G17" i="27"/>
  <c r="G18" i="27" s="1"/>
  <c r="G20" i="27" s="1"/>
  <c r="E17" i="27"/>
  <c r="E18" i="27" s="1"/>
  <c r="B17" i="27"/>
  <c r="B18" i="27" s="1"/>
  <c r="G17" i="4"/>
  <c r="G18" i="4" s="1"/>
  <c r="G20" i="4" s="1"/>
  <c r="C17" i="4"/>
  <c r="C18" i="4" s="1"/>
  <c r="E17" i="4"/>
  <c r="E18" i="4" s="1"/>
  <c r="B17" i="4"/>
  <c r="B18" i="4" s="1"/>
  <c r="D17" i="4"/>
  <c r="D18" i="4" s="1"/>
  <c r="C17" i="36"/>
  <c r="C18" i="36" s="1"/>
  <c r="E17" i="36"/>
  <c r="E18" i="36" s="1"/>
  <c r="D17" i="36"/>
  <c r="D18" i="36" s="1"/>
  <c r="B17" i="36"/>
  <c r="B18" i="36" s="1"/>
  <c r="G17" i="36"/>
  <c r="G18" i="36" s="1"/>
  <c r="G20" i="36" s="1"/>
  <c r="E17" i="28"/>
  <c r="E18" i="28" s="1"/>
  <c r="G17" i="28"/>
  <c r="G18" i="28" s="1"/>
  <c r="G20" i="28" s="1"/>
  <c r="C17" i="28"/>
  <c r="C18" i="28" s="1"/>
  <c r="B17" i="28"/>
  <c r="B18" i="28" s="1"/>
  <c r="D17" i="28"/>
  <c r="D18" i="28" s="1"/>
  <c r="G17" i="30"/>
  <c r="G18" i="30" s="1"/>
  <c r="G20" i="30" s="1"/>
  <c r="C17" i="30"/>
  <c r="C18" i="30" s="1"/>
  <c r="B17" i="30"/>
  <c r="B18" i="30" s="1"/>
  <c r="D17" i="30"/>
  <c r="D18" i="30" s="1"/>
  <c r="E17" i="30"/>
  <c r="E18" i="30" s="1"/>
  <c r="C17" i="19"/>
  <c r="C18" i="19" s="1"/>
  <c r="E17" i="19"/>
  <c r="E18" i="19" s="1"/>
  <c r="B17" i="19"/>
  <c r="B18" i="19" s="1"/>
  <c r="D17" i="19"/>
  <c r="D18" i="19" s="1"/>
  <c r="G17" i="19"/>
  <c r="G18" i="19" s="1"/>
  <c r="G20" i="19" s="1"/>
  <c r="G17" i="37"/>
  <c r="G18" i="37" s="1"/>
  <c r="G20" i="37" s="1"/>
  <c r="E17" i="37"/>
  <c r="E18" i="37" s="1"/>
  <c r="B17" i="37"/>
  <c r="B18" i="37" s="1"/>
  <c r="D17" i="37"/>
  <c r="D18" i="37" s="1"/>
  <c r="C17" i="37"/>
  <c r="C18" i="37" s="1"/>
  <c r="K18" i="45"/>
  <c r="H18" i="13"/>
  <c r="H22" i="13" s="1"/>
  <c r="H18" i="41"/>
  <c r="H22" i="41" s="1"/>
  <c r="H18" i="9"/>
  <c r="H22" i="9" s="1"/>
  <c r="H18" i="18"/>
  <c r="H22" i="18" s="1"/>
  <c r="K18" i="14"/>
  <c r="H18" i="29"/>
  <c r="H22" i="29" s="1"/>
  <c r="H18" i="39"/>
  <c r="H22" i="39" s="1"/>
  <c r="H18" i="20"/>
  <c r="H22" i="20" s="1"/>
  <c r="H18" i="44"/>
  <c r="H22" i="44" s="1"/>
  <c r="H18" i="35"/>
  <c r="H22" i="35" s="1"/>
  <c r="H18" i="32"/>
  <c r="H22" i="32" s="1"/>
  <c r="K18" i="12"/>
  <c r="H18" i="31"/>
  <c r="H22" i="31" s="1"/>
  <c r="H18" i="22"/>
  <c r="H22" i="22" s="1"/>
  <c r="K18" i="27" l="1"/>
  <c r="K18" i="28"/>
  <c r="K18" i="4"/>
  <c r="G22" i="37"/>
  <c r="D20" i="37"/>
  <c r="D22" i="37" s="1"/>
  <c r="B20" i="37"/>
  <c r="C20" i="37"/>
  <c r="C22" i="37" s="1"/>
  <c r="E20" i="37"/>
  <c r="E22" i="37" s="1"/>
  <c r="G22" i="36"/>
  <c r="C20" i="36"/>
  <c r="C22" i="36" s="1"/>
  <c r="E20" i="36"/>
  <c r="E22" i="36" s="1"/>
  <c r="B20" i="36"/>
  <c r="D20" i="36"/>
  <c r="D22" i="36" s="1"/>
  <c r="G22" i="19"/>
  <c r="B20" i="19"/>
  <c r="C20" i="19"/>
  <c r="C22" i="19" s="1"/>
  <c r="D20" i="19"/>
  <c r="D22" i="19" s="1"/>
  <c r="E20" i="19"/>
  <c r="E22" i="19" s="1"/>
  <c r="G22" i="4"/>
  <c r="E20" i="4"/>
  <c r="E22" i="4" s="1"/>
  <c r="B20" i="4"/>
  <c r="C20" i="4"/>
  <c r="C22" i="4" s="1"/>
  <c r="D20" i="4"/>
  <c r="D22" i="4" s="1"/>
  <c r="G22" i="8"/>
  <c r="D20" i="8"/>
  <c r="D22" i="8" s="1"/>
  <c r="C20" i="8"/>
  <c r="C22" i="8" s="1"/>
  <c r="B20" i="8"/>
  <c r="E20" i="8"/>
  <c r="E22" i="8" s="1"/>
  <c r="G22" i="21"/>
  <c r="E20" i="21"/>
  <c r="E22" i="21" s="1"/>
  <c r="D20" i="21"/>
  <c r="D22" i="21" s="1"/>
  <c r="C20" i="21"/>
  <c r="C22" i="21" s="1"/>
  <c r="B20" i="21"/>
  <c r="G22" i="1"/>
  <c r="C20" i="1"/>
  <c r="C22" i="1" s="1"/>
  <c r="D20" i="1"/>
  <c r="D22" i="1" s="1"/>
  <c r="B20" i="1"/>
  <c r="E20" i="1"/>
  <c r="E22" i="1" s="1"/>
  <c r="G22" i="17"/>
  <c r="C20" i="17"/>
  <c r="C22" i="17" s="1"/>
  <c r="B20" i="17"/>
  <c r="D20" i="17"/>
  <c r="D22" i="17" s="1"/>
  <c r="E20" i="17"/>
  <c r="E22" i="17" s="1"/>
  <c r="G22" i="6"/>
  <c r="B20" i="6"/>
  <c r="E20" i="6"/>
  <c r="E22" i="6" s="1"/>
  <c r="D20" i="6"/>
  <c r="D22" i="6" s="1"/>
  <c r="C20" i="6"/>
  <c r="C22" i="6" s="1"/>
  <c r="G22" i="22"/>
  <c r="B20" i="22"/>
  <c r="C20" i="22"/>
  <c r="C22" i="22" s="1"/>
  <c r="E20" i="22"/>
  <c r="E22" i="22" s="1"/>
  <c r="D20" i="22"/>
  <c r="D22" i="22" s="1"/>
  <c r="G22" i="20"/>
  <c r="D20" i="20"/>
  <c r="D22" i="20" s="1"/>
  <c r="E20" i="20"/>
  <c r="E22" i="20" s="1"/>
  <c r="B20" i="20"/>
  <c r="C20" i="20"/>
  <c r="C22" i="20" s="1"/>
  <c r="G22" i="29"/>
  <c r="E20" i="29"/>
  <c r="E22" i="29" s="1"/>
  <c r="C20" i="29"/>
  <c r="C22" i="29" s="1"/>
  <c r="B20" i="29"/>
  <c r="D20" i="29"/>
  <c r="D22" i="29" s="1"/>
  <c r="K20" i="14"/>
  <c r="K22" i="14" s="1"/>
  <c r="B22" i="14"/>
  <c r="B28" i="14" s="1"/>
  <c r="B22" i="10"/>
  <c r="B28" i="10" s="1"/>
  <c r="K20" i="10"/>
  <c r="K22" i="10" s="1"/>
  <c r="G22" i="9"/>
  <c r="C20" i="9"/>
  <c r="C22" i="9" s="1"/>
  <c r="B20" i="9"/>
  <c r="E20" i="9"/>
  <c r="E22" i="9" s="1"/>
  <c r="D20" i="9"/>
  <c r="D22" i="9" s="1"/>
  <c r="K18" i="30"/>
  <c r="K18" i="19"/>
  <c r="K18" i="36"/>
  <c r="K18" i="8"/>
  <c r="K18" i="46"/>
  <c r="K18" i="21"/>
  <c r="K18" i="1"/>
  <c r="K18" i="17"/>
  <c r="K18" i="25"/>
  <c r="K18" i="6"/>
  <c r="K18" i="40"/>
  <c r="K18" i="13"/>
  <c r="K18" i="35"/>
  <c r="K18" i="44"/>
  <c r="K18" i="20"/>
  <c r="K18" i="29"/>
  <c r="K18" i="9"/>
  <c r="K18" i="41"/>
  <c r="G22" i="30"/>
  <c r="D20" i="30"/>
  <c r="D22" i="30" s="1"/>
  <c r="E20" i="30"/>
  <c r="E22" i="30" s="1"/>
  <c r="C20" i="30"/>
  <c r="C22" i="30" s="1"/>
  <c r="B20" i="30"/>
  <c r="G22" i="28"/>
  <c r="D20" i="28"/>
  <c r="D22" i="28" s="1"/>
  <c r="E20" i="28"/>
  <c r="E22" i="28" s="1"/>
  <c r="B20" i="28"/>
  <c r="C20" i="28"/>
  <c r="C22" i="28" s="1"/>
  <c r="G22" i="27"/>
  <c r="C20" i="27"/>
  <c r="C22" i="27" s="1"/>
  <c r="B20" i="27"/>
  <c r="D20" i="27"/>
  <c r="D22" i="27" s="1"/>
  <c r="E20" i="27"/>
  <c r="E22" i="27" s="1"/>
  <c r="G22" i="15"/>
  <c r="C20" i="15"/>
  <c r="C22" i="15" s="1"/>
  <c r="D20" i="15"/>
  <c r="D22" i="15" s="1"/>
  <c r="E20" i="15"/>
  <c r="E22" i="15" s="1"/>
  <c r="B20" i="15"/>
  <c r="G22" i="11"/>
  <c r="D20" i="11"/>
  <c r="D22" i="11" s="1"/>
  <c r="E20" i="11"/>
  <c r="E22" i="11" s="1"/>
  <c r="C20" i="11"/>
  <c r="C22" i="11" s="1"/>
  <c r="B20" i="11"/>
  <c r="G22" i="46"/>
  <c r="E20" i="46"/>
  <c r="E22" i="46" s="1"/>
  <c r="B20" i="46"/>
  <c r="D20" i="46"/>
  <c r="D22" i="46" s="1"/>
  <c r="C20" i="46"/>
  <c r="C22" i="46" s="1"/>
  <c r="G22" i="23"/>
  <c r="B20" i="23"/>
  <c r="C20" i="23"/>
  <c r="C22" i="23" s="1"/>
  <c r="D20" i="23"/>
  <c r="D22" i="23" s="1"/>
  <c r="E20" i="23"/>
  <c r="E22" i="23" s="1"/>
  <c r="K20" i="38"/>
  <c r="K22" i="38" s="1"/>
  <c r="B22" i="38"/>
  <c r="B28" i="38" s="1"/>
  <c r="B30" i="38" s="1"/>
  <c r="G22" i="25"/>
  <c r="D20" i="25"/>
  <c r="D22" i="25" s="1"/>
  <c r="B20" i="25"/>
  <c r="C20" i="25"/>
  <c r="C22" i="25" s="1"/>
  <c r="E20" i="25"/>
  <c r="E22" i="25" s="1"/>
  <c r="K20" i="34"/>
  <c r="K22" i="34" s="1"/>
  <c r="B22" i="34"/>
  <c r="B28" i="34" s="1"/>
  <c r="G22" i="24"/>
  <c r="B20" i="24"/>
  <c r="E20" i="24"/>
  <c r="E22" i="24" s="1"/>
  <c r="D20" i="24"/>
  <c r="D22" i="24" s="1"/>
  <c r="C20" i="24"/>
  <c r="C22" i="24" s="1"/>
  <c r="G22" i="40"/>
  <c r="C20" i="40"/>
  <c r="C22" i="40" s="1"/>
  <c r="E20" i="40"/>
  <c r="E22" i="40" s="1"/>
  <c r="B20" i="40"/>
  <c r="D20" i="40"/>
  <c r="D22" i="40" s="1"/>
  <c r="G22" i="13"/>
  <c r="D20" i="13"/>
  <c r="D22" i="13" s="1"/>
  <c r="C20" i="13"/>
  <c r="C22" i="13" s="1"/>
  <c r="E20" i="13"/>
  <c r="E22" i="13" s="1"/>
  <c r="B20" i="13"/>
  <c r="K20" i="7"/>
  <c r="K22" i="7" s="1"/>
  <c r="B22" i="7"/>
  <c r="B28" i="7" s="1"/>
  <c r="G22" i="31"/>
  <c r="D20" i="31"/>
  <c r="D22" i="31" s="1"/>
  <c r="E20" i="31"/>
  <c r="E22" i="31" s="1"/>
  <c r="C20" i="31"/>
  <c r="C22" i="31" s="1"/>
  <c r="B20" i="31"/>
  <c r="K20" i="12"/>
  <c r="K22" i="12" s="1"/>
  <c r="B22" i="12"/>
  <c r="B28" i="12" s="1"/>
  <c r="G22" i="32"/>
  <c r="B20" i="32"/>
  <c r="E20" i="32"/>
  <c r="E22" i="32" s="1"/>
  <c r="D20" i="32"/>
  <c r="D22" i="32" s="1"/>
  <c r="C20" i="32"/>
  <c r="C22" i="32" s="1"/>
  <c r="G22" i="35"/>
  <c r="B20" i="35"/>
  <c r="E20" i="35"/>
  <c r="E22" i="35" s="1"/>
  <c r="C20" i="35"/>
  <c r="C22" i="35" s="1"/>
  <c r="D20" i="35"/>
  <c r="D22" i="35" s="1"/>
  <c r="G22" i="44"/>
  <c r="E20" i="44"/>
  <c r="E22" i="44" s="1"/>
  <c r="B20" i="44"/>
  <c r="D20" i="44"/>
  <c r="D22" i="44" s="1"/>
  <c r="C20" i="44"/>
  <c r="C22" i="44" s="1"/>
  <c r="G22" i="39"/>
  <c r="C20" i="39"/>
  <c r="C22" i="39" s="1"/>
  <c r="E20" i="39"/>
  <c r="E22" i="39" s="1"/>
  <c r="B20" i="39"/>
  <c r="D20" i="39"/>
  <c r="D22" i="39" s="1"/>
  <c r="G22" i="18"/>
  <c r="C20" i="18"/>
  <c r="C22" i="18" s="1"/>
  <c r="D20" i="18"/>
  <c r="D22" i="18" s="1"/>
  <c r="E20" i="18"/>
  <c r="E22" i="18" s="1"/>
  <c r="B20" i="18"/>
  <c r="G22" i="41"/>
  <c r="D20" i="41"/>
  <c r="D22" i="41" s="1"/>
  <c r="B20" i="41"/>
  <c r="E20" i="41"/>
  <c r="E22" i="41" s="1"/>
  <c r="C20" i="41"/>
  <c r="C22" i="41" s="1"/>
  <c r="K20" i="45"/>
  <c r="K22" i="45" s="1"/>
  <c r="B22" i="45"/>
  <c r="B28" i="45" s="1"/>
  <c r="K18" i="37"/>
  <c r="K18" i="15"/>
  <c r="K18" i="11"/>
  <c r="K18" i="23"/>
  <c r="K18" i="24"/>
  <c r="K18" i="22"/>
  <c r="K18" i="31"/>
  <c r="K18" i="32"/>
  <c r="K18" i="39"/>
  <c r="K18" i="18"/>
  <c r="K20" i="18" l="1"/>
  <c r="K22" i="18" s="1"/>
  <c r="B22" i="18"/>
  <c r="B28" i="18" s="1"/>
  <c r="K20" i="39"/>
  <c r="K22" i="39" s="1"/>
  <c r="B22" i="39"/>
  <c r="B28" i="39" s="1"/>
  <c r="B30" i="39" s="1"/>
  <c r="D30" i="47" s="1"/>
  <c r="K20" i="35"/>
  <c r="K22" i="35" s="1"/>
  <c r="B22" i="35"/>
  <c r="B28" i="35" s="1"/>
  <c r="C43" i="47"/>
  <c r="B30" i="7"/>
  <c r="D43" i="47" s="1"/>
  <c r="B30" i="45"/>
  <c r="D12" i="47" s="1"/>
  <c r="C12" i="47"/>
  <c r="K20" i="41"/>
  <c r="K22" i="41" s="1"/>
  <c r="B22" i="41"/>
  <c r="B28" i="41" s="1"/>
  <c r="K20" i="32"/>
  <c r="K22" i="32" s="1"/>
  <c r="B22" i="32"/>
  <c r="B28" i="32" s="1"/>
  <c r="C9" i="47"/>
  <c r="B30" i="12"/>
  <c r="D9" i="47" s="1"/>
  <c r="B22" i="31"/>
  <c r="B28" i="31" s="1"/>
  <c r="K20" i="31"/>
  <c r="K22" i="31" s="1"/>
  <c r="K20" i="24"/>
  <c r="K22" i="24" s="1"/>
  <c r="B22" i="24"/>
  <c r="B28" i="24" s="1"/>
  <c r="C16" i="47"/>
  <c r="B30" i="34"/>
  <c r="D16" i="47" s="1"/>
  <c r="K20" i="25"/>
  <c r="K22" i="25" s="1"/>
  <c r="B22" i="25"/>
  <c r="B28" i="25" s="1"/>
  <c r="K20" i="23"/>
  <c r="K22" i="23" s="1"/>
  <c r="B22" i="23"/>
  <c r="B28" i="23" s="1"/>
  <c r="K20" i="46"/>
  <c r="K22" i="46" s="1"/>
  <c r="B22" i="46"/>
  <c r="B28" i="46" s="1"/>
  <c r="B22" i="15"/>
  <c r="B28" i="15" s="1"/>
  <c r="B30" i="15" s="1"/>
  <c r="K20" i="15"/>
  <c r="K22" i="15" s="1"/>
  <c r="K20" i="9"/>
  <c r="K22" i="9" s="1"/>
  <c r="B22" i="9"/>
  <c r="B28" i="9" s="1"/>
  <c r="B30" i="10"/>
  <c r="D39" i="47" s="1"/>
  <c r="C39" i="47"/>
  <c r="B22" i="29"/>
  <c r="B28" i="29" s="1"/>
  <c r="B30" i="29" s="1"/>
  <c r="K20" i="29"/>
  <c r="K22" i="29" s="1"/>
  <c r="K20" i="22"/>
  <c r="K22" i="22" s="1"/>
  <c r="B22" i="22"/>
  <c r="B28" i="22" s="1"/>
  <c r="K20" i="36"/>
  <c r="K22" i="36" s="1"/>
  <c r="B22" i="36"/>
  <c r="B28" i="36" s="1"/>
  <c r="K20" i="37"/>
  <c r="K22" i="37" s="1"/>
  <c r="B22" i="37"/>
  <c r="B28" i="37" s="1"/>
  <c r="B22" i="44"/>
  <c r="B28" i="44" s="1"/>
  <c r="B30" i="44" s="1"/>
  <c r="D10" i="47" s="1"/>
  <c r="K20" i="44"/>
  <c r="K22" i="44" s="1"/>
  <c r="B22" i="13"/>
  <c r="B28" i="13" s="1"/>
  <c r="K20" i="13"/>
  <c r="K22" i="13" s="1"/>
  <c r="K20" i="40"/>
  <c r="K22" i="40" s="1"/>
  <c r="B22" i="40"/>
  <c r="B28" i="40" s="1"/>
  <c r="B22" i="11"/>
  <c r="B28" i="11" s="1"/>
  <c r="K20" i="11"/>
  <c r="K22" i="11" s="1"/>
  <c r="K20" i="27"/>
  <c r="K22" i="27" s="1"/>
  <c r="B22" i="27"/>
  <c r="B28" i="27" s="1"/>
  <c r="K20" i="28"/>
  <c r="K22" i="28" s="1"/>
  <c r="B22" i="28"/>
  <c r="B28" i="28" s="1"/>
  <c r="K20" i="30"/>
  <c r="K22" i="30" s="1"/>
  <c r="B22" i="30"/>
  <c r="B28" i="30" s="1"/>
  <c r="B30" i="14"/>
  <c r="D34" i="47" s="1"/>
  <c r="C34" i="47"/>
  <c r="K20" i="20"/>
  <c r="K22" i="20" s="1"/>
  <c r="B22" i="20"/>
  <c r="B28" i="20" s="1"/>
  <c r="K20" i="6"/>
  <c r="K22" i="6" s="1"/>
  <c r="B22" i="6"/>
  <c r="B28" i="6" s="1"/>
  <c r="K20" i="17"/>
  <c r="K22" i="17" s="1"/>
  <c r="B22" i="17"/>
  <c r="B28" i="17" s="1"/>
  <c r="K20" i="1"/>
  <c r="K22" i="1" s="1"/>
  <c r="B22" i="1"/>
  <c r="B28" i="1" s="1"/>
  <c r="K20" i="21"/>
  <c r="K22" i="21" s="1"/>
  <c r="B22" i="21"/>
  <c r="B28" i="21" s="1"/>
  <c r="K20" i="8"/>
  <c r="K22" i="8" s="1"/>
  <c r="B22" i="8"/>
  <c r="B28" i="8" s="1"/>
  <c r="K20" i="4"/>
  <c r="K22" i="4" s="1"/>
  <c r="B22" i="4"/>
  <c r="B28" i="4" s="1"/>
  <c r="K20" i="19"/>
  <c r="K22" i="19" s="1"/>
  <c r="B22" i="19"/>
  <c r="B28" i="19" s="1"/>
  <c r="B30" i="4" l="1"/>
  <c r="D41" i="47" s="1"/>
  <c r="C41" i="47"/>
  <c r="C42" i="47"/>
  <c r="B30" i="8"/>
  <c r="D42" i="47" s="1"/>
  <c r="B30" i="1"/>
  <c r="D6" i="47" s="1"/>
  <c r="C6" i="47"/>
  <c r="B30" i="6"/>
  <c r="D44" i="47" s="1"/>
  <c r="C44" i="47"/>
  <c r="B30" i="30"/>
  <c r="D31" i="47" s="1"/>
  <c r="C31" i="47"/>
  <c r="C20" i="47"/>
  <c r="B30" i="27"/>
  <c r="D20" i="47" s="1"/>
  <c r="C33" i="47"/>
  <c r="B30" i="40"/>
  <c r="D33" i="47" s="1"/>
  <c r="C11" i="47"/>
  <c r="C10" i="47" s="1"/>
  <c r="B30" i="37"/>
  <c r="D11" i="47" s="1"/>
  <c r="B30" i="22"/>
  <c r="D26" i="47" s="1"/>
  <c r="C26" i="47"/>
  <c r="B30" i="9"/>
  <c r="D40" i="47" s="1"/>
  <c r="C40" i="47"/>
  <c r="B30" i="11"/>
  <c r="D8" i="47" s="1"/>
  <c r="C8" i="47"/>
  <c r="C38" i="47"/>
  <c r="B30" i="13"/>
  <c r="D38" i="47" s="1"/>
  <c r="D19" i="47"/>
  <c r="C19" i="47"/>
  <c r="D37" i="47"/>
  <c r="C37" i="47"/>
  <c r="C18" i="47"/>
  <c r="B30" i="31"/>
  <c r="D18" i="47" s="1"/>
  <c r="C28" i="47"/>
  <c r="B30" i="19"/>
  <c r="D28" i="47" s="1"/>
  <c r="B30" i="21"/>
  <c r="D27" i="47" s="1"/>
  <c r="C27" i="47"/>
  <c r="B30" i="17"/>
  <c r="D36" i="47" s="1"/>
  <c r="C36" i="47"/>
  <c r="B30" i="20"/>
  <c r="D25" i="47" s="1"/>
  <c r="C25" i="47"/>
  <c r="C32" i="47"/>
  <c r="B30" i="28"/>
  <c r="D32" i="47" s="1"/>
  <c r="C13" i="47"/>
  <c r="B30" i="36"/>
  <c r="D13" i="47" s="1"/>
  <c r="C24" i="47"/>
  <c r="B30" i="46"/>
  <c r="D24" i="47" s="1"/>
  <c r="C23" i="47"/>
  <c r="B30" i="23"/>
  <c r="D23" i="47" s="1"/>
  <c r="B30" i="25"/>
  <c r="D21" i="47" s="1"/>
  <c r="C21" i="47"/>
  <c r="B30" i="24"/>
  <c r="D22" i="47" s="1"/>
  <c r="C22" i="47"/>
  <c r="B30" i="32"/>
  <c r="D17" i="47" s="1"/>
  <c r="C17" i="47"/>
  <c r="B30" i="41"/>
  <c r="D35" i="47" s="1"/>
  <c r="C35" i="47"/>
  <c r="B30" i="35"/>
  <c r="D14" i="47" s="1"/>
  <c r="C14" i="47"/>
  <c r="B30" i="18"/>
  <c r="D29" i="47" s="1"/>
  <c r="C29" i="47"/>
  <c r="C30" i="47" l="1"/>
</calcChain>
</file>

<file path=xl/sharedStrings.xml><?xml version="1.0" encoding="utf-8"?>
<sst xmlns="http://schemas.openxmlformats.org/spreadsheetml/2006/main" count="1339" uniqueCount="171">
  <si>
    <t>Other</t>
  </si>
  <si>
    <t>Total</t>
  </si>
  <si>
    <t>TOTAL  -  Direct Costs</t>
  </si>
  <si>
    <t>Physical Plant</t>
  </si>
  <si>
    <t xml:space="preserve">    Sub-total</t>
  </si>
  <si>
    <t>Institutional Support</t>
  </si>
  <si>
    <t>Student Support</t>
  </si>
  <si>
    <t>Academic Support</t>
  </si>
  <si>
    <t>FULLY ALLOCATED COSTS</t>
  </si>
  <si>
    <t>Direct Instruction</t>
  </si>
  <si>
    <t>Indirect</t>
  </si>
  <si>
    <t>Indirect per FYE</t>
  </si>
  <si>
    <t>Instruction &amp; Dept Research</t>
  </si>
  <si>
    <t>Separately Budgeted Research</t>
  </si>
  <si>
    <t>Public Service</t>
  </si>
  <si>
    <t>Institution Support</t>
  </si>
  <si>
    <t>PRIMARY PROGRAMS</t>
  </si>
  <si>
    <t>SUPPORT PROGRAMS</t>
  </si>
  <si>
    <t>ANOKA RAMSEY CC</t>
  </si>
  <si>
    <t>BEMIDJI SU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</si>
  <si>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</si>
  <si>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</si>
  <si>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</si>
  <si>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</si>
  <si>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</si>
  <si>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</si>
  <si>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</si>
  <si>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MINNESOTA WEST COLLEGE</t>
  </si>
  <si>
    <t>NORMANDALE CC</t>
  </si>
  <si>
    <t>NORTH HENNEPIN CC</t>
  </si>
  <si>
    <t>RAINY RIVER CC</t>
  </si>
  <si>
    <t>RIDGEWATER COLLEGE</t>
  </si>
  <si>
    <t>ST CLOUD SU</t>
  </si>
  <si>
    <t>WINONA SU</t>
  </si>
  <si>
    <t>NORTHEAST HIGHER EDUCATION DISTRICT</t>
  </si>
  <si>
    <t>Institution Name</t>
  </si>
  <si>
    <t>Instruction</t>
  </si>
  <si>
    <t>Research</t>
  </si>
  <si>
    <t>Student Services</t>
  </si>
  <si>
    <t>Central Lakes College</t>
  </si>
  <si>
    <t>Century College</t>
  </si>
  <si>
    <t>Lake Superior College</t>
  </si>
  <si>
    <t>Minnesota SU Moorhead</t>
  </si>
  <si>
    <t>Minnesota SU, Mankato</t>
  </si>
  <si>
    <t>Minnesota West College</t>
  </si>
  <si>
    <t>Northeast Higher Education District</t>
  </si>
  <si>
    <t xml:space="preserve">     Mesabi Range College</t>
  </si>
  <si>
    <t>Ridgewater College</t>
  </si>
  <si>
    <t>TOTAL</t>
  </si>
  <si>
    <t>MnSCU Finance Division</t>
  </si>
  <si>
    <t>Saint Paul College</t>
  </si>
  <si>
    <t>ANOKA TC</t>
  </si>
  <si>
    <t>METROPOLITAN SU</t>
  </si>
  <si>
    <t>SOUTHWEST MINNESOTA SU</t>
  </si>
  <si>
    <t>SAINT PAUL COLLEGE</t>
  </si>
  <si>
    <t>GFS 105 - excludes transfers, prior year salary, cost subsidies &amp; fiscal/auxiliary activities; instruction includes credit based; public service includes non credit and customized training/continuing education instruction; Other includes SGR appro and intercollegiate athletics</t>
  </si>
  <si>
    <t>NORTHWEST TC-BEMIDJI</t>
  </si>
  <si>
    <t>BEMIDJI SU &amp; NORTHWEST TC-BEMIDJI</t>
  </si>
  <si>
    <t>MINNESOTA SU MOORHEAD</t>
  </si>
  <si>
    <t>MINNESOTA SU, MANKATO</t>
  </si>
  <si>
    <t>MESABI RANGE COLLEGE</t>
  </si>
  <si>
    <t>VERMILION CC</t>
  </si>
  <si>
    <t>SOUTH CENTRAL COLLEGE</t>
  </si>
  <si>
    <t>MNSCU SYSTEM -- INCLUDES COST OF MnSCU SYSTEMWIDE/OFFICE OF THE CHANCELLOR &amp; NORTHEAST SERVICE UNIT</t>
  </si>
  <si>
    <t>South Central College</t>
  </si>
  <si>
    <t>ST CLOUD TCC</t>
  </si>
  <si>
    <t>Anoka Ramsey CC - Anoka TC</t>
  </si>
  <si>
    <t>ANOKA RAMSEY CC - ANOKA TC</t>
  </si>
  <si>
    <t xml:space="preserve"> </t>
  </si>
  <si>
    <t>Alexandria Technical &amp; Community College</t>
  </si>
  <si>
    <t>Anoka-Ramsey Community College</t>
  </si>
  <si>
    <t>Anoka Technical College</t>
  </si>
  <si>
    <t xml:space="preserve">    Anoka-Ramsey Community College</t>
  </si>
  <si>
    <t xml:space="preserve">    Anoka Technical College</t>
  </si>
  <si>
    <t xml:space="preserve">   Bemidji State University</t>
  </si>
  <si>
    <t xml:space="preserve">   Northwest Technical College-Bemidji</t>
  </si>
  <si>
    <t>Bemidji State University &amp; Northwest Technical College-Bemidji</t>
  </si>
  <si>
    <t>Dakota County Technical College</t>
  </si>
  <si>
    <t>Fond du Lac Tribal &amp; Community College</t>
  </si>
  <si>
    <t>Hennepin Technical College</t>
  </si>
  <si>
    <t>Inver Hills Community College</t>
  </si>
  <si>
    <t>Metropolitan State University</t>
  </si>
  <si>
    <t>Minneapolis Community &amp; Technical College</t>
  </si>
  <si>
    <t>Minnesota State College-Southeast Technical</t>
  </si>
  <si>
    <t>Minnesota State Community &amp; Technical College</t>
  </si>
  <si>
    <t>Normandale Community College</t>
  </si>
  <si>
    <t>North Hennepin Community College</t>
  </si>
  <si>
    <t xml:space="preserve">     Hibbing Community College</t>
  </si>
  <si>
    <t xml:space="preserve">     Itasca Community College</t>
  </si>
  <si>
    <t xml:space="preserve">     Rainy River Community College</t>
  </si>
  <si>
    <t xml:space="preserve">     Vermilion Community College</t>
  </si>
  <si>
    <t>Northland Community &amp; Technical College</t>
  </si>
  <si>
    <t>Pine Technical &amp; Community College</t>
  </si>
  <si>
    <t>Riverland Community College</t>
  </si>
  <si>
    <t>Rochester Community &amp; Technical College</t>
  </si>
  <si>
    <t>Southwest Minnesota State University</t>
  </si>
  <si>
    <t>St. Cloud State University</t>
  </si>
  <si>
    <t>St. Cloud Technical &amp; Community College</t>
  </si>
  <si>
    <t>Winona State University</t>
  </si>
  <si>
    <t>ALEXANDRIA TCC</t>
  </si>
  <si>
    <t>MINNEAPOLIS CTC</t>
  </si>
  <si>
    <t>MINNESOTA SC-SOUTHEAST TECHNICAL</t>
  </si>
  <si>
    <t>MINNESOTA STATE CTC</t>
  </si>
  <si>
    <t>HIBBING COMMUNITY COLLEGE</t>
  </si>
  <si>
    <t>ITASCA COMMUNITY COLLEGE</t>
  </si>
  <si>
    <t>NORTHLAND CTC</t>
  </si>
  <si>
    <t>PINE TCC</t>
  </si>
  <si>
    <t>RIVERLAND CC</t>
  </si>
  <si>
    <t>ROCHESTER CTC</t>
  </si>
  <si>
    <t>Alexandria Technical College</t>
  </si>
  <si>
    <t>Anoak Ramsery CC-Anoka TC</t>
  </si>
  <si>
    <t>Minnesota State University Moorhead</t>
  </si>
  <si>
    <t>Minnesota State University, Mankato</t>
  </si>
  <si>
    <t>Minnesota West Community &amp; Technical College</t>
  </si>
  <si>
    <t xml:space="preserve">Minnesota State </t>
  </si>
  <si>
    <t xml:space="preserve">   Dakota County Technical College</t>
  </si>
  <si>
    <t xml:space="preserve">   Inver Hills Community College</t>
  </si>
  <si>
    <t>Inver Hills CC - Dakota County TC</t>
  </si>
  <si>
    <t>INVER HILLS CC - DAKOTA COUNTY TC</t>
  </si>
  <si>
    <t>March 2017</t>
  </si>
  <si>
    <t>Inst ID</t>
  </si>
  <si>
    <t>0203</t>
  </si>
  <si>
    <t>0152</t>
  </si>
  <si>
    <t>0153</t>
  </si>
  <si>
    <t>0155</t>
  </si>
  <si>
    <t>0157</t>
  </si>
  <si>
    <t>0202</t>
  </si>
  <si>
    <t>0070</t>
  </si>
  <si>
    <t>0263</t>
  </si>
  <si>
    <t>0301</t>
  </si>
  <si>
    <t>0304</t>
  </si>
  <si>
    <t>0211</t>
  </si>
  <si>
    <t>0163</t>
  </si>
  <si>
    <t>0204</t>
  </si>
  <si>
    <t>0302</t>
  </si>
  <si>
    <t>0076</t>
  </si>
  <si>
    <t>0305</t>
  </si>
  <si>
    <t>0213</t>
  </si>
  <si>
    <t>0142</t>
  </si>
  <si>
    <t>0072</t>
  </si>
  <si>
    <t>0071</t>
  </si>
  <si>
    <t>0209</t>
  </si>
  <si>
    <t>0156</t>
  </si>
  <si>
    <t>0411</t>
  </si>
  <si>
    <t>0310</t>
  </si>
  <si>
    <t>0144</t>
  </si>
  <si>
    <t>0147</t>
  </si>
  <si>
    <t>0303</t>
  </si>
  <si>
    <t>0205</t>
  </si>
  <si>
    <t>0308</t>
  </si>
  <si>
    <t>0307</t>
  </si>
  <si>
    <t>0306</t>
  </si>
  <si>
    <t>0206</t>
  </si>
  <si>
    <t>0309</t>
  </si>
  <si>
    <t>0075</t>
  </si>
  <si>
    <t>0073</t>
  </si>
  <si>
    <t>0208</t>
  </si>
  <si>
    <t>0074</t>
  </si>
  <si>
    <t>Dakota County Technical College-Inver Hills Community College</t>
  </si>
  <si>
    <t>Bemidji State University</t>
  </si>
  <si>
    <t>Northwest Technical College-Bemidji</t>
  </si>
  <si>
    <t>Hibbing Community College</t>
  </si>
  <si>
    <t>Itasca Community College</t>
  </si>
  <si>
    <t>Mesabi Range College</t>
  </si>
  <si>
    <t>Rainy River Community College</t>
  </si>
  <si>
    <t>Vermilion Community College</t>
  </si>
  <si>
    <t>MINNESOTA STATE - F.Y. 2020</t>
  </si>
  <si>
    <t>FY2021 Expenditures by IPEDS Category -- Used in Step Down</t>
  </si>
  <si>
    <t>FP&amp;A March 2022</t>
  </si>
  <si>
    <t>FY2021 FYE</t>
  </si>
  <si>
    <t>FY2021 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</si>
</sst>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_);[Red]\(#,##0.000\)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6" fillId="0" borderId="0"/>
    <xf numFmtId="43" fontId="13" fillId="0" borderId="0" applyFont="0" applyFill="0" applyBorder="0" applyAlignment="0" applyProtection="0"/>
  </cellStyleXfs>
  <cellXfs count="47">
    <xf numFmtId="0" fontId="0" fillId="0" borderId="0" xfId="0"/>
    <xf numFmtId="38" fontId="0" fillId="0" borderId="0" xfId="0" applyNumberFormat="1"/>
    <xf numFmtId="38" fontId="0" fillId="0" borderId="0" xfId="0" applyNumberFormat="1" applyAlignment="1">
      <alignment horizontal="center"/>
    </xf>
    <xf numFmtId="38" fontId="0" fillId="0" borderId="0" xfId="0" applyNumberFormat="1" applyBorder="1" applyAlignment="1"/>
    <xf numFmtId="38" fontId="1" fillId="0" borderId="0" xfId="0" applyNumberFormat="1" applyFont="1" applyBorder="1" applyAlignment="1"/>
    <xf numFmtId="38" fontId="2" fillId="0" borderId="0" xfId="0" applyNumberFormat="1" applyFont="1" applyAlignment="1">
      <alignment horizontal="centerContinuous"/>
    </xf>
    <xf numFmtId="38" fontId="2" fillId="0" borderId="0" xfId="0" applyNumberFormat="1" applyFont="1" applyBorder="1" applyAlignment="1">
      <alignment horizontal="centerContinuous"/>
    </xf>
    <xf numFmtId="0" fontId="3" fillId="0" borderId="0" xfId="0" applyFont="1"/>
    <xf numFmtId="38" fontId="0" fillId="0" borderId="0" xfId="0" applyNumberFormat="1" applyBorder="1" applyAlignment="1">
      <alignment horizontal="center" wrapText="1"/>
    </xf>
    <xf numFmtId="38" fontId="0" fillId="0" borderId="0" xfId="0" applyNumberFormat="1" applyBorder="1" applyAlignment="1">
      <alignment wrapText="1"/>
    </xf>
    <xf numFmtId="38" fontId="1" fillId="0" borderId="1" xfId="0" applyNumberFormat="1" applyFont="1" applyBorder="1" applyAlignment="1">
      <alignment horizontal="centerContinuous"/>
    </xf>
    <xf numFmtId="38" fontId="0" fillId="0" borderId="1" xfId="0" applyNumberFormat="1" applyBorder="1" applyAlignment="1">
      <alignment horizontal="centerContinuous"/>
    </xf>
    <xf numFmtId="0" fontId="4" fillId="0" borderId="0" xfId="0" applyFont="1"/>
    <xf numFmtId="0" fontId="5" fillId="2" borderId="2" xfId="2" applyFont="1" applyFill="1" applyBorder="1" applyAlignment="1">
      <alignment horizontal="center" wrapText="1"/>
    </xf>
    <xf numFmtId="0" fontId="7" fillId="0" borderId="0" xfId="0" applyFont="1"/>
    <xf numFmtId="0" fontId="5" fillId="0" borderId="3" xfId="2" applyFont="1" applyFill="1" applyBorder="1" applyAlignment="1">
      <alignment horizontal="left" wrapText="1"/>
    </xf>
    <xf numFmtId="38" fontId="5" fillId="0" borderId="2" xfId="1" applyNumberFormat="1" applyFont="1" applyFill="1" applyBorder="1" applyAlignment="1">
      <alignment horizontal="right" wrapText="1"/>
    </xf>
    <xf numFmtId="38" fontId="4" fillId="0" borderId="0" xfId="0" applyNumberFormat="1" applyFont="1" applyFill="1"/>
    <xf numFmtId="38" fontId="4" fillId="0" borderId="0" xfId="0" applyNumberFormat="1" applyFont="1" applyFill="1" applyBorder="1"/>
    <xf numFmtId="38" fontId="9" fillId="0" borderId="0" xfId="0" applyNumberFormat="1" applyFont="1" applyFill="1"/>
    <xf numFmtId="38" fontId="5" fillId="0" borderId="2" xfId="2" applyNumberFormat="1" applyFont="1" applyFill="1" applyBorder="1" applyAlignment="1">
      <alignment horizontal="center" wrapText="1"/>
    </xf>
    <xf numFmtId="38" fontId="5" fillId="0" borderId="5" xfId="2" applyNumberFormat="1" applyFont="1" applyFill="1" applyBorder="1" applyAlignment="1">
      <alignment horizontal="center" wrapText="1"/>
    </xf>
    <xf numFmtId="38" fontId="5" fillId="0" borderId="6" xfId="1" applyNumberFormat="1" applyFont="1" applyFill="1" applyBorder="1" applyAlignment="1">
      <alignment horizontal="right" wrapText="1"/>
    </xf>
    <xf numFmtId="38" fontId="5" fillId="0" borderId="0" xfId="1" applyNumberFormat="1" applyFont="1" applyFill="1" applyBorder="1" applyAlignment="1">
      <alignment horizontal="right" wrapText="1"/>
    </xf>
    <xf numFmtId="38" fontId="5" fillId="0" borderId="6" xfId="1" applyNumberFormat="1" applyFont="1" applyFill="1" applyBorder="1"/>
    <xf numFmtId="38" fontId="5" fillId="0" borderId="2" xfId="2" applyNumberFormat="1" applyFont="1" applyFill="1" applyBorder="1" applyAlignment="1">
      <alignment horizontal="right" wrapText="1"/>
    </xf>
    <xf numFmtId="49" fontId="4" fillId="0" borderId="0" xfId="0" applyNumberFormat="1" applyFont="1"/>
    <xf numFmtId="3" fontId="4" fillId="0" borderId="0" xfId="0" applyNumberFormat="1" applyFont="1"/>
    <xf numFmtId="0" fontId="12" fillId="0" borderId="0" xfId="0" applyFont="1"/>
    <xf numFmtId="0" fontId="4" fillId="0" borderId="0" xfId="0" applyFont="1" applyFill="1"/>
    <xf numFmtId="38" fontId="4" fillId="0" borderId="4" xfId="0" applyNumberFormat="1" applyFont="1" applyFill="1" applyBorder="1" applyAlignment="1">
      <alignment horizontal="right" wrapText="1"/>
    </xf>
    <xf numFmtId="3" fontId="4" fillId="0" borderId="2" xfId="0" applyNumberFormat="1" applyFont="1" applyBorder="1"/>
    <xf numFmtId="0" fontId="4" fillId="0" borderId="2" xfId="0" applyFont="1" applyBorder="1"/>
    <xf numFmtId="0" fontId="5" fillId="0" borderId="2" xfId="2" applyFont="1" applyFill="1" applyBorder="1" applyAlignment="1">
      <alignment horizontal="left" wrapText="1"/>
    </xf>
    <xf numFmtId="38" fontId="4" fillId="0" borderId="2" xfId="0" applyNumberFormat="1" applyFont="1" applyBorder="1"/>
    <xf numFmtId="0" fontId="5" fillId="3" borderId="2" xfId="2" applyFont="1" applyFill="1" applyBorder="1" applyAlignment="1">
      <alignment horizontal="left" wrapText="1"/>
    </xf>
    <xf numFmtId="0" fontId="5" fillId="3" borderId="2" xfId="2" applyFont="1" applyFill="1" applyBorder="1" applyAlignment="1">
      <alignment horizontal="left"/>
    </xf>
    <xf numFmtId="0" fontId="7" fillId="0" borderId="0" xfId="0" applyFont="1" applyFill="1"/>
    <xf numFmtId="0" fontId="5" fillId="0" borderId="2" xfId="2" applyFont="1" applyFill="1" applyBorder="1" applyAlignment="1">
      <alignment horizontal="center" wrapText="1"/>
    </xf>
    <xf numFmtId="38" fontId="4" fillId="0" borderId="2" xfId="0" applyNumberFormat="1" applyFont="1" applyFill="1" applyBorder="1" applyAlignment="1">
      <alignment horizontal="center" wrapText="1"/>
    </xf>
    <xf numFmtId="49" fontId="10" fillId="0" borderId="0" xfId="0" applyNumberFormat="1" applyFont="1" applyFill="1"/>
    <xf numFmtId="49" fontId="4" fillId="0" borderId="2" xfId="0" applyNumberFormat="1" applyFont="1" applyBorder="1"/>
    <xf numFmtId="43" fontId="4" fillId="0" borderId="2" xfId="3" applyFont="1" applyBorder="1"/>
    <xf numFmtId="43" fontId="4" fillId="0" borderId="0" xfId="3" applyFont="1"/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40" fontId="4" fillId="0" borderId="0" xfId="0" applyNumberFormat="1" applyFont="1" applyFill="1"/>
  </cellXfs>
  <cellStyles count="4">
    <cellStyle name="Comma" xfId="3" builtinId="3"/>
    <cellStyle name="Normal" xfId="0" builtinId="0"/>
    <cellStyle name="Normal_Master Expend Table" xfId="1" xr:uid="{00000000-0005-0000-0000-000002000000}"/>
    <cellStyle name="Normal_Shee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5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6" sqref="A46"/>
    </sheetView>
  </sheetViews>
  <sheetFormatPr defaultColWidth="9.140625" defaultRowHeight="12" x14ac:dyDescent="0.2"/>
  <cols>
    <col min="1" max="1" width="35.7109375" style="29" customWidth="1"/>
    <col min="2" max="2" width="11.42578125" style="17" customWidth="1"/>
    <col min="3" max="3" width="10.140625" style="17" customWidth="1"/>
    <col min="4" max="4" width="11.28515625" style="17" customWidth="1"/>
    <col min="5" max="5" width="10.140625" style="17" customWidth="1"/>
    <col min="6" max="6" width="2.7109375" style="18" customWidth="1"/>
    <col min="7" max="7" width="14.85546875" style="17" customWidth="1"/>
    <col min="8" max="8" width="13.7109375" style="17" customWidth="1"/>
    <col min="9" max="9" width="14.5703125" style="17" customWidth="1"/>
    <col min="10" max="10" width="11.7109375" style="17" customWidth="1"/>
    <col min="11" max="11" width="12.7109375" style="17" customWidth="1"/>
    <col min="12" max="12" width="2.28515625" style="29" customWidth="1"/>
    <col min="13" max="13" width="12.85546875" style="29" bestFit="1" customWidth="1"/>
    <col min="14" max="16384" width="9.140625" style="29"/>
  </cols>
  <sheetData>
    <row r="1" spans="1:13" ht="20.25" x14ac:dyDescent="0.3">
      <c r="A1" s="37" t="s">
        <v>114</v>
      </c>
      <c r="H1" s="19"/>
    </row>
    <row r="2" spans="1:13" x14ac:dyDescent="0.2">
      <c r="A2" s="37" t="s">
        <v>167</v>
      </c>
    </row>
    <row r="3" spans="1:13" ht="24" customHeight="1" x14ac:dyDescent="0.2">
      <c r="A3" s="45" t="s">
        <v>55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3" ht="31.5" customHeight="1" x14ac:dyDescent="0.2">
      <c r="A5" s="38" t="s">
        <v>35</v>
      </c>
      <c r="B5" s="20" t="s">
        <v>36</v>
      </c>
      <c r="C5" s="20" t="s">
        <v>37</v>
      </c>
      <c r="D5" s="20" t="s">
        <v>14</v>
      </c>
      <c r="E5" s="20" t="s">
        <v>0</v>
      </c>
      <c r="F5" s="21"/>
      <c r="G5" s="20" t="s">
        <v>7</v>
      </c>
      <c r="H5" s="20" t="s">
        <v>38</v>
      </c>
      <c r="I5" s="20" t="s">
        <v>15</v>
      </c>
      <c r="J5" s="20" t="s">
        <v>3</v>
      </c>
      <c r="K5" s="39" t="s">
        <v>1</v>
      </c>
    </row>
    <row r="6" spans="1:13" ht="12" customHeight="1" x14ac:dyDescent="0.2">
      <c r="A6" s="15" t="s">
        <v>69</v>
      </c>
      <c r="B6" s="22">
        <v>11416093.52</v>
      </c>
      <c r="C6" s="22"/>
      <c r="D6" s="22">
        <v>828640.42</v>
      </c>
      <c r="E6" s="22">
        <v>61572.62</v>
      </c>
      <c r="F6" s="23"/>
      <c r="G6" s="22">
        <v>2232315.37</v>
      </c>
      <c r="H6" s="22">
        <v>2537923.84</v>
      </c>
      <c r="I6" s="22">
        <v>3396294.6</v>
      </c>
      <c r="J6" s="22">
        <v>2613705.7000000002</v>
      </c>
      <c r="K6" s="30">
        <f t="shared" ref="K6:K46" si="0">SUM(B6:J6)</f>
        <v>23086546.07</v>
      </c>
    </row>
    <row r="7" spans="1:13" ht="12" customHeight="1" x14ac:dyDescent="0.2">
      <c r="A7" s="15" t="s">
        <v>66</v>
      </c>
      <c r="B7" s="22">
        <f>B8+B9</f>
        <v>32890784.309999999</v>
      </c>
      <c r="C7" s="22">
        <f>C8+C9</f>
        <v>0</v>
      </c>
      <c r="D7" s="22">
        <f>D8+D9</f>
        <v>1062802.76</v>
      </c>
      <c r="E7" s="22">
        <f>E8+E9</f>
        <v>5662.8899999999994</v>
      </c>
      <c r="F7" s="23"/>
      <c r="G7" s="22">
        <f>G8+G9</f>
        <v>8331573.71</v>
      </c>
      <c r="H7" s="22">
        <f>H8+H9</f>
        <v>7215832.2700000005</v>
      </c>
      <c r="I7" s="22">
        <f>I8+I9</f>
        <v>11828632.039999999</v>
      </c>
      <c r="J7" s="22">
        <f>J8+J9</f>
        <v>6912260.3199999994</v>
      </c>
      <c r="K7" s="30">
        <f t="shared" si="0"/>
        <v>68247548.299999997</v>
      </c>
    </row>
    <row r="8" spans="1:13" ht="12" customHeight="1" x14ac:dyDescent="0.2">
      <c r="A8" s="33" t="s">
        <v>72</v>
      </c>
      <c r="B8" s="22">
        <v>23592789.629999999</v>
      </c>
      <c r="C8" s="22"/>
      <c r="D8" s="22">
        <v>1062802.76</v>
      </c>
      <c r="E8" s="22">
        <f>4600.04+1062.85</f>
        <v>5662.8899999999994</v>
      </c>
      <c r="F8" s="23"/>
      <c r="G8" s="22">
        <v>7006428.9199999999</v>
      </c>
      <c r="H8" s="22">
        <v>5400044.6500000004</v>
      </c>
      <c r="I8" s="22">
        <v>8554548.8699999992</v>
      </c>
      <c r="J8" s="22">
        <v>5209196.18</v>
      </c>
      <c r="K8" s="30">
        <f t="shared" si="0"/>
        <v>50831473.899999999</v>
      </c>
      <c r="M8" s="17"/>
    </row>
    <row r="9" spans="1:13" ht="12" customHeight="1" x14ac:dyDescent="0.2">
      <c r="A9" s="33" t="s">
        <v>73</v>
      </c>
      <c r="B9" s="22">
        <v>9297994.6799999997</v>
      </c>
      <c r="C9" s="24"/>
      <c r="D9" s="22"/>
      <c r="E9" s="22"/>
      <c r="F9" s="23"/>
      <c r="G9" s="22">
        <v>1325144.79</v>
      </c>
      <c r="H9" s="22">
        <v>1815787.62</v>
      </c>
      <c r="I9" s="22">
        <v>3274083.17</v>
      </c>
      <c r="J9" s="22">
        <v>1703064.14</v>
      </c>
      <c r="K9" s="30">
        <f t="shared" si="0"/>
        <v>17416074.399999999</v>
      </c>
      <c r="M9" s="44"/>
    </row>
    <row r="10" spans="1:13" ht="12" customHeight="1" x14ac:dyDescent="0.2">
      <c r="A10" s="33" t="s">
        <v>76</v>
      </c>
      <c r="B10" s="16">
        <f>SUM(B11:B12)</f>
        <v>27652187.439999998</v>
      </c>
      <c r="C10" s="16">
        <f>SUM(C11:C12)</f>
        <v>0</v>
      </c>
      <c r="D10" s="16">
        <f>SUM(D11:D12)</f>
        <v>65611.540000000008</v>
      </c>
      <c r="E10" s="16">
        <f>SUM(E11:E12)</f>
        <v>4575621.0999999996</v>
      </c>
      <c r="F10" s="23"/>
      <c r="G10" s="16">
        <f>SUM(G11:G12)</f>
        <v>8208395.3499999996</v>
      </c>
      <c r="H10" s="16">
        <f>SUM(H11:H12)</f>
        <v>8082629.4900000002</v>
      </c>
      <c r="I10" s="16">
        <f>SUM(I11:I12)</f>
        <v>11396816.399999999</v>
      </c>
      <c r="J10" s="16">
        <f>SUM(J11:J12)</f>
        <v>7552205.6499999994</v>
      </c>
      <c r="K10" s="16">
        <f>SUM(K11:K12)</f>
        <v>67533466.969999999</v>
      </c>
    </row>
    <row r="11" spans="1:13" ht="12" customHeight="1" x14ac:dyDescent="0.2">
      <c r="A11" s="33" t="s">
        <v>74</v>
      </c>
      <c r="B11" s="22">
        <v>23820765.489999998</v>
      </c>
      <c r="C11" s="22"/>
      <c r="D11" s="22">
        <v>34852</v>
      </c>
      <c r="E11" s="22">
        <v>4575621.0999999996</v>
      </c>
      <c r="F11" s="23"/>
      <c r="G11" s="22">
        <v>7609856.3300000001</v>
      </c>
      <c r="H11" s="22">
        <v>6555175.96</v>
      </c>
      <c r="I11" s="22">
        <v>9474550.9499999993</v>
      </c>
      <c r="J11" s="22">
        <v>6971105.5599999996</v>
      </c>
      <c r="K11" s="30">
        <f>SUM(B11:J11)</f>
        <v>59041927.390000001</v>
      </c>
    </row>
    <row r="12" spans="1:13" ht="12" customHeight="1" x14ac:dyDescent="0.2">
      <c r="A12" s="33" t="s">
        <v>75</v>
      </c>
      <c r="B12" s="22">
        <v>3831421.95</v>
      </c>
      <c r="C12" s="24"/>
      <c r="D12" s="22">
        <v>30759.54</v>
      </c>
      <c r="E12" s="22"/>
      <c r="F12" s="23"/>
      <c r="G12" s="22">
        <v>598539.02</v>
      </c>
      <c r="H12" s="22">
        <v>1527453.53</v>
      </c>
      <c r="I12" s="22">
        <v>1922265.45</v>
      </c>
      <c r="J12" s="22">
        <v>581100.09</v>
      </c>
      <c r="K12" s="30">
        <f>SUM(B12:J12)</f>
        <v>8491539.5800000001</v>
      </c>
    </row>
    <row r="13" spans="1:13" ht="12" customHeight="1" x14ac:dyDescent="0.2">
      <c r="A13" s="15" t="s">
        <v>39</v>
      </c>
      <c r="B13" s="22">
        <v>13495068.27</v>
      </c>
      <c r="C13" s="24"/>
      <c r="D13" s="22">
        <v>734014.68</v>
      </c>
      <c r="E13" s="22">
        <v>152188.76</v>
      </c>
      <c r="F13" s="23"/>
      <c r="G13" s="22">
        <v>3643688.93</v>
      </c>
      <c r="H13" s="22">
        <v>3217250.15</v>
      </c>
      <c r="I13" s="22">
        <v>3568951.19</v>
      </c>
      <c r="J13" s="22">
        <v>2877899.44</v>
      </c>
      <c r="K13" s="30">
        <f t="shared" si="0"/>
        <v>27689061.420000002</v>
      </c>
    </row>
    <row r="14" spans="1:13" ht="12" customHeight="1" x14ac:dyDescent="0.2">
      <c r="A14" s="15" t="s">
        <v>40</v>
      </c>
      <c r="B14" s="22">
        <v>28215971.710000001</v>
      </c>
      <c r="C14" s="24"/>
      <c r="D14" s="22">
        <v>1116463.9099999999</v>
      </c>
      <c r="E14" s="22"/>
      <c r="F14" s="23"/>
      <c r="G14" s="22">
        <v>7203427.21</v>
      </c>
      <c r="H14" s="22">
        <v>6384689.3300000001</v>
      </c>
      <c r="I14" s="22">
        <v>12063264.699999999</v>
      </c>
      <c r="J14" s="22">
        <v>6457657.75</v>
      </c>
      <c r="K14" s="30">
        <f t="shared" si="0"/>
        <v>61441474.609999999</v>
      </c>
    </row>
    <row r="15" spans="1:13" ht="12" customHeight="1" x14ac:dyDescent="0.2">
      <c r="A15" s="15" t="s">
        <v>117</v>
      </c>
      <c r="B15" s="22">
        <f>B16+B17</f>
        <v>24259260.66</v>
      </c>
      <c r="C15" s="22">
        <f t="shared" ref="C15:E15" si="1">C16+C17</f>
        <v>0</v>
      </c>
      <c r="D15" s="22">
        <f t="shared" si="1"/>
        <v>2056583.12</v>
      </c>
      <c r="E15" s="22">
        <f t="shared" si="1"/>
        <v>1574895.1</v>
      </c>
      <c r="F15" s="23"/>
      <c r="G15" s="22">
        <f>G16+G17</f>
        <v>7431846.2799999993</v>
      </c>
      <c r="H15" s="22">
        <f t="shared" ref="H15:J15" si="2">H16+H17</f>
        <v>6589535.6299999999</v>
      </c>
      <c r="I15" s="22">
        <f t="shared" si="2"/>
        <v>9435278.0500000007</v>
      </c>
      <c r="J15" s="22">
        <f t="shared" si="2"/>
        <v>6222189.6199999992</v>
      </c>
      <c r="K15" s="22">
        <f>K16+K17</f>
        <v>57569588.460000008</v>
      </c>
    </row>
    <row r="16" spans="1:13" ht="12" customHeight="1" x14ac:dyDescent="0.2">
      <c r="A16" s="33" t="s">
        <v>115</v>
      </c>
      <c r="B16" s="22">
        <v>11383789.84</v>
      </c>
      <c r="C16" s="24"/>
      <c r="D16" s="22">
        <v>1578502.37</v>
      </c>
      <c r="E16" s="22">
        <f>253688.64+692081.39</f>
        <v>945770.03</v>
      </c>
      <c r="F16" s="23"/>
      <c r="G16" s="22">
        <v>2999115.56</v>
      </c>
      <c r="H16" s="22">
        <v>2571355.19</v>
      </c>
      <c r="I16" s="22">
        <v>4486362.17</v>
      </c>
      <c r="J16" s="22">
        <v>3556481.53</v>
      </c>
      <c r="K16" s="30">
        <f t="shared" si="0"/>
        <v>27521376.690000005</v>
      </c>
    </row>
    <row r="17" spans="1:13" ht="12" customHeight="1" x14ac:dyDescent="0.2">
      <c r="A17" s="33" t="s">
        <v>116</v>
      </c>
      <c r="B17" s="22">
        <v>12875470.82</v>
      </c>
      <c r="C17" s="24"/>
      <c r="D17" s="22">
        <v>478080.75</v>
      </c>
      <c r="E17" s="22">
        <v>629125.06999999995</v>
      </c>
      <c r="F17" s="23"/>
      <c r="G17" s="22">
        <v>4432730.72</v>
      </c>
      <c r="H17" s="22">
        <v>4018180.44</v>
      </c>
      <c r="I17" s="22">
        <v>4948915.88</v>
      </c>
      <c r="J17" s="22">
        <v>2665708.09</v>
      </c>
      <c r="K17" s="30">
        <f>SUM(B17:J17)</f>
        <v>30048211.77</v>
      </c>
    </row>
    <row r="18" spans="1:13" ht="12" customHeight="1" x14ac:dyDescent="0.2">
      <c r="A18" s="33" t="s">
        <v>78</v>
      </c>
      <c r="B18" s="22">
        <v>4856878.08</v>
      </c>
      <c r="C18" s="22"/>
      <c r="D18" s="22"/>
      <c r="E18" s="24"/>
      <c r="F18" s="23"/>
      <c r="G18" s="22">
        <v>1352017.81</v>
      </c>
      <c r="H18" s="22">
        <v>880034.56</v>
      </c>
      <c r="I18" s="22">
        <v>1538843.59</v>
      </c>
      <c r="J18" s="22">
        <v>962467.16</v>
      </c>
      <c r="K18" s="30">
        <f t="shared" si="0"/>
        <v>9590241.2000000011</v>
      </c>
    </row>
    <row r="19" spans="1:13" ht="12" customHeight="1" x14ac:dyDescent="0.2">
      <c r="A19" s="33" t="s">
        <v>79</v>
      </c>
      <c r="B19" s="22">
        <v>18244180.859999999</v>
      </c>
      <c r="C19" s="22"/>
      <c r="D19" s="22">
        <v>1274761.82</v>
      </c>
      <c r="E19" s="22"/>
      <c r="F19" s="23"/>
      <c r="G19" s="22">
        <v>4995204.24</v>
      </c>
      <c r="H19" s="22">
        <v>5332413.7699999996</v>
      </c>
      <c r="I19" s="22">
        <v>7450893.0199999996</v>
      </c>
      <c r="J19" s="22">
        <v>4584544.54</v>
      </c>
      <c r="K19" s="30">
        <f t="shared" si="0"/>
        <v>41881998.25</v>
      </c>
    </row>
    <row r="20" spans="1:13" ht="12" customHeight="1" x14ac:dyDescent="0.2">
      <c r="A20" s="15" t="s">
        <v>41</v>
      </c>
      <c r="B20" s="22">
        <v>17190224.670000002</v>
      </c>
      <c r="C20" s="22"/>
      <c r="D20" s="22">
        <v>2598392.2799999998</v>
      </c>
      <c r="E20" s="22"/>
      <c r="F20" s="23"/>
      <c r="G20" s="22">
        <v>3180923.7</v>
      </c>
      <c r="H20" s="22">
        <v>3169114.35</v>
      </c>
      <c r="I20" s="22">
        <v>5485879.0800000001</v>
      </c>
      <c r="J20" s="22">
        <v>3897922.62</v>
      </c>
      <c r="K20" s="30">
        <f t="shared" si="0"/>
        <v>35522456.700000003</v>
      </c>
    </row>
    <row r="21" spans="1:13" ht="12" customHeight="1" x14ac:dyDescent="0.2">
      <c r="A21" s="33" t="s">
        <v>81</v>
      </c>
      <c r="B21" s="22">
        <v>29832620.73</v>
      </c>
      <c r="C21" s="22">
        <v>334818.71000000002</v>
      </c>
      <c r="D21" s="22">
        <v>4750</v>
      </c>
      <c r="E21" s="22"/>
      <c r="F21" s="23"/>
      <c r="G21" s="22">
        <v>23992973.43</v>
      </c>
      <c r="H21" s="22">
        <v>4837347.7300000004</v>
      </c>
      <c r="I21" s="22">
        <v>16391354.060000001</v>
      </c>
      <c r="J21" s="22">
        <v>6740079.9900000002</v>
      </c>
      <c r="K21" s="30">
        <f t="shared" si="0"/>
        <v>82133944.650000006</v>
      </c>
    </row>
    <row r="22" spans="1:13" ht="12" customHeight="1" x14ac:dyDescent="0.2">
      <c r="A22" s="33" t="s">
        <v>82</v>
      </c>
      <c r="B22" s="22">
        <v>20077427.41</v>
      </c>
      <c r="C22" s="24"/>
      <c r="D22" s="22">
        <v>902864.45</v>
      </c>
      <c r="E22" s="22"/>
      <c r="F22" s="23"/>
      <c r="G22" s="22">
        <v>6936493.8899999997</v>
      </c>
      <c r="H22" s="22">
        <v>6079098.4000000004</v>
      </c>
      <c r="I22" s="22">
        <v>7299423.29</v>
      </c>
      <c r="J22" s="22">
        <v>6169522.2999999998</v>
      </c>
      <c r="K22" s="30">
        <f t="shared" si="0"/>
        <v>47464829.739999995</v>
      </c>
    </row>
    <row r="23" spans="1:13" ht="12" customHeight="1" x14ac:dyDescent="0.2">
      <c r="A23" s="33" t="s">
        <v>83</v>
      </c>
      <c r="B23" s="22">
        <v>7590314.21</v>
      </c>
      <c r="C23" s="22">
        <v>12232.45</v>
      </c>
      <c r="D23" s="22">
        <v>186205.8</v>
      </c>
      <c r="E23" s="22">
        <v>531214.31999999995</v>
      </c>
      <c r="F23" s="23"/>
      <c r="G23" s="22">
        <v>2405146.04</v>
      </c>
      <c r="H23" s="22">
        <v>1500928.19</v>
      </c>
      <c r="I23" s="22">
        <v>2734064.68</v>
      </c>
      <c r="J23" s="22">
        <v>1565745.3</v>
      </c>
      <c r="K23" s="30">
        <f t="shared" si="0"/>
        <v>16525850.99</v>
      </c>
    </row>
    <row r="24" spans="1:13" ht="12" customHeight="1" x14ac:dyDescent="0.2">
      <c r="A24" s="33" t="s">
        <v>84</v>
      </c>
      <c r="B24" s="22">
        <v>18946233.920000002</v>
      </c>
      <c r="C24" s="24">
        <v>353923.62</v>
      </c>
      <c r="D24" s="22">
        <v>1403674.61</v>
      </c>
      <c r="E24" s="22"/>
      <c r="F24" s="23"/>
      <c r="G24" s="22">
        <v>4633071.3600000003</v>
      </c>
      <c r="H24" s="22">
        <v>6234698.7800000003</v>
      </c>
      <c r="I24" s="22">
        <v>6156693.8399999999</v>
      </c>
      <c r="J24" s="22">
        <v>3694366.21</v>
      </c>
      <c r="K24" s="30">
        <f t="shared" si="0"/>
        <v>41422662.340000004</v>
      </c>
    </row>
    <row r="25" spans="1:13" ht="12" customHeight="1" x14ac:dyDescent="0.2">
      <c r="A25" s="15" t="s">
        <v>42</v>
      </c>
      <c r="B25" s="22">
        <v>31932055.510000002</v>
      </c>
      <c r="C25" s="22"/>
      <c r="D25" s="22">
        <v>803595.02</v>
      </c>
      <c r="E25" s="22">
        <v>3321861.86</v>
      </c>
      <c r="F25" s="23"/>
      <c r="G25" s="22">
        <v>13655326.23</v>
      </c>
      <c r="H25" s="22">
        <v>8312750.7699999996</v>
      </c>
      <c r="I25" s="22">
        <v>7712556.0199999996</v>
      </c>
      <c r="J25" s="22">
        <v>8219873.0099999998</v>
      </c>
      <c r="K25" s="30">
        <f>SUM(B25:J25)</f>
        <v>73958018.420000002</v>
      </c>
    </row>
    <row r="26" spans="1:13" ht="12" customHeight="1" x14ac:dyDescent="0.2">
      <c r="A26" s="15" t="s">
        <v>43</v>
      </c>
      <c r="B26" s="22">
        <v>92722506.060000002</v>
      </c>
      <c r="C26" s="22">
        <v>1168485.46</v>
      </c>
      <c r="D26" s="22">
        <f>1939184.46</f>
        <v>1939184.46</v>
      </c>
      <c r="E26" s="22">
        <f>8961409.18+1586126.98</f>
        <v>10547536.16</v>
      </c>
      <c r="F26" s="23"/>
      <c r="G26" s="22">
        <v>33885939.159999996</v>
      </c>
      <c r="H26" s="22">
        <v>20426826.699999999</v>
      </c>
      <c r="I26" s="22">
        <v>24904329.170000002</v>
      </c>
      <c r="J26" s="22">
        <v>16701140.84</v>
      </c>
      <c r="K26" s="30">
        <f t="shared" si="0"/>
        <v>202295948.00999996</v>
      </c>
    </row>
    <row r="27" spans="1:13" ht="12" customHeight="1" x14ac:dyDescent="0.2">
      <c r="A27" s="15" t="s">
        <v>44</v>
      </c>
      <c r="B27" s="22">
        <v>11647673.550000001</v>
      </c>
      <c r="C27" s="22">
        <v>10187.530000000001</v>
      </c>
      <c r="D27" s="22">
        <v>1079647.48</v>
      </c>
      <c r="E27" s="22">
        <v>264787.27</v>
      </c>
      <c r="F27" s="23"/>
      <c r="G27" s="22">
        <v>2526273.6</v>
      </c>
      <c r="H27" s="22">
        <v>3408042.74</v>
      </c>
      <c r="I27" s="22">
        <v>3349530.87</v>
      </c>
      <c r="J27" s="22">
        <v>2588863.4</v>
      </c>
      <c r="K27" s="30">
        <f t="shared" si="0"/>
        <v>24875006.440000001</v>
      </c>
    </row>
    <row r="28" spans="1:13" x14ac:dyDescent="0.2">
      <c r="A28" s="33" t="s">
        <v>85</v>
      </c>
      <c r="B28" s="22">
        <v>28543045.539999999</v>
      </c>
      <c r="C28" s="24"/>
      <c r="D28" s="22">
        <v>863377.79</v>
      </c>
      <c r="E28" s="22"/>
      <c r="F28" s="23"/>
      <c r="G28" s="22">
        <v>12169165.51</v>
      </c>
      <c r="H28" s="22">
        <v>6385705.7999999998</v>
      </c>
      <c r="I28" s="22">
        <v>11690829.890000001</v>
      </c>
      <c r="J28" s="22">
        <v>6590599.8099999996</v>
      </c>
      <c r="K28" s="30">
        <f t="shared" si="0"/>
        <v>66242724.339999996</v>
      </c>
    </row>
    <row r="29" spans="1:13" ht="12" customHeight="1" x14ac:dyDescent="0.2">
      <c r="A29" s="33" t="s">
        <v>86</v>
      </c>
      <c r="B29" s="22">
        <v>17532271</v>
      </c>
      <c r="C29" s="22"/>
      <c r="D29" s="22"/>
      <c r="E29" s="24"/>
      <c r="F29" s="23"/>
      <c r="G29" s="22">
        <v>7297341.7599999998</v>
      </c>
      <c r="H29" s="22">
        <v>4961757.8099999996</v>
      </c>
      <c r="I29" s="22">
        <v>6706730.5700000003</v>
      </c>
      <c r="J29" s="22">
        <v>4376274.92</v>
      </c>
      <c r="K29" s="30">
        <f t="shared" si="0"/>
        <v>40874376.060000002</v>
      </c>
    </row>
    <row r="30" spans="1:13" ht="12" customHeight="1" x14ac:dyDescent="0.2">
      <c r="A30" s="15" t="s">
        <v>45</v>
      </c>
      <c r="B30" s="25">
        <f>SUM(B31:B35)</f>
        <v>17063949.409999996</v>
      </c>
      <c r="C30" s="25">
        <f>SUM(C31:C35)</f>
        <v>44798.25</v>
      </c>
      <c r="D30" s="25">
        <f>SUM(D31:D35)</f>
        <v>781289.23</v>
      </c>
      <c r="E30" s="25">
        <f>SUM(E31:E35)</f>
        <v>495971.92000000004</v>
      </c>
      <c r="G30" s="25">
        <f>SUM(G31:G35)</f>
        <v>3278479.25</v>
      </c>
      <c r="H30" s="25">
        <f>SUM(H31:H35)</f>
        <v>4993194.4800000004</v>
      </c>
      <c r="I30" s="25">
        <f>SUM(I31:I35)</f>
        <v>7761763.54</v>
      </c>
      <c r="J30" s="25">
        <f>SUM(J31:J35)</f>
        <v>8799502.0499999989</v>
      </c>
      <c r="K30" s="30">
        <f t="shared" si="0"/>
        <v>43218948.129999995</v>
      </c>
    </row>
    <row r="31" spans="1:13" ht="14.25" customHeight="1" x14ac:dyDescent="0.2">
      <c r="A31" s="33" t="s">
        <v>87</v>
      </c>
      <c r="B31" s="22">
        <v>5402018.8099999996</v>
      </c>
      <c r="C31" s="24"/>
      <c r="D31" s="22">
        <v>530961.88</v>
      </c>
      <c r="E31" s="22">
        <v>14909.2</v>
      </c>
      <c r="F31" s="23"/>
      <c r="G31" s="22">
        <v>1011447.94</v>
      </c>
      <c r="H31" s="22">
        <v>1140766.82</v>
      </c>
      <c r="I31" s="22">
        <v>2342539.4700000002</v>
      </c>
      <c r="J31" s="22">
        <v>1565380.98</v>
      </c>
      <c r="K31" s="30">
        <f t="shared" si="0"/>
        <v>12008025.100000001</v>
      </c>
      <c r="M31" s="46"/>
    </row>
    <row r="32" spans="1:13" ht="12" customHeight="1" x14ac:dyDescent="0.2">
      <c r="A32" s="33" t="s">
        <v>88</v>
      </c>
      <c r="B32" s="22">
        <v>4225741.16</v>
      </c>
      <c r="C32" s="22"/>
      <c r="D32" s="22">
        <v>119883.68</v>
      </c>
      <c r="E32" s="22">
        <v>146455.14000000001</v>
      </c>
      <c r="F32" s="23"/>
      <c r="G32" s="22">
        <v>674351.14</v>
      </c>
      <c r="H32" s="22">
        <v>1230355.53</v>
      </c>
      <c r="I32" s="22">
        <v>1518299.15</v>
      </c>
      <c r="J32" s="22">
        <v>5144282.3899999997</v>
      </c>
      <c r="K32" s="30">
        <f t="shared" si="0"/>
        <v>13059368.189999998</v>
      </c>
    </row>
    <row r="33" spans="1:11" ht="12" customHeight="1" x14ac:dyDescent="0.2">
      <c r="A33" s="33" t="s">
        <v>46</v>
      </c>
      <c r="B33" s="22">
        <v>4162696.03</v>
      </c>
      <c r="C33" s="24">
        <v>44798.25</v>
      </c>
      <c r="D33" s="22">
        <v>126187.94</v>
      </c>
      <c r="E33" s="22">
        <v>177320.58</v>
      </c>
      <c r="F33" s="23"/>
      <c r="G33" s="22">
        <v>606031.92000000004</v>
      </c>
      <c r="H33" s="22">
        <v>1517868.15</v>
      </c>
      <c r="I33" s="22">
        <v>2154151.58</v>
      </c>
      <c r="J33" s="22">
        <v>1339569.4099999999</v>
      </c>
      <c r="K33" s="30">
        <f t="shared" si="0"/>
        <v>10128623.859999999</v>
      </c>
    </row>
    <row r="34" spans="1:11" ht="12" customHeight="1" x14ac:dyDescent="0.2">
      <c r="A34" s="33" t="s">
        <v>89</v>
      </c>
      <c r="B34" s="22">
        <v>988413.28</v>
      </c>
      <c r="C34" s="22"/>
      <c r="D34" s="22"/>
      <c r="E34" s="22">
        <v>157287</v>
      </c>
      <c r="F34" s="23"/>
      <c r="G34" s="22">
        <v>273734</v>
      </c>
      <c r="H34" s="22">
        <v>275867.59999999998</v>
      </c>
      <c r="I34" s="22">
        <v>795064.34</v>
      </c>
      <c r="J34" s="22">
        <v>277222.71999999997</v>
      </c>
      <c r="K34" s="30">
        <f t="shared" si="0"/>
        <v>2767588.9399999995</v>
      </c>
    </row>
    <row r="35" spans="1:11" ht="12" customHeight="1" x14ac:dyDescent="0.2">
      <c r="A35" s="33" t="s">
        <v>90</v>
      </c>
      <c r="B35" s="22">
        <v>2285080.13</v>
      </c>
      <c r="C35" s="24"/>
      <c r="D35" s="22">
        <v>4255.7299999999996</v>
      </c>
      <c r="E35" s="24"/>
      <c r="F35" s="23"/>
      <c r="G35" s="22">
        <v>712914.25</v>
      </c>
      <c r="H35" s="22">
        <v>828336.38</v>
      </c>
      <c r="I35" s="22">
        <v>951709</v>
      </c>
      <c r="J35" s="22">
        <v>473046.55</v>
      </c>
      <c r="K35" s="30">
        <f t="shared" si="0"/>
        <v>5255342.04</v>
      </c>
    </row>
    <row r="36" spans="1:11" ht="12" customHeight="1" x14ac:dyDescent="0.2">
      <c r="A36" s="33" t="s">
        <v>91</v>
      </c>
      <c r="B36" s="22">
        <v>12874709.289999999</v>
      </c>
      <c r="C36" s="22">
        <v>23522.33</v>
      </c>
      <c r="D36" s="22">
        <v>270930.98</v>
      </c>
      <c r="E36" s="22">
        <v>181849.07</v>
      </c>
      <c r="F36" s="23"/>
      <c r="G36" s="22">
        <v>3332901.65</v>
      </c>
      <c r="H36" s="22">
        <v>3004937.57</v>
      </c>
      <c r="I36" s="22">
        <v>3955081.76</v>
      </c>
      <c r="J36" s="22">
        <v>2615015.25</v>
      </c>
      <c r="K36" s="30">
        <f t="shared" si="0"/>
        <v>26258947.899999999</v>
      </c>
    </row>
    <row r="37" spans="1:11" ht="12" customHeight="1" x14ac:dyDescent="0.2">
      <c r="A37" s="33" t="s">
        <v>92</v>
      </c>
      <c r="B37" s="22">
        <v>3804318.62</v>
      </c>
      <c r="C37" s="24"/>
      <c r="D37" s="22">
        <v>1418971.87</v>
      </c>
      <c r="E37" s="22"/>
      <c r="F37" s="23"/>
      <c r="G37" s="22">
        <v>1079298.05</v>
      </c>
      <c r="H37" s="22">
        <v>1285775.9099999999</v>
      </c>
      <c r="I37" s="22">
        <v>4585374.47</v>
      </c>
      <c r="J37" s="22">
        <v>1133321.97</v>
      </c>
      <c r="K37" s="30">
        <f t="shared" si="0"/>
        <v>13307060.890000001</v>
      </c>
    </row>
    <row r="38" spans="1:11" ht="12" customHeight="1" x14ac:dyDescent="0.2">
      <c r="A38" s="33" t="s">
        <v>47</v>
      </c>
      <c r="B38" s="22">
        <v>16746698.23</v>
      </c>
      <c r="C38" s="24"/>
      <c r="D38" s="22">
        <v>1994816.35</v>
      </c>
      <c r="E38" s="22">
        <v>77.650000000000006</v>
      </c>
      <c r="F38" s="23"/>
      <c r="G38" s="22">
        <v>2896088.54</v>
      </c>
      <c r="H38" s="22">
        <v>3722816.13</v>
      </c>
      <c r="I38" s="22">
        <v>4876628.6100000003</v>
      </c>
      <c r="J38" s="22">
        <v>2899693.49</v>
      </c>
      <c r="K38" s="30">
        <f t="shared" si="0"/>
        <v>33136819</v>
      </c>
    </row>
    <row r="39" spans="1:11" ht="12" customHeight="1" x14ac:dyDescent="0.2">
      <c r="A39" s="33" t="s">
        <v>93</v>
      </c>
      <c r="B39" s="22">
        <v>11018820.189999999</v>
      </c>
      <c r="C39" s="24"/>
      <c r="D39" s="22">
        <v>570633.94999999995</v>
      </c>
      <c r="E39" s="22">
        <v>54461.31</v>
      </c>
      <c r="F39" s="23"/>
      <c r="G39" s="22">
        <v>3076788.25</v>
      </c>
      <c r="H39" s="22">
        <v>3844189.7</v>
      </c>
      <c r="I39" s="22">
        <v>4972306.2</v>
      </c>
      <c r="J39" s="22">
        <v>2817584.32</v>
      </c>
      <c r="K39" s="30">
        <f t="shared" si="0"/>
        <v>26354783.919999998</v>
      </c>
    </row>
    <row r="40" spans="1:11" ht="12" customHeight="1" x14ac:dyDescent="0.2">
      <c r="A40" s="33" t="s">
        <v>94</v>
      </c>
      <c r="B40" s="22">
        <v>19081211.91</v>
      </c>
      <c r="C40" s="24"/>
      <c r="D40" s="22">
        <v>970530.64</v>
      </c>
      <c r="E40" s="22">
        <v>159880.04999999999</v>
      </c>
      <c r="F40" s="23"/>
      <c r="G40" s="22">
        <v>6569148.3499999996</v>
      </c>
      <c r="H40" s="22">
        <v>3351451.24</v>
      </c>
      <c r="I40" s="22">
        <v>8781276.5199999996</v>
      </c>
      <c r="J40" s="22">
        <v>5421542.5700000003</v>
      </c>
      <c r="K40" s="30">
        <f t="shared" si="0"/>
        <v>44335041.280000009</v>
      </c>
    </row>
    <row r="41" spans="1:11" ht="12" customHeight="1" x14ac:dyDescent="0.2">
      <c r="A41" s="33" t="s">
        <v>50</v>
      </c>
      <c r="B41" s="22">
        <v>21056221.91</v>
      </c>
      <c r="C41" s="22"/>
      <c r="D41" s="22">
        <v>655704.02</v>
      </c>
      <c r="E41" s="22"/>
      <c r="F41" s="23"/>
      <c r="G41" s="22">
        <v>4478159</v>
      </c>
      <c r="H41" s="22">
        <v>6025995.71</v>
      </c>
      <c r="I41" s="22">
        <v>5652164.7699999996</v>
      </c>
      <c r="J41" s="22">
        <v>5177500.63</v>
      </c>
      <c r="K41" s="30">
        <f t="shared" si="0"/>
        <v>43045746.039999999</v>
      </c>
    </row>
    <row r="42" spans="1:11" ht="12" customHeight="1" x14ac:dyDescent="0.2">
      <c r="A42" s="33" t="s">
        <v>64</v>
      </c>
      <c r="B42" s="22">
        <v>13073268.029999999</v>
      </c>
      <c r="C42" s="24"/>
      <c r="D42" s="22">
        <v>1617711.34</v>
      </c>
      <c r="E42" s="22">
        <v>165588.20000000001</v>
      </c>
      <c r="F42" s="23"/>
      <c r="G42" s="22">
        <v>3795188.2</v>
      </c>
      <c r="H42" s="22">
        <v>3743836.2</v>
      </c>
      <c r="I42" s="22">
        <v>5107343.53</v>
      </c>
      <c r="J42" s="22">
        <v>2557541.4300000002</v>
      </c>
      <c r="K42" s="30">
        <f t="shared" si="0"/>
        <v>30060476.93</v>
      </c>
    </row>
    <row r="43" spans="1:11" ht="12" customHeight="1" x14ac:dyDescent="0.2">
      <c r="A43" s="33" t="s">
        <v>95</v>
      </c>
      <c r="B43" s="22">
        <v>17465931.359999999</v>
      </c>
      <c r="C43" s="22">
        <v>130184.45</v>
      </c>
      <c r="D43" s="22">
        <v>136855.62</v>
      </c>
      <c r="E43" s="22">
        <v>3317649.17</v>
      </c>
      <c r="F43" s="23"/>
      <c r="G43" s="22">
        <v>5099766.26</v>
      </c>
      <c r="H43" s="22">
        <v>6093208.8099999996</v>
      </c>
      <c r="I43" s="22">
        <v>7103550.3600000003</v>
      </c>
      <c r="J43" s="22">
        <v>4268888.25</v>
      </c>
      <c r="K43" s="30">
        <f t="shared" si="0"/>
        <v>43616034.280000001</v>
      </c>
    </row>
    <row r="44" spans="1:11" ht="12" customHeight="1" x14ac:dyDescent="0.2">
      <c r="A44" s="33" t="s">
        <v>96</v>
      </c>
      <c r="B44" s="22">
        <v>65896037.890000001</v>
      </c>
      <c r="C44" s="22">
        <v>987583.29</v>
      </c>
      <c r="D44" s="22">
        <v>1505603.94</v>
      </c>
      <c r="E44" s="22">
        <f>6555404.22+72210.67</f>
        <v>6627614.8899999997</v>
      </c>
      <c r="F44" s="23"/>
      <c r="G44" s="22">
        <v>21392367.120000001</v>
      </c>
      <c r="H44" s="22">
        <v>11488022.33</v>
      </c>
      <c r="I44" s="22">
        <v>23177203.059999999</v>
      </c>
      <c r="J44" s="22">
        <v>14381549.1</v>
      </c>
      <c r="K44" s="30">
        <f t="shared" si="0"/>
        <v>145455981.62</v>
      </c>
    </row>
    <row r="45" spans="1:11" ht="12" customHeight="1" x14ac:dyDescent="0.2">
      <c r="A45" s="33" t="s">
        <v>97</v>
      </c>
      <c r="B45" s="22">
        <v>16715889.220000001</v>
      </c>
      <c r="C45" s="24"/>
      <c r="D45" s="22">
        <v>528923.18000000005</v>
      </c>
      <c r="E45" s="22">
        <v>1055189.69</v>
      </c>
      <c r="F45" s="23"/>
      <c r="G45" s="22">
        <v>3664965.33</v>
      </c>
      <c r="H45" s="22">
        <v>3505365.12</v>
      </c>
      <c r="I45" s="22">
        <v>4757791.43</v>
      </c>
      <c r="J45" s="22">
        <v>3158442.09</v>
      </c>
      <c r="K45" s="30">
        <f t="shared" si="0"/>
        <v>33386566.060000002</v>
      </c>
    </row>
    <row r="46" spans="1:11" ht="12" customHeight="1" x14ac:dyDescent="0.2">
      <c r="A46" s="33" t="s">
        <v>98</v>
      </c>
      <c r="B46" s="22">
        <v>48208970.890000001</v>
      </c>
      <c r="C46" s="22">
        <v>49592.58</v>
      </c>
      <c r="D46" s="22">
        <v>208257.7</v>
      </c>
      <c r="E46" s="22">
        <f>3251116.07-2500</f>
        <v>3248616.07</v>
      </c>
      <c r="F46" s="23"/>
      <c r="G46" s="22">
        <v>14104026.720000001</v>
      </c>
      <c r="H46" s="22">
        <v>6349322.1500000004</v>
      </c>
      <c r="I46" s="22">
        <v>16659216.460000001</v>
      </c>
      <c r="J46" s="22">
        <v>10063069.27</v>
      </c>
      <c r="K46" s="30">
        <f t="shared" si="0"/>
        <v>98891071.839999989</v>
      </c>
    </row>
    <row r="48" spans="1:11" hidden="1" x14ac:dyDescent="0.2">
      <c r="A48" s="29" t="s">
        <v>48</v>
      </c>
      <c r="B48" s="17">
        <f>SUM(B6:B46)-B11-B12-B31-B32-B33-B34-B35-B8-B9-B16-B17</f>
        <v>700050824.39999998</v>
      </c>
      <c r="C48" s="17">
        <f>SUM(C6:C46)-C11-C12-C31-C32-C33-C34-C35-C8-C9-C16-C17</f>
        <v>3115328.6700000004</v>
      </c>
      <c r="D48" s="17">
        <f>SUM(D6:D46)-D11-D12-D31-D32-D33-D34-D35-D8-D9-D16-D17</f>
        <v>27580798.960000001</v>
      </c>
      <c r="E48" s="17">
        <f>SUM(E6:E46)-E11-E12-E31-E32-E33-E34-E35-E8-E9-E16-E17</f>
        <v>36342238.099999987</v>
      </c>
      <c r="G48" s="17">
        <f>SUM(G6:G46)-G11-G12-G31-G32-G33-G34-G35-G8-G9-G16-G17</f>
        <v>226848300.29999998</v>
      </c>
      <c r="H48" s="17">
        <f>SUM(H6:H46)-H11-H12-H31-H32-H33-H34-H35-H8-H9-H16-H17</f>
        <v>162964695.65999997</v>
      </c>
      <c r="I48" s="17">
        <f>SUM(I6:I46)-I11-I12-I31-I32-I33-I34-I35-I8-I9-I16-I17</f>
        <v>250500065.7700001</v>
      </c>
      <c r="J48" s="17">
        <f>SUM(J6:J46)-J11-J12-J31-J32-J33-J34-J35-J8-J9-J16-J17</f>
        <v>162020969</v>
      </c>
      <c r="K48" s="17">
        <f>SUM(K6:K46)-K11-K12-K31-K32-K33-K34-K35-K8-K9-K16-K17</f>
        <v>1569423220.8599999</v>
      </c>
    </row>
    <row r="50" spans="1:1" x14ac:dyDescent="0.2">
      <c r="A50" s="40" t="s">
        <v>168</v>
      </c>
    </row>
    <row r="51" spans="1:1" x14ac:dyDescent="0.2">
      <c r="A51" s="40"/>
    </row>
  </sheetData>
  <mergeCells count="1">
    <mergeCell ref="A3:K3"/>
  </mergeCells>
  <phoneticPr fontId="0" type="noConversion"/>
  <pageMargins left="0.36" right="0.11" top="0.45" bottom="0.17" header="0.19" footer="0.17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Table'!B13</f>
        <v>13495068.27</v>
      </c>
      <c r="C9" s="1">
        <f>'Master Expend Table'!C13</f>
        <v>0</v>
      </c>
      <c r="D9" s="1">
        <f>'Master Expend Table'!D13</f>
        <v>734014.68</v>
      </c>
      <c r="E9" s="1">
        <f>'Master Expend Table'!E13</f>
        <v>152188.76</v>
      </c>
      <c r="G9" s="1">
        <f>'Master Expend Table'!G13</f>
        <v>3643688.93</v>
      </c>
      <c r="H9" s="1">
        <f>'Master Expend Table'!H13</f>
        <v>3217250.15</v>
      </c>
      <c r="I9" s="1">
        <f>'Master Expend Table'!I13</f>
        <v>3568951.19</v>
      </c>
      <c r="J9" s="1">
        <f>'Master Expend Table'!J13</f>
        <v>2877899.44</v>
      </c>
      <c r="K9" s="1">
        <f>SUM(B9:J9)</f>
        <v>27689061.420000002</v>
      </c>
    </row>
    <row r="11" spans="1:11" x14ac:dyDescent="0.2">
      <c r="A11" t="s">
        <v>3</v>
      </c>
      <c r="B11" s="1">
        <f>(B9/($K9-$J9))*-$J$11</f>
        <v>1565321.666445981</v>
      </c>
      <c r="C11" s="1">
        <f t="shared" ref="C11:I11" si="0">(C9/($K9-$J9))*-$J$11</f>
        <v>0</v>
      </c>
      <c r="D11" s="1">
        <f t="shared" si="0"/>
        <v>85139.923645114963</v>
      </c>
      <c r="E11" s="1">
        <f t="shared" si="0"/>
        <v>17652.697907955637</v>
      </c>
      <c r="G11" s="1">
        <f t="shared" si="0"/>
        <v>422639.22744263179</v>
      </c>
      <c r="H11" s="1">
        <f t="shared" si="0"/>
        <v>373175.68651111261</v>
      </c>
      <c r="I11" s="1">
        <f t="shared" si="0"/>
        <v>413970.23804720381</v>
      </c>
      <c r="J11" s="1">
        <f>-J9</f>
        <v>-2877899.44</v>
      </c>
      <c r="K11" s="1">
        <v>0</v>
      </c>
    </row>
    <row r="12" spans="1:11" x14ac:dyDescent="0.2">
      <c r="A12" t="s">
        <v>4</v>
      </c>
      <c r="B12" s="1">
        <f>+B9+B11</f>
        <v>15060389.936445981</v>
      </c>
      <c r="C12" s="1">
        <f t="shared" ref="C12:J12" si="1">+C9+C11</f>
        <v>0</v>
      </c>
      <c r="D12" s="1">
        <f t="shared" si="1"/>
        <v>819154.60364511504</v>
      </c>
      <c r="E12" s="1">
        <f t="shared" si="1"/>
        <v>169841.45790795566</v>
      </c>
      <c r="G12" s="1">
        <f t="shared" si="1"/>
        <v>4066328.1574426321</v>
      </c>
      <c r="H12" s="1">
        <f t="shared" si="1"/>
        <v>3590425.8365111127</v>
      </c>
      <c r="I12" s="1">
        <f t="shared" si="1"/>
        <v>3982921.4280472039</v>
      </c>
      <c r="J12" s="1">
        <f t="shared" si="1"/>
        <v>0</v>
      </c>
      <c r="K12" s="1">
        <f>SUM(B12:J12)</f>
        <v>27689061.419999998</v>
      </c>
    </row>
    <row r="14" spans="1:11" x14ac:dyDescent="0.2">
      <c r="A14" t="s">
        <v>5</v>
      </c>
      <c r="B14" s="1">
        <f>B$9/($K$9-$J$9-$I$9)*-I14</f>
        <v>2530329.6872868906</v>
      </c>
      <c r="C14" s="1">
        <f t="shared" ref="C14:H14" si="2">C$9/($K$9-$J$9-$I$9)*-$I$14</f>
        <v>0</v>
      </c>
      <c r="D14" s="1">
        <f t="shared" si="2"/>
        <v>137627.99109636422</v>
      </c>
      <c r="E14" s="1">
        <f t="shared" si="2"/>
        <v>28535.441969970831</v>
      </c>
      <c r="G14" s="1">
        <f t="shared" si="2"/>
        <v>683192.85878037324</v>
      </c>
      <c r="H14" s="1">
        <f t="shared" si="2"/>
        <v>603235.4489136053</v>
      </c>
      <c r="I14" s="1">
        <f>-I12</f>
        <v>-3982921.4280472039</v>
      </c>
      <c r="K14" s="1">
        <v>0</v>
      </c>
    </row>
    <row r="15" spans="1:11" x14ac:dyDescent="0.2">
      <c r="A15" t="s">
        <v>4</v>
      </c>
      <c r="B15" s="1">
        <f>+B12+B14</f>
        <v>17590719.623732872</v>
      </c>
      <c r="C15" s="1">
        <f>+C12+C14</f>
        <v>0</v>
      </c>
      <c r="D15" s="1">
        <f>+D12+D14</f>
        <v>956782.59474147926</v>
      </c>
      <c r="E15" s="1">
        <f>+E12+E14</f>
        <v>198376.89987792648</v>
      </c>
      <c r="G15" s="1">
        <f>+G12+G14</f>
        <v>4749521.016223005</v>
      </c>
      <c r="H15" s="1">
        <f>+H12+H14</f>
        <v>4193661.2854247182</v>
      </c>
      <c r="I15" s="1">
        <f>+I12+I14</f>
        <v>0</v>
      </c>
      <c r="J15" s="1">
        <f>+J12+J14</f>
        <v>0</v>
      </c>
      <c r="K15" s="1">
        <f>SUM(B15:J15)</f>
        <v>27689061.420000002</v>
      </c>
    </row>
    <row r="17" spans="1:11" x14ac:dyDescent="0.2">
      <c r="A17" t="s">
        <v>6</v>
      </c>
      <c r="B17" s="1">
        <f>B$9/($K$9-$J$9-$I$9-$H$9)*-$H$17</f>
        <v>3139743.0750818285</v>
      </c>
      <c r="C17" s="1">
        <f>C$9/($K$9-$J$9-$I$9-$H$9)*-$H$17</f>
        <v>0</v>
      </c>
      <c r="D17" s="1">
        <f>D$9/($K$9-$J$9-$I$9-$H$9)*-$H$17</f>
        <v>170774.79434925487</v>
      </c>
      <c r="E17" s="1">
        <f>E$9/($K$9-$J$9-$I$9-$H$9)*-$H$17</f>
        <v>35408.016895885652</v>
      </c>
      <c r="G17" s="1">
        <f>G$9/($K$9-$J$9-$I$9-$H$9)*-$H$17</f>
        <v>847735.39909774892</v>
      </c>
      <c r="H17" s="1">
        <f>-H15</f>
        <v>-4193661.2854247182</v>
      </c>
      <c r="K17" s="1">
        <v>0</v>
      </c>
    </row>
    <row r="18" spans="1:11" x14ac:dyDescent="0.2">
      <c r="A18" t="s">
        <v>4</v>
      </c>
      <c r="B18" s="1">
        <f>+B15+B17</f>
        <v>20730462.698814701</v>
      </c>
      <c r="C18" s="1">
        <f>+C15+C17</f>
        <v>0</v>
      </c>
      <c r="D18" s="1">
        <f>+D15+D17</f>
        <v>1127557.3890907341</v>
      </c>
      <c r="E18" s="1">
        <f>+E15+E17</f>
        <v>233784.91677381215</v>
      </c>
      <c r="G18" s="1">
        <f>+G15+G17</f>
        <v>5597256.4153207541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27689061.420000002</v>
      </c>
    </row>
    <row r="20" spans="1:11" x14ac:dyDescent="0.2">
      <c r="A20" t="s">
        <v>7</v>
      </c>
      <c r="B20" s="1">
        <f>B$9/($K$9-$J$9-$I$9-$H$9-$G$9)*-$G$20</f>
        <v>5252342.0023366651</v>
      </c>
      <c r="C20" s="1">
        <f>C$9/($K$9-$J$9-$I$9-$H$9-$G$9)*-$G$20</f>
        <v>0</v>
      </c>
      <c r="D20" s="1">
        <f>D$9/($K$9-$J$9-$I$9-$H$9-$G$9)*-$G$20</f>
        <v>285681.85480514856</v>
      </c>
      <c r="E20" s="1">
        <f>E$9/($K$9-$J$9-$I$9-$H$9-$G$9)*-$G$20</f>
        <v>59232.558178939413</v>
      </c>
      <c r="G20" s="1">
        <f>-G18</f>
        <v>-5597256.4153207541</v>
      </c>
      <c r="K20" s="1">
        <f>SUM(B20:J20)</f>
        <v>0</v>
      </c>
    </row>
    <row r="22" spans="1:11" x14ac:dyDescent="0.2">
      <c r="A22" t="s">
        <v>8</v>
      </c>
      <c r="B22" s="1">
        <f>+B20+B18</f>
        <v>25982804.701151367</v>
      </c>
      <c r="C22" s="1">
        <f t="shared" ref="C22:K22" si="3">+C20+C18</f>
        <v>0</v>
      </c>
      <c r="D22" s="1">
        <f t="shared" si="3"/>
        <v>1413239.2438958827</v>
      </c>
      <c r="E22" s="1">
        <f t="shared" si="3"/>
        <v>293017.47495275154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27689061.420000002</v>
      </c>
    </row>
    <row r="27" spans="1:11" x14ac:dyDescent="0.2">
      <c r="A27" t="s">
        <v>9</v>
      </c>
      <c r="B27" s="1">
        <f>+B9</f>
        <v>13495068.27</v>
      </c>
    </row>
    <row r="28" spans="1:11" x14ac:dyDescent="0.2">
      <c r="A28" t="s">
        <v>10</v>
      </c>
      <c r="B28" s="1">
        <f>+B22-B27</f>
        <v>12487736.431151368</v>
      </c>
    </row>
    <row r="29" spans="1:11" x14ac:dyDescent="0.2">
      <c r="A29" s="28" t="s">
        <v>169</v>
      </c>
      <c r="B29" s="1">
        <v>2547</v>
      </c>
    </row>
    <row r="30" spans="1:11" x14ac:dyDescent="0.2">
      <c r="A30" t="s">
        <v>11</v>
      </c>
      <c r="B30" s="1">
        <f>+B28/B29</f>
        <v>4902.9196824308474</v>
      </c>
    </row>
  </sheetData>
  <phoneticPr fontId="0" type="noConversion"/>
  <pageMargins left="0.46" right="0.55000000000000004" top="1" bottom="0.48" header="0.5" footer="0.5"/>
  <pageSetup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2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Table'!B14</f>
        <v>28215971.710000001</v>
      </c>
      <c r="C9" s="1">
        <f>'Master Expend Table'!C14</f>
        <v>0</v>
      </c>
      <c r="D9" s="1">
        <f>'Master Expend Table'!D14</f>
        <v>1116463.9099999999</v>
      </c>
      <c r="E9" s="1">
        <f>'Master Expend Table'!E14</f>
        <v>0</v>
      </c>
      <c r="G9" s="1">
        <f>'Master Expend Table'!G14</f>
        <v>7203427.21</v>
      </c>
      <c r="H9" s="1">
        <f>'Master Expend Table'!H14</f>
        <v>6384689.3300000001</v>
      </c>
      <c r="I9" s="1">
        <f>'Master Expend Table'!I14</f>
        <v>12063264.699999999</v>
      </c>
      <c r="J9" s="1">
        <f>'Master Expend Table'!J14</f>
        <v>6457657.75</v>
      </c>
      <c r="K9" s="1">
        <f>SUM(B9:J9)</f>
        <v>61441474.609999999</v>
      </c>
    </row>
    <row r="11" spans="1:11" x14ac:dyDescent="0.2">
      <c r="A11" t="s">
        <v>3</v>
      </c>
      <c r="B11" s="1">
        <f>(B9/($K9-$J9))*-$J$11</f>
        <v>3313867.5849078232</v>
      </c>
      <c r="C11" s="1">
        <f t="shared" ref="C11:I11" si="0">(C9/($K9-$J9))*-$J$11</f>
        <v>0</v>
      </c>
      <c r="D11" s="1">
        <f t="shared" si="0"/>
        <v>131124.79694460414</v>
      </c>
      <c r="E11" s="1">
        <f t="shared" si="0"/>
        <v>0</v>
      </c>
      <c r="G11" s="1">
        <f t="shared" si="0"/>
        <v>846017.43214116653</v>
      </c>
      <c r="H11" s="1">
        <f t="shared" si="0"/>
        <v>749859.52026933932</v>
      </c>
      <c r="I11" s="1">
        <f t="shared" si="0"/>
        <v>1416788.4157370667</v>
      </c>
      <c r="J11" s="1">
        <f>-J9</f>
        <v>-6457657.75</v>
      </c>
      <c r="K11" s="1">
        <v>0</v>
      </c>
    </row>
    <row r="12" spans="1:11" x14ac:dyDescent="0.2">
      <c r="A12" t="s">
        <v>4</v>
      </c>
      <c r="B12" s="1">
        <f>+B9+B11</f>
        <v>31529839.294907823</v>
      </c>
      <c r="C12" s="1">
        <f t="shared" ref="C12:J12" si="1">+C9+C11</f>
        <v>0</v>
      </c>
      <c r="D12" s="1">
        <f t="shared" si="1"/>
        <v>1247588.7069446039</v>
      </c>
      <c r="E12" s="1">
        <f t="shared" si="1"/>
        <v>0</v>
      </c>
      <c r="G12" s="1">
        <f t="shared" si="1"/>
        <v>8049444.6421411661</v>
      </c>
      <c r="H12" s="1">
        <f t="shared" si="1"/>
        <v>7134548.850269339</v>
      </c>
      <c r="I12" s="1">
        <f t="shared" si="1"/>
        <v>13480053.115737066</v>
      </c>
      <c r="J12" s="1">
        <f t="shared" si="1"/>
        <v>0</v>
      </c>
      <c r="K12" s="1">
        <f>SUM(B12:J12)</f>
        <v>61441474.609999999</v>
      </c>
    </row>
    <row r="14" spans="1:11" x14ac:dyDescent="0.2">
      <c r="A14" t="s">
        <v>5</v>
      </c>
      <c r="B14" s="1">
        <f>B$9/($K$9-$J$9-$I$9)*-I14</f>
        <v>8861787.1444208939</v>
      </c>
      <c r="C14" s="1">
        <f t="shared" ref="C14:H14" si="2">C$9/($K$9-$J$9-$I$9)*-$I$14</f>
        <v>0</v>
      </c>
      <c r="D14" s="1">
        <f t="shared" si="2"/>
        <v>350647.69792568963</v>
      </c>
      <c r="E14" s="1">
        <f t="shared" si="2"/>
        <v>0</v>
      </c>
      <c r="G14" s="1">
        <f t="shared" si="2"/>
        <v>2262379.5948422314</v>
      </c>
      <c r="H14" s="1">
        <f t="shared" si="2"/>
        <v>2005238.6785482515</v>
      </c>
      <c r="I14" s="1">
        <f>-I12</f>
        <v>-13480053.115737066</v>
      </c>
      <c r="K14" s="1">
        <v>0</v>
      </c>
    </row>
    <row r="15" spans="1:11" x14ac:dyDescent="0.2">
      <c r="A15" t="s">
        <v>4</v>
      </c>
      <c r="B15" s="1">
        <f>+B12+B14</f>
        <v>40391626.439328715</v>
      </c>
      <c r="C15" s="1">
        <f>+C12+C14</f>
        <v>0</v>
      </c>
      <c r="D15" s="1">
        <f>+D12+D14</f>
        <v>1598236.4048702936</v>
      </c>
      <c r="E15" s="1">
        <f>+E12+E14</f>
        <v>0</v>
      </c>
      <c r="G15" s="1">
        <f>+G12+G14</f>
        <v>10311824.236983398</v>
      </c>
      <c r="H15" s="1">
        <f>+H12+H14</f>
        <v>9139787.5288175903</v>
      </c>
      <c r="I15" s="1">
        <f>+I12+I14</f>
        <v>0</v>
      </c>
      <c r="J15" s="1">
        <f>+J12+J14</f>
        <v>0</v>
      </c>
      <c r="K15" s="1">
        <f>SUM(B15:J15)</f>
        <v>61441474.609999999</v>
      </c>
    </row>
    <row r="17" spans="1:11" x14ac:dyDescent="0.2">
      <c r="A17" t="s">
        <v>6</v>
      </c>
      <c r="B17" s="1">
        <f>B$9/($K$9-$J$9-$I$9-$H$9)*-$H$17</f>
        <v>7058489.0125209605</v>
      </c>
      <c r="C17" s="1">
        <f>C$9/($K$9-$J$9-$I$9-$H$9)*-$H$17</f>
        <v>0</v>
      </c>
      <c r="D17" s="1">
        <f>D$9/($K$9-$J$9-$I$9-$H$9)*-$H$17</f>
        <v>279293.8808773419</v>
      </c>
      <c r="E17" s="1">
        <f>E$9/($K$9-$J$9-$I$9-$H$9)*-$H$17</f>
        <v>0</v>
      </c>
      <c r="G17" s="1">
        <f>G$9/($K$9-$J$9-$I$9-$H$9)*-$H$17</f>
        <v>1802004.6354192887</v>
      </c>
      <c r="H17" s="1">
        <f>-H15</f>
        <v>-9139787.5288175903</v>
      </c>
      <c r="K17" s="1">
        <v>0</v>
      </c>
    </row>
    <row r="18" spans="1:11" x14ac:dyDescent="0.2">
      <c r="A18" t="s">
        <v>4</v>
      </c>
      <c r="B18" s="1">
        <f>+B15+B17</f>
        <v>47450115.451849677</v>
      </c>
      <c r="C18" s="1">
        <f>+C15+C17</f>
        <v>0</v>
      </c>
      <c r="D18" s="1">
        <f>+D15+D17</f>
        <v>1877530.2857476354</v>
      </c>
      <c r="E18" s="1">
        <f>+E15+E17</f>
        <v>0</v>
      </c>
      <c r="G18" s="1">
        <f>+G15+G17</f>
        <v>12113828.872402687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61441474.609999999</v>
      </c>
    </row>
    <row r="20" spans="1:11" x14ac:dyDescent="0.2">
      <c r="A20" t="s">
        <v>7</v>
      </c>
      <c r="B20" s="1">
        <f>B$9/($K$9-$J$9-$I$9-$H$9-$G$9)*-$G$20</f>
        <v>11652747.054200999</v>
      </c>
      <c r="C20" s="1">
        <f>C$9/($K$9-$J$9-$I$9-$H$9-$G$9)*-$G$20</f>
        <v>0</v>
      </c>
      <c r="D20" s="1">
        <f>D$9/($K$9-$J$9-$I$9-$H$9-$G$9)*-$G$20</f>
        <v>461081.81820168922</v>
      </c>
      <c r="E20" s="1">
        <f>E$9/($K$9-$J$9-$I$9-$H$9-$G$9)*-$G$20</f>
        <v>0</v>
      </c>
      <c r="G20" s="1">
        <f>-G18</f>
        <v>-12113828.872402687</v>
      </c>
      <c r="K20" s="1">
        <f>SUM(B20:J20)</f>
        <v>0</v>
      </c>
    </row>
    <row r="22" spans="1:11" x14ac:dyDescent="0.2">
      <c r="A22" t="s">
        <v>8</v>
      </c>
      <c r="B22" s="1">
        <f>+B20+B18</f>
        <v>59102862.506050676</v>
      </c>
      <c r="C22" s="1">
        <f t="shared" ref="C22:K22" si="3">+C20+C18</f>
        <v>0</v>
      </c>
      <c r="D22" s="1">
        <f t="shared" si="3"/>
        <v>2338612.1039493247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61441474.609999999</v>
      </c>
    </row>
    <row r="27" spans="1:11" x14ac:dyDescent="0.2">
      <c r="A27" t="s">
        <v>9</v>
      </c>
      <c r="B27" s="1">
        <f>+B9</f>
        <v>28215971.710000001</v>
      </c>
    </row>
    <row r="28" spans="1:11" x14ac:dyDescent="0.2">
      <c r="A28" t="s">
        <v>10</v>
      </c>
      <c r="B28" s="1">
        <f>+B22-B27</f>
        <v>30886890.796050675</v>
      </c>
    </row>
    <row r="29" spans="1:11" x14ac:dyDescent="0.2">
      <c r="A29" s="28" t="s">
        <v>169</v>
      </c>
      <c r="B29" s="1">
        <v>5558</v>
      </c>
    </row>
    <row r="30" spans="1:11" x14ac:dyDescent="0.2">
      <c r="A30" t="s">
        <v>11</v>
      </c>
      <c r="B30" s="1">
        <f>+B28/B29</f>
        <v>5557.1951774110603</v>
      </c>
    </row>
  </sheetData>
  <phoneticPr fontId="0" type="noConversion"/>
  <pageMargins left="0.46" right="0.55000000000000004" top="1" bottom="0.63" header="0.5" footer="0.5"/>
  <pageSetup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0"/>
  <sheetViews>
    <sheetView workbookViewId="0">
      <selection activeCell="B29" sqref="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Table'!B15</f>
        <v>24259260.66</v>
      </c>
      <c r="C9" s="1">
        <f>'Master Expend Table'!C15</f>
        <v>0</v>
      </c>
      <c r="D9" s="1">
        <f>'Master Expend Table'!D15</f>
        <v>2056583.12</v>
      </c>
      <c r="E9" s="1">
        <f>'Master Expend Table'!E15</f>
        <v>1574895.1</v>
      </c>
      <c r="G9" s="1">
        <f>'Master Expend Table'!G15</f>
        <v>7431846.2799999993</v>
      </c>
      <c r="H9" s="1">
        <f>'Master Expend Table'!H15</f>
        <v>6589535.6299999999</v>
      </c>
      <c r="I9" s="1">
        <f>'Master Expend Table'!I15</f>
        <v>9435278.0500000007</v>
      </c>
      <c r="J9" s="1">
        <f>'Master Expend Table'!J15</f>
        <v>6222189.6199999992</v>
      </c>
      <c r="K9" s="1">
        <f>SUM(B9:J9)</f>
        <v>57569588.460000001</v>
      </c>
    </row>
    <row r="11" spans="1:11" x14ac:dyDescent="0.2">
      <c r="A11" t="s">
        <v>3</v>
      </c>
      <c r="B11" s="1">
        <f>(B9/($K9-$J9))*-$J$11</f>
        <v>2939695.5498734727</v>
      </c>
      <c r="C11" s="1">
        <f t="shared" ref="C11:I11" si="0">(C9/($K9-$J9))*-$J$11</f>
        <v>0</v>
      </c>
      <c r="D11" s="1">
        <f t="shared" si="0"/>
        <v>249213.21101007136</v>
      </c>
      <c r="E11" s="1">
        <f t="shared" si="0"/>
        <v>190843.08387935587</v>
      </c>
      <c r="G11" s="1">
        <f t="shared" si="0"/>
        <v>900578.37058005878</v>
      </c>
      <c r="H11" s="1">
        <f t="shared" si="0"/>
        <v>798508.61239081505</v>
      </c>
      <c r="I11" s="1">
        <f t="shared" si="0"/>
        <v>1143350.792266225</v>
      </c>
      <c r="J11" s="1">
        <f>-J9</f>
        <v>-6222189.6199999992</v>
      </c>
      <c r="K11" s="1">
        <v>0</v>
      </c>
    </row>
    <row r="12" spans="1:11" x14ac:dyDescent="0.2">
      <c r="A12" t="s">
        <v>4</v>
      </c>
      <c r="B12" s="1">
        <f>+B9+B11</f>
        <v>27198956.209873471</v>
      </c>
      <c r="C12" s="1">
        <f>+C9+C11</f>
        <v>0</v>
      </c>
      <c r="D12" s="1">
        <f>+D9+D11</f>
        <v>2305796.3310100716</v>
      </c>
      <c r="E12" s="1">
        <f>+E9+E11</f>
        <v>1765738.1838793559</v>
      </c>
      <c r="G12" s="1">
        <f>+G9+G11</f>
        <v>8332424.6505800579</v>
      </c>
      <c r="H12" s="1">
        <f>+H9+H11</f>
        <v>7388044.2423908152</v>
      </c>
      <c r="I12" s="1">
        <f>+I9+I11</f>
        <v>10578628.842266226</v>
      </c>
      <c r="J12" s="1">
        <f>+J9+J11</f>
        <v>0</v>
      </c>
      <c r="K12" s="1">
        <f>SUM(B12:J12)</f>
        <v>57569588.460000001</v>
      </c>
    </row>
    <row r="14" spans="1:11" x14ac:dyDescent="0.2">
      <c r="A14" t="s">
        <v>5</v>
      </c>
      <c r="B14" s="1">
        <f>B$9/($K$9-$J$9-$I$9)*-I14</f>
        <v>6123042.9210626055</v>
      </c>
      <c r="C14" s="1">
        <f t="shared" ref="C14:H14" si="1">C$9/($K$9-$J$9-$I$9)*-$I$14</f>
        <v>0</v>
      </c>
      <c r="D14" s="1">
        <f t="shared" si="1"/>
        <v>519082.04833530355</v>
      </c>
      <c r="E14" s="1">
        <f t="shared" si="1"/>
        <v>397503.88227500027</v>
      </c>
      <c r="G14" s="1">
        <f t="shared" si="1"/>
        <v>1875799.6953390851</v>
      </c>
      <c r="H14" s="1">
        <f t="shared" si="1"/>
        <v>1663200.2952542296</v>
      </c>
      <c r="I14" s="1">
        <f>-I12</f>
        <v>-10578628.842266226</v>
      </c>
      <c r="K14" s="1">
        <v>0</v>
      </c>
    </row>
    <row r="15" spans="1:11" x14ac:dyDescent="0.2">
      <c r="A15" t="s">
        <v>4</v>
      </c>
      <c r="B15" s="1">
        <f>+B12+B14</f>
        <v>33321999.130936079</v>
      </c>
      <c r="C15" s="1">
        <f>+C12+C14</f>
        <v>0</v>
      </c>
      <c r="D15" s="1">
        <f>+D12+D14</f>
        <v>2824878.3793453751</v>
      </c>
      <c r="E15" s="1">
        <f>+E12+E14</f>
        <v>2163242.0661543561</v>
      </c>
      <c r="G15" s="1">
        <f>+G12+G14</f>
        <v>10208224.345919143</v>
      </c>
      <c r="H15" s="1">
        <f>+H12+H14</f>
        <v>9051244.5376450457</v>
      </c>
      <c r="I15" s="1">
        <f>+I12+I14</f>
        <v>0</v>
      </c>
      <c r="J15" s="1">
        <f>+J12+J14</f>
        <v>0</v>
      </c>
      <c r="K15" s="1">
        <f>SUM(B15:J15)</f>
        <v>57569588.459999993</v>
      </c>
    </row>
    <row r="17" spans="1:11" x14ac:dyDescent="0.2">
      <c r="A17" t="s">
        <v>6</v>
      </c>
      <c r="B17" s="1">
        <f>B$9/($K$9-$J$9-$I$9-$H$9)*-$H$17</f>
        <v>6216320.2251907978</v>
      </c>
      <c r="C17" s="1">
        <f>C$9/($K$9-$J$9-$I$9-$H$9)*-$H$17</f>
        <v>0</v>
      </c>
      <c r="D17" s="1">
        <f>D$9/($K$9-$J$9-$I$9-$H$9)*-$H$17</f>
        <v>526989.64831692411</v>
      </c>
      <c r="E17" s="1">
        <f>E$9/($K$9-$J$9-$I$9-$H$9)*-$H$17</f>
        <v>403559.38294633431</v>
      </c>
      <c r="G17" s="1">
        <f>G$9/($K$9-$J$9-$I$9-$H$9)*-$H$17</f>
        <v>1904375.2811909886</v>
      </c>
      <c r="H17" s="1">
        <f>-H15</f>
        <v>-9051244.5376450457</v>
      </c>
      <c r="K17" s="1">
        <v>0</v>
      </c>
    </row>
    <row r="18" spans="1:11" x14ac:dyDescent="0.2">
      <c r="A18" t="s">
        <v>4</v>
      </c>
      <c r="B18" s="1">
        <f>+B15+B17</f>
        <v>39538319.356126875</v>
      </c>
      <c r="C18" s="1">
        <f>+C15+C17</f>
        <v>0</v>
      </c>
      <c r="D18" s="1">
        <f>+D15+D17</f>
        <v>3351868.0276622991</v>
      </c>
      <c r="E18" s="1">
        <f>+E15+E17</f>
        <v>2566801.4491006904</v>
      </c>
      <c r="G18" s="1">
        <f>+G15+G17</f>
        <v>12112599.627110131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57569588.459999993</v>
      </c>
    </row>
    <row r="20" spans="1:11" x14ac:dyDescent="0.2">
      <c r="A20" t="s">
        <v>7</v>
      </c>
      <c r="B20" s="1">
        <f>B$9/($K$9-$J$9-$I$9-$H$9-$G$9)*-$G$20</f>
        <v>10535493.982018286</v>
      </c>
      <c r="C20" s="1">
        <f>C$9/($K$9-$J$9-$I$9-$H$9-$G$9)*-$G$20</f>
        <v>0</v>
      </c>
      <c r="D20" s="1">
        <f>D$9/($K$9-$J$9-$I$9-$H$9-$G$9)*-$G$20</f>
        <v>893148.36869725073</v>
      </c>
      <c r="E20" s="1">
        <f>E$9/($K$9-$J$9-$I$9-$H$9-$G$9)*-$G$20</f>
        <v>683957.2763945926</v>
      </c>
      <c r="G20" s="1">
        <f>-G18</f>
        <v>-12112599.627110131</v>
      </c>
      <c r="K20" s="1">
        <f>SUM(B20:J20)</f>
        <v>0</v>
      </c>
    </row>
    <row r="22" spans="1:11" x14ac:dyDescent="0.2">
      <c r="A22" t="s">
        <v>8</v>
      </c>
      <c r="B22" s="1">
        <f>+B20+B18</f>
        <v>50073813.338145159</v>
      </c>
      <c r="C22" s="1">
        <f t="shared" ref="C22:K22" si="2">+C20+C18</f>
        <v>0</v>
      </c>
      <c r="D22" s="1">
        <f t="shared" si="2"/>
        <v>4245016.3963595498</v>
      </c>
      <c r="E22" s="1">
        <f t="shared" si="2"/>
        <v>3250758.725495283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57569588.459999993</v>
      </c>
    </row>
    <row r="27" spans="1:11" x14ac:dyDescent="0.2">
      <c r="A27" t="s">
        <v>9</v>
      </c>
      <c r="B27" s="1">
        <f>+B9</f>
        <v>24259260.66</v>
      </c>
    </row>
    <row r="28" spans="1:11" x14ac:dyDescent="0.2">
      <c r="A28" t="s">
        <v>10</v>
      </c>
      <c r="B28" s="1">
        <f>+B22-B27</f>
        <v>25814552.678145159</v>
      </c>
    </row>
    <row r="29" spans="1:11" x14ac:dyDescent="0.2">
      <c r="A29" s="28" t="s">
        <v>169</v>
      </c>
      <c r="B29" s="1">
        <f>'DAKCTY TC'!B29+'INVER HILLS'!B29</f>
        <v>4439</v>
      </c>
    </row>
    <row r="30" spans="1:11" x14ac:dyDescent="0.2">
      <c r="A30" t="s">
        <v>11</v>
      </c>
      <c r="B30" s="1">
        <f>+B28/B29</f>
        <v>5815.3982153965217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Table'!B16</f>
        <v>11383789.84</v>
      </c>
      <c r="C9" s="1">
        <f>'Master Expend Table'!C16</f>
        <v>0</v>
      </c>
      <c r="D9" s="1">
        <f>'Master Expend Table'!D16</f>
        <v>1578502.37</v>
      </c>
      <c r="E9" s="1">
        <f>'Master Expend Table'!E16</f>
        <v>945770.03</v>
      </c>
      <c r="G9" s="1">
        <f>'Master Expend Table'!G16</f>
        <v>2999115.56</v>
      </c>
      <c r="H9" s="1">
        <f>'Master Expend Table'!H16</f>
        <v>2571355.19</v>
      </c>
      <c r="I9" s="1">
        <f>'Master Expend Table'!I16</f>
        <v>4486362.17</v>
      </c>
      <c r="J9" s="1">
        <f>'Master Expend Table'!J16</f>
        <v>3556481.53</v>
      </c>
      <c r="K9" s="1">
        <f>SUM(B9:J9)</f>
        <v>27521376.690000005</v>
      </c>
    </row>
    <row r="11" spans="1:11" x14ac:dyDescent="0.2">
      <c r="A11" t="s">
        <v>3</v>
      </c>
      <c r="B11" s="1">
        <f>(B9/($K9-$J9))*-$J$11</f>
        <v>1689397.6809436476</v>
      </c>
      <c r="C11" s="1">
        <f t="shared" ref="C11:I11" si="0">(C9/($K9-$J9))*-$J$11</f>
        <v>0</v>
      </c>
      <c r="D11" s="1">
        <f t="shared" si="0"/>
        <v>234255.75144332179</v>
      </c>
      <c r="E11" s="1">
        <f t="shared" si="0"/>
        <v>140355.86723270043</v>
      </c>
      <c r="G11" s="1">
        <f t="shared" si="0"/>
        <v>445080.14845309278</v>
      </c>
      <c r="H11" s="1">
        <f t="shared" si="0"/>
        <v>381598.88366916764</v>
      </c>
      <c r="I11" s="1">
        <f t="shared" si="0"/>
        <v>665793.19825806888</v>
      </c>
      <c r="J11" s="1">
        <f>-J9</f>
        <v>-3556481.53</v>
      </c>
      <c r="K11" s="1">
        <v>0</v>
      </c>
    </row>
    <row r="12" spans="1:11" x14ac:dyDescent="0.2">
      <c r="A12" t="s">
        <v>4</v>
      </c>
      <c r="B12" s="1">
        <f>+B9+B11</f>
        <v>13073187.520943647</v>
      </c>
      <c r="C12" s="1">
        <f>+C9+C11</f>
        <v>0</v>
      </c>
      <c r="D12" s="1">
        <f>+D9+D11</f>
        <v>1812758.1214433219</v>
      </c>
      <c r="E12" s="1">
        <f>+E9+E11</f>
        <v>1086125.8972327004</v>
      </c>
      <c r="G12" s="1">
        <f>+G9+G11</f>
        <v>3444195.7084530927</v>
      </c>
      <c r="H12" s="1">
        <f>+H9+H11</f>
        <v>2952954.0736691677</v>
      </c>
      <c r="I12" s="1">
        <f>+I9+I11</f>
        <v>5152155.3682580683</v>
      </c>
      <c r="J12" s="1">
        <f>+J9+J11</f>
        <v>0</v>
      </c>
      <c r="K12" s="1">
        <f>SUM(B12:J12)</f>
        <v>27521376.689999998</v>
      </c>
    </row>
    <row r="14" spans="1:11" x14ac:dyDescent="0.2">
      <c r="A14" t="s">
        <v>5</v>
      </c>
      <c r="B14" s="1">
        <f>B$9/($K$9-$J$9-$I$9)*-I14</f>
        <v>3011061.1494915076</v>
      </c>
      <c r="C14" s="1">
        <f t="shared" ref="C14:H14" si="1">C$9/($K$9-$J$9-$I$9)*-$I$14</f>
        <v>0</v>
      </c>
      <c r="D14" s="1">
        <f t="shared" si="1"/>
        <v>417520.63482289907</v>
      </c>
      <c r="E14" s="1">
        <f t="shared" si="1"/>
        <v>250160.222009722</v>
      </c>
      <c r="G14" s="1">
        <f t="shared" si="1"/>
        <v>793278.90557328367</v>
      </c>
      <c r="H14" s="1">
        <f t="shared" si="1"/>
        <v>680134.45636065549</v>
      </c>
      <c r="I14" s="1">
        <f>-I12</f>
        <v>-5152155.3682580683</v>
      </c>
      <c r="K14" s="1">
        <v>0</v>
      </c>
    </row>
    <row r="15" spans="1:11" x14ac:dyDescent="0.2">
      <c r="A15" t="s">
        <v>4</v>
      </c>
      <c r="B15" s="1">
        <f>+B12+B14</f>
        <v>16084248.670435155</v>
      </c>
      <c r="C15" s="1">
        <f>+C12+C14</f>
        <v>0</v>
      </c>
      <c r="D15" s="1">
        <f>+D12+D14</f>
        <v>2230278.7562662209</v>
      </c>
      <c r="E15" s="1">
        <f>+E12+E14</f>
        <v>1336286.1192424223</v>
      </c>
      <c r="G15" s="1">
        <f>+G12+G14</f>
        <v>4237474.614026376</v>
      </c>
      <c r="H15" s="1">
        <f>+H12+H14</f>
        <v>3633088.5300298231</v>
      </c>
      <c r="I15" s="1">
        <f>+I12+I14</f>
        <v>0</v>
      </c>
      <c r="J15" s="1">
        <f>+J12+J14</f>
        <v>0</v>
      </c>
      <c r="K15" s="1">
        <f>SUM(B15:J15)</f>
        <v>27521376.689999994</v>
      </c>
    </row>
    <row r="17" spans="1:11" x14ac:dyDescent="0.2">
      <c r="A17" t="s">
        <v>6</v>
      </c>
      <c r="B17" s="1">
        <f>B$9/($K$9-$J$9-$I$9-$H$9)*-$H$17</f>
        <v>2446198.6965071149</v>
      </c>
      <c r="C17" s="1">
        <f>C$9/($K$9-$J$9-$I$9-$H$9)*-$H$17</f>
        <v>0</v>
      </c>
      <c r="D17" s="1">
        <f>D$9/($K$9-$J$9-$I$9-$H$9)*-$H$17</f>
        <v>339195.51346244744</v>
      </c>
      <c r="E17" s="1">
        <f>E$9/($K$9-$J$9-$I$9-$H$9)*-$H$17</f>
        <v>203231.21272427629</v>
      </c>
      <c r="G17" s="1">
        <f>G$9/($K$9-$J$9-$I$9-$H$9)*-$H$17</f>
        <v>644463.10733598412</v>
      </c>
      <c r="H17" s="1">
        <f>-H15</f>
        <v>-3633088.5300298231</v>
      </c>
      <c r="K17" s="1">
        <v>0</v>
      </c>
    </row>
    <row r="18" spans="1:11" x14ac:dyDescent="0.2">
      <c r="A18" t="s">
        <v>4</v>
      </c>
      <c r="B18" s="1">
        <f>+B15+B17</f>
        <v>18530447.366942272</v>
      </c>
      <c r="C18" s="1">
        <f>+C15+C17</f>
        <v>0</v>
      </c>
      <c r="D18" s="1">
        <f>+D15+D17</f>
        <v>2569474.2697286685</v>
      </c>
      <c r="E18" s="1">
        <f>+E15+E17</f>
        <v>1539517.3319666986</v>
      </c>
      <c r="G18" s="1">
        <f>+G15+G17</f>
        <v>4881937.7213623598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27521376.689999998</v>
      </c>
    </row>
    <row r="20" spans="1:11" x14ac:dyDescent="0.2">
      <c r="A20" t="s">
        <v>7</v>
      </c>
      <c r="B20" s="1">
        <f>B$9/($K$9-$J$9-$I$9-$H$9-$G$9)*-$G$20</f>
        <v>3995880.3802389069</v>
      </c>
      <c r="C20" s="1">
        <f>C$9/($K$9-$J$9-$I$9-$H$9-$G$9)*-$G$20</f>
        <v>0</v>
      </c>
      <c r="D20" s="1">
        <f>D$9/($K$9-$J$9-$I$9-$H$9-$G$9)*-$G$20</f>
        <v>554077.92475933617</v>
      </c>
      <c r="E20" s="1">
        <f>E$9/($K$9-$J$9-$I$9-$H$9-$G$9)*-$G$20</f>
        <v>331979.41636411677</v>
      </c>
      <c r="G20" s="1">
        <f>-G18</f>
        <v>-4881937.7213623598</v>
      </c>
      <c r="K20" s="1">
        <f>SUM(B20:J20)</f>
        <v>0</v>
      </c>
    </row>
    <row r="22" spans="1:11" x14ac:dyDescent="0.2">
      <c r="A22" t="s">
        <v>8</v>
      </c>
      <c r="B22" s="1">
        <f>+B20+B18</f>
        <v>22526327.747181177</v>
      </c>
      <c r="C22" s="1">
        <f t="shared" ref="C22:K22" si="2">+C20+C18</f>
        <v>0</v>
      </c>
      <c r="D22" s="1">
        <f t="shared" si="2"/>
        <v>3123552.1944880048</v>
      </c>
      <c r="E22" s="1">
        <f t="shared" si="2"/>
        <v>1871496.7483308155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27521376.689999998</v>
      </c>
    </row>
    <row r="27" spans="1:11" x14ac:dyDescent="0.2">
      <c r="A27" t="s">
        <v>9</v>
      </c>
      <c r="B27" s="1">
        <f>+B9</f>
        <v>11383789.84</v>
      </c>
    </row>
    <row r="28" spans="1:11" x14ac:dyDescent="0.2">
      <c r="A28" t="s">
        <v>10</v>
      </c>
      <c r="B28" s="1">
        <f>+B22-B27</f>
        <v>11142537.907181177</v>
      </c>
    </row>
    <row r="29" spans="1:11" x14ac:dyDescent="0.2">
      <c r="A29" s="28" t="s">
        <v>169</v>
      </c>
      <c r="B29" s="1">
        <v>1818</v>
      </c>
    </row>
    <row r="30" spans="1:11" x14ac:dyDescent="0.2">
      <c r="A30" t="s">
        <v>11</v>
      </c>
      <c r="B30" s="1">
        <f>+B28/B29</f>
        <v>6129.0087498246303</v>
      </c>
    </row>
  </sheetData>
  <phoneticPr fontId="0" type="noConversion"/>
  <pageMargins left="0.52" right="0.55000000000000004" top="0.83" bottom="0.56000000000000005" header="0.5" footer="0.5"/>
  <pageSetup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Table'!B17</f>
        <v>12875470.82</v>
      </c>
      <c r="C9" s="1">
        <f>'Master Expend Table'!C17</f>
        <v>0</v>
      </c>
      <c r="D9" s="1">
        <f>'Master Expend Table'!D17</f>
        <v>478080.75</v>
      </c>
      <c r="E9" s="1">
        <f>'Master Expend Table'!E17</f>
        <v>629125.06999999995</v>
      </c>
      <c r="G9" s="1">
        <f>'Master Expend Table'!G17</f>
        <v>4432730.72</v>
      </c>
      <c r="H9" s="1">
        <f>'Master Expend Table'!H17</f>
        <v>4018180.44</v>
      </c>
      <c r="I9" s="1">
        <f>'Master Expend Table'!I17</f>
        <v>4948915.88</v>
      </c>
      <c r="J9" s="1">
        <f>'Master Expend Table'!J17</f>
        <v>2665708.09</v>
      </c>
      <c r="K9" s="1">
        <f>SUM(B9:J9)</f>
        <v>30048211.77</v>
      </c>
    </row>
    <row r="11" spans="1:11" x14ac:dyDescent="0.2">
      <c r="A11" t="s">
        <v>3</v>
      </c>
      <c r="B11" s="1">
        <f>(B9/($K9-$J9))*-$J$11</f>
        <v>1253437.1264414976</v>
      </c>
      <c r="C11" s="1">
        <f t="shared" ref="C11:I11" si="0">(C9/($K9-$J9))*-$J$11</f>
        <v>0</v>
      </c>
      <c r="D11" s="1">
        <f t="shared" si="0"/>
        <v>46541.533887534839</v>
      </c>
      <c r="E11" s="1">
        <f t="shared" si="0"/>
        <v>61245.816245273898</v>
      </c>
      <c r="G11" s="1">
        <f t="shared" si="0"/>
        <v>431529.79286280973</v>
      </c>
      <c r="H11" s="1">
        <f t="shared" si="0"/>
        <v>391172.99977982725</v>
      </c>
      <c r="I11" s="1">
        <f t="shared" si="0"/>
        <v>481780.82078305667</v>
      </c>
      <c r="J11" s="1">
        <f>-J9</f>
        <v>-2665708.09</v>
      </c>
      <c r="K11" s="1">
        <v>0</v>
      </c>
    </row>
    <row r="12" spans="1:11" x14ac:dyDescent="0.2">
      <c r="A12" t="s">
        <v>4</v>
      </c>
      <c r="B12" s="1">
        <f>+B9+B11</f>
        <v>14128907.946441498</v>
      </c>
      <c r="C12" s="1">
        <f t="shared" ref="C12:J12" si="1">+C9+C11</f>
        <v>0</v>
      </c>
      <c r="D12" s="1">
        <f t="shared" si="1"/>
        <v>524622.28388753487</v>
      </c>
      <c r="E12" s="1">
        <f t="shared" si="1"/>
        <v>690370.88624527387</v>
      </c>
      <c r="G12" s="1">
        <f t="shared" si="1"/>
        <v>4864260.512862809</v>
      </c>
      <c r="H12" s="1">
        <f t="shared" si="1"/>
        <v>4409353.4397798274</v>
      </c>
      <c r="I12" s="1">
        <f t="shared" si="1"/>
        <v>5430696.7007830562</v>
      </c>
      <c r="J12" s="1">
        <f t="shared" si="1"/>
        <v>0</v>
      </c>
      <c r="K12" s="1">
        <f>SUM(B12:J12)</f>
        <v>30048211.77</v>
      </c>
    </row>
    <row r="14" spans="1:11" x14ac:dyDescent="0.2">
      <c r="A14" t="s">
        <v>5</v>
      </c>
      <c r="B14" s="1">
        <f>B$9/($K$9-$J$9-$I$9)*-I14</f>
        <v>3116878.9195280885</v>
      </c>
      <c r="C14" s="1">
        <f t="shared" ref="C14:H14" si="2">C$9/($K$9-$J$9-$I$9)*-$I$14</f>
        <v>0</v>
      </c>
      <c r="D14" s="1">
        <f t="shared" si="2"/>
        <v>115733.22889229911</v>
      </c>
      <c r="E14" s="1">
        <f t="shared" si="2"/>
        <v>152297.86124664859</v>
      </c>
      <c r="G14" s="1">
        <f t="shared" si="2"/>
        <v>1073070.2690616299</v>
      </c>
      <c r="H14" s="1">
        <f t="shared" si="2"/>
        <v>972716.42205438961</v>
      </c>
      <c r="I14" s="1">
        <f>-I12</f>
        <v>-5430696.7007830562</v>
      </c>
      <c r="K14" s="1">
        <v>0</v>
      </c>
    </row>
    <row r="15" spans="1:11" x14ac:dyDescent="0.2">
      <c r="A15" t="s">
        <v>4</v>
      </c>
      <c r="B15" s="1">
        <f>+B12+B14</f>
        <v>17245786.865969587</v>
      </c>
      <c r="C15" s="1">
        <f>+C12+C14</f>
        <v>0</v>
      </c>
      <c r="D15" s="1">
        <f>+D12+D14</f>
        <v>640355.51277983398</v>
      </c>
      <c r="E15" s="1">
        <f>+E12+E14</f>
        <v>842668.74749192246</v>
      </c>
      <c r="G15" s="1">
        <f>+G12+G14</f>
        <v>5937330.7819244387</v>
      </c>
      <c r="H15" s="1">
        <f>+H12+H14</f>
        <v>5382069.8618342169</v>
      </c>
      <c r="I15" s="1">
        <f>+I12+I14</f>
        <v>0</v>
      </c>
      <c r="J15" s="1">
        <f>+J12+J14</f>
        <v>0</v>
      </c>
      <c r="K15" s="1">
        <f>SUM(B15:J15)</f>
        <v>30048211.77</v>
      </c>
    </row>
    <row r="17" spans="1:11" x14ac:dyDescent="0.2">
      <c r="A17" t="s">
        <v>6</v>
      </c>
      <c r="B17" s="1">
        <f>B$9/($K$9-$J$9-$I$9-$H$9)*-$H$17</f>
        <v>3762973.1508284099</v>
      </c>
      <c r="C17" s="1">
        <f>C$9/($K$9-$J$9-$I$9-$H$9)*-$H$17</f>
        <v>0</v>
      </c>
      <c r="D17" s="1">
        <f>D$9/($K$9-$J$9-$I$9-$H$9)*-$H$17</f>
        <v>139723.4362399735</v>
      </c>
      <c r="E17" s="1">
        <f>E$9/($K$9-$J$9-$I$9-$H$9)*-$H$17</f>
        <v>183867.50900368582</v>
      </c>
      <c r="G17" s="1">
        <f>G$9/($K$9-$J$9-$I$9-$H$9)*-$H$17</f>
        <v>1295505.7657621475</v>
      </c>
      <c r="H17" s="1">
        <f>-H15</f>
        <v>-5382069.8618342169</v>
      </c>
      <c r="K17" s="1">
        <v>0</v>
      </c>
    </row>
    <row r="18" spans="1:11" x14ac:dyDescent="0.2">
      <c r="A18" t="s">
        <v>4</v>
      </c>
      <c r="B18" s="1">
        <f>+B15+B17</f>
        <v>21008760.016797997</v>
      </c>
      <c r="C18" s="1">
        <f>+C15+C17</f>
        <v>0</v>
      </c>
      <c r="D18" s="1">
        <f>+D15+D17</f>
        <v>780078.94901980751</v>
      </c>
      <c r="E18" s="1">
        <f>+E15+E17</f>
        <v>1026536.2564956082</v>
      </c>
      <c r="G18" s="1">
        <f>+G15+G17</f>
        <v>7232836.5476865862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30048211.770000003</v>
      </c>
    </row>
    <row r="20" spans="1:11" x14ac:dyDescent="0.2">
      <c r="A20" t="s">
        <v>7</v>
      </c>
      <c r="B20" s="1">
        <f>B$9/($K$9-$J$9-$I$9-$H$9-$G$9)*-$G$20</f>
        <v>6660110.8152042748</v>
      </c>
      <c r="C20" s="1">
        <f>C$9/($K$9-$J$9-$I$9-$H$9-$G$9)*-$G$20</f>
        <v>0</v>
      </c>
      <c r="D20" s="1">
        <f>D$9/($K$9-$J$9-$I$9-$H$9-$G$9)*-$G$20</f>
        <v>247297.42454699386</v>
      </c>
      <c r="E20" s="1">
        <f>E$9/($K$9-$J$9-$I$9-$H$9-$G$9)*-$G$20</f>
        <v>325428.30793531681</v>
      </c>
      <c r="G20" s="1">
        <f>-G18</f>
        <v>-7232836.5476865862</v>
      </c>
      <c r="K20" s="1">
        <f>SUM(B20:J20)</f>
        <v>0</v>
      </c>
    </row>
    <row r="22" spans="1:11" x14ac:dyDescent="0.2">
      <c r="A22" t="s">
        <v>8</v>
      </c>
      <c r="B22" s="1">
        <f>+B20+B18</f>
        <v>27668870.832002271</v>
      </c>
      <c r="C22" s="1">
        <f t="shared" ref="C22:K22" si="3">+C20+C18</f>
        <v>0</v>
      </c>
      <c r="D22" s="1">
        <f t="shared" si="3"/>
        <v>1027376.3735668014</v>
      </c>
      <c r="E22" s="1">
        <f t="shared" si="3"/>
        <v>1351964.5644309251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30048211.770000003</v>
      </c>
    </row>
    <row r="27" spans="1:11" x14ac:dyDescent="0.2">
      <c r="A27" t="s">
        <v>9</v>
      </c>
      <c r="B27" s="1">
        <f>+B9</f>
        <v>12875470.82</v>
      </c>
    </row>
    <row r="28" spans="1:11" x14ac:dyDescent="0.2">
      <c r="A28" t="s">
        <v>10</v>
      </c>
      <c r="B28" s="1">
        <f>+B22-B27</f>
        <v>14793400.012002271</v>
      </c>
    </row>
    <row r="29" spans="1:11" x14ac:dyDescent="0.2">
      <c r="A29" s="28" t="s">
        <v>169</v>
      </c>
      <c r="B29" s="1">
        <v>2621</v>
      </c>
    </row>
    <row r="30" spans="1:11" x14ac:dyDescent="0.2">
      <c r="A30" t="s">
        <v>11</v>
      </c>
      <c r="B30" s="1">
        <f>+B28/B29</f>
        <v>5644.1816146517631</v>
      </c>
    </row>
  </sheetData>
  <phoneticPr fontId="0" type="noConversion"/>
  <pageMargins left="0.42" right="0.55000000000000004" top="1" bottom="0.57999999999999996" header="0.5" footer="0.5"/>
  <pageSetup orientation="landscape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Table'!B18</f>
        <v>4856878.08</v>
      </c>
      <c r="C9" s="1">
        <f>'Master Expend Table'!C18</f>
        <v>0</v>
      </c>
      <c r="D9" s="1">
        <f>'Master Expend Table'!D18</f>
        <v>0</v>
      </c>
      <c r="E9" s="1">
        <f>'Master Expend Table'!E18</f>
        <v>0</v>
      </c>
      <c r="G9" s="1">
        <f>'Master Expend Table'!G18</f>
        <v>1352017.81</v>
      </c>
      <c r="H9" s="1">
        <f>'Master Expend Table'!H18</f>
        <v>880034.56</v>
      </c>
      <c r="I9" s="1">
        <f>'Master Expend Table'!I18</f>
        <v>1538843.59</v>
      </c>
      <c r="J9" s="1">
        <f>'Master Expend Table'!J18</f>
        <v>962467.16</v>
      </c>
      <c r="K9" s="1">
        <f>SUM(B9:J9)</f>
        <v>9590241.2000000011</v>
      </c>
    </row>
    <row r="11" spans="1:11" x14ac:dyDescent="0.2">
      <c r="A11" t="s">
        <v>3</v>
      </c>
      <c r="B11" s="1">
        <f>(B9/($K9-$J9))*-$J$11</f>
        <v>541806.68506750243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150823.69285834001</v>
      </c>
      <c r="H11" s="1">
        <f t="shared" si="0"/>
        <v>98171.829690737883</v>
      </c>
      <c r="I11" s="1">
        <f t="shared" si="0"/>
        <v>171664.95238341967</v>
      </c>
      <c r="J11" s="1">
        <f>-J9</f>
        <v>-962467.16</v>
      </c>
      <c r="K11" s="1">
        <v>0</v>
      </c>
    </row>
    <row r="12" spans="1:11" x14ac:dyDescent="0.2">
      <c r="A12" t="s">
        <v>4</v>
      </c>
      <c r="B12" s="1">
        <f>+B9+B11</f>
        <v>5398684.7650675029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1502841.50285834</v>
      </c>
      <c r="H12" s="1">
        <f t="shared" si="1"/>
        <v>978206.38969073794</v>
      </c>
      <c r="I12" s="1">
        <f t="shared" si="1"/>
        <v>1710508.5423834198</v>
      </c>
      <c r="J12" s="1">
        <f t="shared" si="1"/>
        <v>0</v>
      </c>
      <c r="K12" s="1">
        <f>SUM(B12:J12)</f>
        <v>9590241.2000000011</v>
      </c>
    </row>
    <row r="14" spans="1:11" x14ac:dyDescent="0.2">
      <c r="A14" t="s">
        <v>5</v>
      </c>
      <c r="B14" s="1">
        <f>B$9/($K$9-$J$9-$I$9)*-I14</f>
        <v>1171930.1668638578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326232.28987378808</v>
      </c>
      <c r="H14" s="1">
        <f t="shared" si="2"/>
        <v>212346.08564577386</v>
      </c>
      <c r="I14" s="1">
        <f>-I12</f>
        <v>-1710508.5423834198</v>
      </c>
      <c r="K14" s="1">
        <v>0</v>
      </c>
    </row>
    <row r="15" spans="1:11" x14ac:dyDescent="0.2">
      <c r="A15" t="s">
        <v>4</v>
      </c>
      <c r="B15" s="1">
        <f>+B12+B14</f>
        <v>6570614.9319313606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1829073.7927321282</v>
      </c>
      <c r="H15" s="1">
        <f>+H12+H14</f>
        <v>1190552.4753365119</v>
      </c>
      <c r="I15" s="1">
        <f>+I12+I14</f>
        <v>0</v>
      </c>
      <c r="J15" s="1">
        <f>+J12+J14</f>
        <v>0</v>
      </c>
      <c r="K15" s="1">
        <f>SUM(B15:J15)</f>
        <v>9590241.2000000011</v>
      </c>
    </row>
    <row r="17" spans="1:11" x14ac:dyDescent="0.2">
      <c r="A17" t="s">
        <v>6</v>
      </c>
      <c r="B17" s="1">
        <f>B$9/($K$9-$J$9-$I$9-$H$9)*-$H$17</f>
        <v>931303.78137998458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259248.69395652722</v>
      </c>
      <c r="H17" s="1">
        <f>-H15</f>
        <v>-1190552.4753365119</v>
      </c>
      <c r="K17" s="1">
        <v>0</v>
      </c>
    </row>
    <row r="18" spans="1:11" x14ac:dyDescent="0.2">
      <c r="A18" t="s">
        <v>4</v>
      </c>
      <c r="B18" s="1">
        <f>+B15+B17</f>
        <v>7501918.7133113453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2088322.4866886553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9590241.2000000011</v>
      </c>
    </row>
    <row r="20" spans="1:11" x14ac:dyDescent="0.2">
      <c r="A20" t="s">
        <v>7</v>
      </c>
      <c r="B20" s="1">
        <f>B$9/($K$9-$J$9-$I$9-$H$9-$G$9)*-$G$20</f>
        <v>2088322.4866886553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-2088322.4866886553</v>
      </c>
      <c r="K20" s="1">
        <f>SUM(B20:J20)</f>
        <v>0</v>
      </c>
    </row>
    <row r="22" spans="1:11" x14ac:dyDescent="0.2">
      <c r="A22" t="s">
        <v>8</v>
      </c>
      <c r="B22" s="1">
        <f>+B20+B18</f>
        <v>9590241.2000000011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9590241.2000000011</v>
      </c>
    </row>
    <row r="27" spans="1:11" x14ac:dyDescent="0.2">
      <c r="A27" t="s">
        <v>9</v>
      </c>
      <c r="B27" s="1">
        <f>+B9</f>
        <v>4856878.08</v>
      </c>
    </row>
    <row r="28" spans="1:11" x14ac:dyDescent="0.2">
      <c r="A28" t="s">
        <v>10</v>
      </c>
      <c r="B28" s="1">
        <f>+B22-B27</f>
        <v>4733363.120000001</v>
      </c>
    </row>
    <row r="29" spans="1:11" x14ac:dyDescent="0.2">
      <c r="A29" s="28" t="s">
        <v>169</v>
      </c>
      <c r="B29" s="1">
        <v>786</v>
      </c>
    </row>
    <row r="30" spans="1:11" x14ac:dyDescent="0.2">
      <c r="A30" t="s">
        <v>11</v>
      </c>
      <c r="B30" s="1">
        <f>+B28/B29</f>
        <v>6022.0904834605608</v>
      </c>
    </row>
  </sheetData>
  <phoneticPr fontId="0" type="noConversion"/>
  <pageMargins left="0.57999999999999996" right="0.55000000000000004" top="0.9" bottom="0.55000000000000004" header="0.5" footer="0.5"/>
  <pageSetup orientation="landscape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Table'!B19</f>
        <v>18244180.859999999</v>
      </c>
      <c r="C9" s="1">
        <f>'Master Expend Table'!C19</f>
        <v>0</v>
      </c>
      <c r="D9" s="1">
        <f>'Master Expend Table'!D19</f>
        <v>1274761.82</v>
      </c>
      <c r="E9" s="1">
        <f>'Master Expend Table'!E19</f>
        <v>0</v>
      </c>
      <c r="G9" s="1">
        <f>'Master Expend Table'!G19</f>
        <v>4995204.24</v>
      </c>
      <c r="H9" s="1">
        <f>'Master Expend Table'!H19</f>
        <v>5332413.7699999996</v>
      </c>
      <c r="I9" s="1">
        <f>'Master Expend Table'!I19</f>
        <v>7450893.0199999996</v>
      </c>
      <c r="J9" s="1">
        <f>'Master Expend Table'!J19</f>
        <v>4584544.54</v>
      </c>
      <c r="K9" s="1">
        <f>SUM(B9:J9)</f>
        <v>41881998.25</v>
      </c>
    </row>
    <row r="11" spans="1:11" x14ac:dyDescent="0.2">
      <c r="A11" t="s">
        <v>3</v>
      </c>
      <c r="B11" s="1">
        <f>(B9/($K9-$J9))*-$J$11</f>
        <v>2242546.1104885037</v>
      </c>
      <c r="C11" s="1">
        <f t="shared" ref="C11:I11" si="0">(C9/($K9-$J9))*-$J$11</f>
        <v>0</v>
      </c>
      <c r="D11" s="1">
        <f t="shared" si="0"/>
        <v>156691.72451079538</v>
      </c>
      <c r="E11" s="1">
        <f t="shared" si="0"/>
        <v>0</v>
      </c>
      <c r="G11" s="1">
        <f t="shared" si="0"/>
        <v>614002.67435781611</v>
      </c>
      <c r="H11" s="1">
        <f t="shared" si="0"/>
        <v>655451.94115274947</v>
      </c>
      <c r="I11" s="1">
        <f t="shared" si="0"/>
        <v>915852.08949013555</v>
      </c>
      <c r="J11" s="1">
        <f>-J9</f>
        <v>-4584544.54</v>
      </c>
      <c r="K11" s="1">
        <v>0</v>
      </c>
    </row>
    <row r="12" spans="1:11" x14ac:dyDescent="0.2">
      <c r="A12" t="s">
        <v>4</v>
      </c>
      <c r="B12" s="1">
        <f>+B9+B11</f>
        <v>20486726.970488504</v>
      </c>
      <c r="C12" s="1">
        <f t="shared" ref="C12:J12" si="1">+C9+C11</f>
        <v>0</v>
      </c>
      <c r="D12" s="1">
        <f t="shared" si="1"/>
        <v>1431453.5445107955</v>
      </c>
      <c r="E12" s="1">
        <f t="shared" si="1"/>
        <v>0</v>
      </c>
      <c r="G12" s="1">
        <f t="shared" si="1"/>
        <v>5609206.9143578168</v>
      </c>
      <c r="H12" s="1">
        <f t="shared" si="1"/>
        <v>5987865.7111527491</v>
      </c>
      <c r="I12" s="1">
        <f t="shared" si="1"/>
        <v>8366745.1094901348</v>
      </c>
      <c r="J12" s="1">
        <f t="shared" si="1"/>
        <v>0</v>
      </c>
      <c r="K12" s="1">
        <f>SUM(B12:J12)</f>
        <v>41881998.25</v>
      </c>
    </row>
    <row r="14" spans="1:11" x14ac:dyDescent="0.2">
      <c r="A14" t="s">
        <v>5</v>
      </c>
      <c r="B14" s="1">
        <f>B$9/($K$9-$J$9-$I$9)*-I14</f>
        <v>5114304.8799656685</v>
      </c>
      <c r="C14" s="1">
        <f t="shared" ref="C14:H14" si="2">C$9/($K$9-$J$9-$I$9)*-$I$14</f>
        <v>0</v>
      </c>
      <c r="D14" s="1">
        <f t="shared" si="2"/>
        <v>357347.94819502346</v>
      </c>
      <c r="E14" s="1">
        <f t="shared" si="2"/>
        <v>0</v>
      </c>
      <c r="G14" s="1">
        <f t="shared" si="2"/>
        <v>1400281.9648136946</v>
      </c>
      <c r="H14" s="1">
        <f t="shared" si="2"/>
        <v>1494810.3165157468</v>
      </c>
      <c r="I14" s="1">
        <f>-I12</f>
        <v>-8366745.1094901348</v>
      </c>
      <c r="K14" s="1">
        <v>0</v>
      </c>
    </row>
    <row r="15" spans="1:11" x14ac:dyDescent="0.2">
      <c r="A15" t="s">
        <v>4</v>
      </c>
      <c r="B15" s="1">
        <f>+B12+B14</f>
        <v>25601031.850454174</v>
      </c>
      <c r="C15" s="1">
        <f>+C12+C14</f>
        <v>0</v>
      </c>
      <c r="D15" s="1">
        <f>+D12+D14</f>
        <v>1788801.492705819</v>
      </c>
      <c r="E15" s="1">
        <f>+E12+E14</f>
        <v>0</v>
      </c>
      <c r="G15" s="1">
        <f>+G12+G14</f>
        <v>7009488.8791715112</v>
      </c>
      <c r="H15" s="1">
        <f>+H12+H14</f>
        <v>7482676.0276684957</v>
      </c>
      <c r="I15" s="1">
        <f>+I12+I14</f>
        <v>0</v>
      </c>
      <c r="J15" s="1">
        <f>+J12+J14</f>
        <v>0</v>
      </c>
      <c r="K15" s="1">
        <f>SUM(B15:J15)</f>
        <v>41881998.25</v>
      </c>
    </row>
    <row r="17" spans="1:11" x14ac:dyDescent="0.2">
      <c r="A17" t="s">
        <v>6</v>
      </c>
      <c r="B17" s="1">
        <f>B$9/($K$9-$J$9-$I$9-$H$9)*-$H$17</f>
        <v>5568837.2600146914</v>
      </c>
      <c r="C17" s="1">
        <f>C$9/($K$9-$J$9-$I$9-$H$9)*-$H$17</f>
        <v>0</v>
      </c>
      <c r="D17" s="1">
        <f>D$9/($K$9-$J$9-$I$9-$H$9)*-$H$17</f>
        <v>389107.14464711474</v>
      </c>
      <c r="E17" s="1">
        <f>E$9/($K$9-$J$9-$I$9-$H$9)*-$H$17</f>
        <v>0</v>
      </c>
      <c r="G17" s="1">
        <f>G$9/($K$9-$J$9-$I$9-$H$9)*-$H$17</f>
        <v>1524731.6230066889</v>
      </c>
      <c r="H17" s="1">
        <f>-H15</f>
        <v>-7482676.0276684957</v>
      </c>
      <c r="K17" s="1">
        <v>0</v>
      </c>
    </row>
    <row r="18" spans="1:11" x14ac:dyDescent="0.2">
      <c r="A18" t="s">
        <v>4</v>
      </c>
      <c r="B18" s="1">
        <f>+B15+B17</f>
        <v>31169869.110468864</v>
      </c>
      <c r="C18" s="1">
        <f>+C15+C17</f>
        <v>0</v>
      </c>
      <c r="D18" s="1">
        <f>+D15+D17</f>
        <v>2177908.6373529336</v>
      </c>
      <c r="E18" s="1">
        <f>+E15+E17</f>
        <v>0</v>
      </c>
      <c r="G18" s="1">
        <f>+G15+G17</f>
        <v>8534220.5021781996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41881998.25</v>
      </c>
    </row>
    <row r="20" spans="1:11" x14ac:dyDescent="0.2">
      <c r="A20" t="s">
        <v>7</v>
      </c>
      <c r="B20" s="1">
        <f>B$9/($K$9-$J$9-$I$9-$H$9-$G$9)*-$G$20</f>
        <v>7976859.4484575372</v>
      </c>
      <c r="C20" s="1">
        <f>C$9/($K$9-$J$9-$I$9-$H$9-$G$9)*-$G$20</f>
        <v>0</v>
      </c>
      <c r="D20" s="1">
        <f>D$9/($K$9-$J$9-$I$9-$H$9-$G$9)*-$G$20</f>
        <v>557361.05372066167</v>
      </c>
      <c r="E20" s="1">
        <f>E$9/($K$9-$J$9-$I$9-$H$9-$G$9)*-$G$20</f>
        <v>0</v>
      </c>
      <c r="G20" s="1">
        <f>-G18</f>
        <v>-8534220.5021781996</v>
      </c>
      <c r="K20" s="1">
        <f>SUM(B20:J20)</f>
        <v>0</v>
      </c>
    </row>
    <row r="22" spans="1:11" x14ac:dyDescent="0.2">
      <c r="A22" t="s">
        <v>8</v>
      </c>
      <c r="B22" s="1">
        <f>+B20+B18</f>
        <v>39146728.558926404</v>
      </c>
      <c r="C22" s="1">
        <f t="shared" ref="C22:K22" si="3">+C20+C18</f>
        <v>0</v>
      </c>
      <c r="D22" s="1">
        <f t="shared" si="3"/>
        <v>2735269.6910735955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41881998.25</v>
      </c>
    </row>
    <row r="27" spans="1:11" x14ac:dyDescent="0.2">
      <c r="A27" t="s">
        <v>9</v>
      </c>
      <c r="B27" s="1">
        <f>+B9</f>
        <v>18244180.859999999</v>
      </c>
    </row>
    <row r="28" spans="1:11" x14ac:dyDescent="0.2">
      <c r="A28" t="s">
        <v>10</v>
      </c>
      <c r="B28" s="1">
        <f>+B22-B27</f>
        <v>20902547.698926404</v>
      </c>
    </row>
    <row r="29" spans="1:11" x14ac:dyDescent="0.2">
      <c r="A29" s="28" t="s">
        <v>169</v>
      </c>
      <c r="B29" s="1">
        <v>2712</v>
      </c>
    </row>
    <row r="30" spans="1:11" x14ac:dyDescent="0.2">
      <c r="A30" t="s">
        <v>11</v>
      </c>
      <c r="B30" s="1">
        <f>+B28/B29</f>
        <v>7707.429092524485</v>
      </c>
    </row>
  </sheetData>
  <phoneticPr fontId="0" type="noConversion"/>
  <pageMargins left="0.51" right="0.55000000000000004" top="1" bottom="0.56000000000000005" header="0.5" footer="0.5"/>
  <pageSetup orientation="landscape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Table'!B20</f>
        <v>17190224.670000002</v>
      </c>
      <c r="C9" s="1">
        <f>'Master Expend Table'!C20</f>
        <v>0</v>
      </c>
      <c r="D9" s="1">
        <f>'Master Expend Table'!D20</f>
        <v>2598392.2799999998</v>
      </c>
      <c r="E9" s="1">
        <f>'Master Expend Table'!E20</f>
        <v>0</v>
      </c>
      <c r="G9" s="1">
        <f>'Master Expend Table'!G20</f>
        <v>3180923.7</v>
      </c>
      <c r="H9" s="1">
        <f>'Master Expend Table'!H20</f>
        <v>3169114.35</v>
      </c>
      <c r="I9" s="1">
        <f>'Master Expend Table'!I20</f>
        <v>5485879.0800000001</v>
      </c>
      <c r="J9" s="1">
        <f>'Master Expend Table'!J20</f>
        <v>3897922.62</v>
      </c>
      <c r="K9" s="1">
        <f>SUM(B9:J9)</f>
        <v>35522456.700000003</v>
      </c>
    </row>
    <row r="11" spans="1:11" x14ac:dyDescent="0.2">
      <c r="A11" t="s">
        <v>3</v>
      </c>
      <c r="B11" s="1">
        <f>(B9/($K9-$J9))*-$J$11</f>
        <v>2118803.2498619831</v>
      </c>
      <c r="C11" s="1">
        <f t="shared" ref="C11:I11" si="0">(C9/($K9-$J9))*-$J$11</f>
        <v>0</v>
      </c>
      <c r="D11" s="1">
        <f t="shared" si="0"/>
        <v>320268.18223547318</v>
      </c>
      <c r="E11" s="1">
        <f t="shared" si="0"/>
        <v>0</v>
      </c>
      <c r="G11" s="1">
        <f t="shared" si="0"/>
        <v>392068.84159490187</v>
      </c>
      <c r="H11" s="1">
        <f t="shared" si="0"/>
        <v>390613.26497277513</v>
      </c>
      <c r="I11" s="1">
        <f t="shared" si="0"/>
        <v>676169.08133486693</v>
      </c>
      <c r="J11" s="1">
        <f>-J9</f>
        <v>-3897922.62</v>
      </c>
      <c r="K11" s="1">
        <v>0</v>
      </c>
    </row>
    <row r="12" spans="1:11" x14ac:dyDescent="0.2">
      <c r="A12" t="s">
        <v>4</v>
      </c>
      <c r="B12" s="1">
        <f>+B9+B11</f>
        <v>19309027.919861984</v>
      </c>
      <c r="C12" s="1">
        <f t="shared" ref="C12:J12" si="1">+C9+C11</f>
        <v>0</v>
      </c>
      <c r="D12" s="1">
        <f t="shared" si="1"/>
        <v>2918660.4622354731</v>
      </c>
      <c r="E12" s="1">
        <f t="shared" si="1"/>
        <v>0</v>
      </c>
      <c r="G12" s="1">
        <f t="shared" si="1"/>
        <v>3572992.5415949021</v>
      </c>
      <c r="H12" s="1">
        <f t="shared" si="1"/>
        <v>3559727.6149727753</v>
      </c>
      <c r="I12" s="1">
        <f t="shared" si="1"/>
        <v>6162048.1613348667</v>
      </c>
      <c r="J12" s="1">
        <f t="shared" si="1"/>
        <v>0</v>
      </c>
      <c r="K12" s="1">
        <f>SUM(B12:J12)</f>
        <v>35522456.700000003</v>
      </c>
    </row>
    <row r="14" spans="1:11" x14ac:dyDescent="0.2">
      <c r="A14" t="s">
        <v>5</v>
      </c>
      <c r="B14" s="1">
        <f>B$9/($K$9-$J$9-$I$9)*-I14</f>
        <v>4052503.5553936027</v>
      </c>
      <c r="C14" s="1">
        <f t="shared" ref="C14:H14" si="2">C$9/($K$9-$J$9-$I$9)*-$I$14</f>
        <v>0</v>
      </c>
      <c r="D14" s="1">
        <f t="shared" si="2"/>
        <v>612557.0872487782</v>
      </c>
      <c r="E14" s="1">
        <f t="shared" si="2"/>
        <v>0</v>
      </c>
      <c r="G14" s="1">
        <f t="shared" si="2"/>
        <v>749885.75490710989</v>
      </c>
      <c r="H14" s="1">
        <f t="shared" si="2"/>
        <v>747101.76378537621</v>
      </c>
      <c r="I14" s="1">
        <f>-I12</f>
        <v>-6162048.1613348667</v>
      </c>
      <c r="K14" s="1">
        <v>0</v>
      </c>
    </row>
    <row r="15" spans="1:11" x14ac:dyDescent="0.2">
      <c r="A15" t="s">
        <v>4</v>
      </c>
      <c r="B15" s="1">
        <f>+B12+B14</f>
        <v>23361531.475255586</v>
      </c>
      <c r="C15" s="1">
        <f>+C12+C14</f>
        <v>0</v>
      </c>
      <c r="D15" s="1">
        <f>+D12+D14</f>
        <v>3531217.5494842511</v>
      </c>
      <c r="E15" s="1">
        <f>+E12+E14</f>
        <v>0</v>
      </c>
      <c r="G15" s="1">
        <f>+G12+G14</f>
        <v>4322878.2965020118</v>
      </c>
      <c r="H15" s="1">
        <f>+H12+H14</f>
        <v>4306829.3787581511</v>
      </c>
      <c r="I15" s="1">
        <f>+I12+I14</f>
        <v>0</v>
      </c>
      <c r="J15" s="1">
        <f>+J12+J14</f>
        <v>0</v>
      </c>
      <c r="K15" s="1">
        <f>SUM(B15:J15)</f>
        <v>35522456.700000003</v>
      </c>
    </row>
    <row r="17" spans="1:11" x14ac:dyDescent="0.2">
      <c r="A17" t="s">
        <v>6</v>
      </c>
      <c r="B17" s="1">
        <f>B$9/($K$9-$J$9-$I$9-$H$9)*-$H$17</f>
        <v>3223197.4406597093</v>
      </c>
      <c r="C17" s="1">
        <f>C$9/($K$9-$J$9-$I$9-$H$9)*-$H$17</f>
        <v>0</v>
      </c>
      <c r="D17" s="1">
        <f>D$9/($K$9-$J$9-$I$9-$H$9)*-$H$17</f>
        <v>487203.13477589621</v>
      </c>
      <c r="E17" s="1">
        <f>E$9/($K$9-$J$9-$I$9-$H$9)*-$H$17</f>
        <v>0</v>
      </c>
      <c r="G17" s="1">
        <f>G$9/($K$9-$J$9-$I$9-$H$9)*-$H$17</f>
        <v>596428.80332254618</v>
      </c>
      <c r="H17" s="1">
        <f>-H15</f>
        <v>-4306829.3787581511</v>
      </c>
      <c r="K17" s="1">
        <v>0</v>
      </c>
    </row>
    <row r="18" spans="1:11" x14ac:dyDescent="0.2">
      <c r="A18" t="s">
        <v>4</v>
      </c>
      <c r="B18" s="1">
        <f>+B15+B17</f>
        <v>26584728.915915295</v>
      </c>
      <c r="C18" s="1">
        <f>+C15+C17</f>
        <v>0</v>
      </c>
      <c r="D18" s="1">
        <f>+D15+D17</f>
        <v>4018420.6842601472</v>
      </c>
      <c r="E18" s="1">
        <f>+E15+E17</f>
        <v>0</v>
      </c>
      <c r="G18" s="1">
        <f>+G15+G17</f>
        <v>4919307.099824558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35522456.700000003</v>
      </c>
    </row>
    <row r="20" spans="1:11" x14ac:dyDescent="0.2">
      <c r="A20" t="s">
        <v>7</v>
      </c>
      <c r="B20" s="1">
        <f>B$9/($K$9-$J$9-$I$9-$H$9-$G$9)*-$G$20</f>
        <v>4273365.5656875148</v>
      </c>
      <c r="C20" s="1">
        <f>C$9/($K$9-$J$9-$I$9-$H$9-$G$9)*-$G$20</f>
        <v>0</v>
      </c>
      <c r="D20" s="1">
        <f>D$9/($K$9-$J$9-$I$9-$H$9-$G$9)*-$G$20</f>
        <v>645941.53413704433</v>
      </c>
      <c r="E20" s="1">
        <f>E$9/($K$9-$J$9-$I$9-$H$9-$G$9)*-$G$20</f>
        <v>0</v>
      </c>
      <c r="G20" s="1">
        <f>-G18</f>
        <v>-4919307.099824558</v>
      </c>
      <c r="K20" s="1">
        <f>SUM(B20:J20)</f>
        <v>0</v>
      </c>
    </row>
    <row r="22" spans="1:11" x14ac:dyDescent="0.2">
      <c r="A22" t="s">
        <v>8</v>
      </c>
      <c r="B22" s="1">
        <f>+B20+B18</f>
        <v>30858094.48160281</v>
      </c>
      <c r="C22" s="1">
        <f t="shared" ref="C22:K22" si="3">+C20+C18</f>
        <v>0</v>
      </c>
      <c r="D22" s="1">
        <f t="shared" si="3"/>
        <v>4664362.2183971917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35522456.700000003</v>
      </c>
    </row>
    <row r="27" spans="1:11" x14ac:dyDescent="0.2">
      <c r="A27" t="s">
        <v>9</v>
      </c>
      <c r="B27" s="1">
        <f>+B9</f>
        <v>17190224.670000002</v>
      </c>
    </row>
    <row r="28" spans="1:11" x14ac:dyDescent="0.2">
      <c r="A28" t="s">
        <v>10</v>
      </c>
      <c r="B28" s="1">
        <f>+B22-B27</f>
        <v>13667869.811602809</v>
      </c>
    </row>
    <row r="29" spans="1:11" x14ac:dyDescent="0.2">
      <c r="A29" s="28" t="s">
        <v>169</v>
      </c>
      <c r="B29" s="1">
        <v>2775</v>
      </c>
    </row>
    <row r="30" spans="1:11" x14ac:dyDescent="0.2">
      <c r="A30" t="s">
        <v>11</v>
      </c>
      <c r="B30" s="1">
        <f>+B28/B29</f>
        <v>4925.3584906676788</v>
      </c>
    </row>
  </sheetData>
  <phoneticPr fontId="0" type="noConversion"/>
  <pageMargins left="0.49" right="0.55000000000000004" top="1" bottom="0.51" header="0.5" footer="0.5"/>
  <pageSetup orientation="landscape" horizontalDpi="4294967294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K30"/>
  <sheetViews>
    <sheetView topLeftCell="A15"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3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Table'!B21</f>
        <v>29832620.73</v>
      </c>
      <c r="C9" s="1">
        <f>'Master Expend Table'!C21</f>
        <v>334818.71000000002</v>
      </c>
      <c r="D9" s="1">
        <f>'Master Expend Table'!D21</f>
        <v>4750</v>
      </c>
      <c r="E9" s="1">
        <f>'Master Expend Table'!E21</f>
        <v>0</v>
      </c>
      <c r="G9" s="1">
        <f>'Master Expend Table'!G21</f>
        <v>23992973.43</v>
      </c>
      <c r="H9" s="1">
        <f>'Master Expend Table'!H21</f>
        <v>4837347.7300000004</v>
      </c>
      <c r="I9" s="1">
        <f>'Master Expend Table'!I21</f>
        <v>16391354.060000001</v>
      </c>
      <c r="J9" s="1">
        <f>'Master Expend Table'!J21</f>
        <v>6740079.9900000002</v>
      </c>
      <c r="K9" s="1">
        <f>SUM(B9:J9)</f>
        <v>82133944.650000006</v>
      </c>
    </row>
    <row r="11" spans="1:11" x14ac:dyDescent="0.2">
      <c r="A11" t="s">
        <v>3</v>
      </c>
      <c r="B11" s="1">
        <f>(B9/($K9-$J9))*-$J$11</f>
        <v>2666984.2557919906</v>
      </c>
      <c r="C11" s="1">
        <f t="shared" ref="C11:I11" si="0">(C9/($K9-$J9))*-$J$11</f>
        <v>29932.208644901861</v>
      </c>
      <c r="D11" s="1">
        <f t="shared" si="0"/>
        <v>424.64171450658722</v>
      </c>
      <c r="E11" s="1">
        <f t="shared" si="0"/>
        <v>0</v>
      </c>
      <c r="G11" s="1">
        <f t="shared" si="0"/>
        <v>2144929.973352883</v>
      </c>
      <c r="H11" s="1">
        <f t="shared" si="0"/>
        <v>432450.44920668384</v>
      </c>
      <c r="I11" s="1">
        <f t="shared" si="0"/>
        <v>1465358.4612890335</v>
      </c>
      <c r="J11" s="1">
        <f>-J9</f>
        <v>-6740079.9900000002</v>
      </c>
      <c r="K11" s="1">
        <v>0</v>
      </c>
    </row>
    <row r="12" spans="1:11" x14ac:dyDescent="0.2">
      <c r="A12" t="s">
        <v>4</v>
      </c>
      <c r="B12" s="1">
        <f>+B9+B11</f>
        <v>32499604.985791992</v>
      </c>
      <c r="C12" s="1">
        <f t="shared" ref="C12:J12" si="1">+C9+C11</f>
        <v>364750.91864490189</v>
      </c>
      <c r="D12" s="1">
        <f t="shared" si="1"/>
        <v>5174.641714506587</v>
      </c>
      <c r="E12" s="1">
        <f t="shared" si="1"/>
        <v>0</v>
      </c>
      <c r="G12" s="1">
        <f t="shared" si="1"/>
        <v>26137903.403352883</v>
      </c>
      <c r="H12" s="1">
        <f t="shared" si="1"/>
        <v>5269798.1792066842</v>
      </c>
      <c r="I12" s="1">
        <f t="shared" si="1"/>
        <v>17856712.521289036</v>
      </c>
      <c r="J12" s="1">
        <f t="shared" si="1"/>
        <v>0</v>
      </c>
      <c r="K12" s="1">
        <f>SUM(B12:J12)</f>
        <v>82133944.650000006</v>
      </c>
    </row>
    <row r="14" spans="1:11" x14ac:dyDescent="0.2">
      <c r="A14" t="s">
        <v>5</v>
      </c>
      <c r="B14" s="1">
        <f>B$9/($K$9-$J$9-$I$9)*-I14</f>
        <v>9028641.7766815815</v>
      </c>
      <c r="C14" s="1">
        <f t="shared" ref="C14:H14" si="2">C$9/($K$9-$J$9-$I$9)*-$I$14</f>
        <v>101330.62797532622</v>
      </c>
      <c r="D14" s="1">
        <f t="shared" si="2"/>
        <v>1437.5555143940417</v>
      </c>
      <c r="E14" s="1">
        <f t="shared" si="2"/>
        <v>0</v>
      </c>
      <c r="G14" s="1">
        <f t="shared" si="2"/>
        <v>7261311.8444223646</v>
      </c>
      <c r="H14" s="1">
        <f t="shared" si="2"/>
        <v>1463990.7166953685</v>
      </c>
      <c r="I14" s="1">
        <f>-I12</f>
        <v>-17856712.521289036</v>
      </c>
      <c r="K14" s="1">
        <v>0</v>
      </c>
    </row>
    <row r="15" spans="1:11" x14ac:dyDescent="0.2">
      <c r="A15" t="s">
        <v>4</v>
      </c>
      <c r="B15" s="1">
        <f>+B12+B14</f>
        <v>41528246.762473576</v>
      </c>
      <c r="C15" s="1">
        <f>+C12+C14</f>
        <v>466081.54662022809</v>
      </c>
      <c r="D15" s="1">
        <f>+D12+D14</f>
        <v>6612.1972289006289</v>
      </c>
      <c r="E15" s="1">
        <f>+E12+E14</f>
        <v>0</v>
      </c>
      <c r="G15" s="1">
        <f>+G12+G14</f>
        <v>33399215.247775249</v>
      </c>
      <c r="H15" s="1">
        <f>+H12+H14</f>
        <v>6733788.8959020525</v>
      </c>
      <c r="I15" s="1">
        <f>+I12+I14</f>
        <v>0</v>
      </c>
      <c r="J15" s="1">
        <f>+J12+J14</f>
        <v>0</v>
      </c>
      <c r="K15" s="1">
        <f>SUM(B15:J15)</f>
        <v>82133944.650000006</v>
      </c>
    </row>
    <row r="17" spans="1:11" x14ac:dyDescent="0.2">
      <c r="A17" t="s">
        <v>6</v>
      </c>
      <c r="B17" s="1">
        <f>B$9/($K$9-$J$9-$I$9-$H$9)*-$H$17</f>
        <v>3708778.1068705092</v>
      </c>
      <c r="C17" s="1">
        <f>C$9/($K$9-$J$9-$I$9-$H$9)*-$H$17</f>
        <v>41624.512732463038</v>
      </c>
      <c r="D17" s="1">
        <f>D$9/($K$9-$J$9-$I$9-$H$9)*-$H$17</f>
        <v>590.5178819881346</v>
      </c>
      <c r="E17" s="1">
        <f>E$9/($K$9-$J$9-$I$9-$H$9)*-$H$17</f>
        <v>0</v>
      </c>
      <c r="G17" s="1">
        <f>G$9/($K$9-$J$9-$I$9-$H$9)*-$H$17</f>
        <v>2982795.7584170918</v>
      </c>
      <c r="H17" s="1">
        <f>-H15</f>
        <v>-6733788.8959020525</v>
      </c>
      <c r="K17" s="1">
        <v>0</v>
      </c>
    </row>
    <row r="18" spans="1:11" x14ac:dyDescent="0.2">
      <c r="A18" t="s">
        <v>4</v>
      </c>
      <c r="B18" s="1">
        <f>+B15+B17</f>
        <v>45237024.869344085</v>
      </c>
      <c r="C18" s="1">
        <f>+C15+C17</f>
        <v>507706.05935269111</v>
      </c>
      <c r="D18" s="1">
        <f>+D15+D17</f>
        <v>7202.7151108887638</v>
      </c>
      <c r="E18" s="1">
        <f>+E15+E17</f>
        <v>0</v>
      </c>
      <c r="G18" s="1">
        <f>+G15+G17</f>
        <v>36382011.006192341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82133944.650000006</v>
      </c>
    </row>
    <row r="20" spans="1:11" x14ac:dyDescent="0.2">
      <c r="A20" t="s">
        <v>7</v>
      </c>
      <c r="B20" s="1">
        <f>B$9/($K$9-$J$9-$I$9-$H$9-$G$9)*-$G$20</f>
        <v>35972554.722976767</v>
      </c>
      <c r="C20" s="1">
        <f>C$9/($K$9-$J$9-$I$9-$H$9-$G$9)*-$G$20</f>
        <v>403728.67260835815</v>
      </c>
      <c r="D20" s="1">
        <f>D$9/($K$9-$J$9-$I$9-$H$9-$G$9)*-$G$20</f>
        <v>5727.6106072139783</v>
      </c>
      <c r="E20" s="1">
        <f>E$9/($K$9-$J$9-$I$9-$H$9-$G$9)*-$G$20</f>
        <v>0</v>
      </c>
      <c r="G20" s="1">
        <f>-G18</f>
        <v>-36382011.006192341</v>
      </c>
      <c r="K20" s="1">
        <f>SUM(B20:J20)</f>
        <v>0</v>
      </c>
    </row>
    <row r="22" spans="1:11" x14ac:dyDescent="0.2">
      <c r="A22" t="s">
        <v>8</v>
      </c>
      <c r="B22" s="1">
        <f>+B20+B18</f>
        <v>81209579.592320859</v>
      </c>
      <c r="C22" s="1">
        <f t="shared" ref="C22:K22" si="3">+C20+C18</f>
        <v>911434.73196104926</v>
      </c>
      <c r="D22" s="1">
        <f t="shared" si="3"/>
        <v>12930.325718102742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82133944.650000006</v>
      </c>
    </row>
    <row r="27" spans="1:11" x14ac:dyDescent="0.2">
      <c r="A27" t="s">
        <v>9</v>
      </c>
      <c r="B27" s="1">
        <f>+B9</f>
        <v>29832620.73</v>
      </c>
    </row>
    <row r="28" spans="1:11" x14ac:dyDescent="0.2">
      <c r="A28" t="s">
        <v>10</v>
      </c>
      <c r="B28" s="1">
        <f>+B22-B27</f>
        <v>51376958.862320855</v>
      </c>
    </row>
    <row r="29" spans="1:11" x14ac:dyDescent="0.2">
      <c r="A29" s="28" t="s">
        <v>169</v>
      </c>
      <c r="B29" s="1">
        <v>5757</v>
      </c>
    </row>
    <row r="30" spans="1:11" x14ac:dyDescent="0.2">
      <c r="A30" t="s">
        <v>11</v>
      </c>
      <c r="B30" s="1">
        <f>+B28/B29</f>
        <v>8924.2589651417147</v>
      </c>
    </row>
  </sheetData>
  <phoneticPr fontId="0" type="noConversion"/>
  <pageMargins left="0.63" right="0.55000000000000004" top="1" bottom="0.55000000000000004" header="0.5" footer="0.5"/>
  <pageSetup scale="10" orientation="landscape" horizontalDpi="4294967294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Table'!B22</f>
        <v>20077427.41</v>
      </c>
      <c r="C9" s="1">
        <f>'Master Expend Table'!C22</f>
        <v>0</v>
      </c>
      <c r="D9" s="1">
        <f>'Master Expend Table'!D22</f>
        <v>902864.45</v>
      </c>
      <c r="E9" s="1">
        <f>'Master Expend Table'!E22</f>
        <v>0</v>
      </c>
      <c r="G9" s="1">
        <f>'Master Expend Table'!G22</f>
        <v>6936493.8899999997</v>
      </c>
      <c r="H9" s="1">
        <f>'Master Expend Table'!H22</f>
        <v>6079098.4000000004</v>
      </c>
      <c r="I9" s="1">
        <f>'Master Expend Table'!I22</f>
        <v>7299423.29</v>
      </c>
      <c r="J9" s="1">
        <f>'Master Expend Table'!J22</f>
        <v>6169522.2999999998</v>
      </c>
      <c r="K9" s="1">
        <f>SUM(B9:J9)</f>
        <v>47464829.739999995</v>
      </c>
    </row>
    <row r="11" spans="1:11" x14ac:dyDescent="0.2">
      <c r="A11" t="s">
        <v>3</v>
      </c>
      <c r="B11" s="1">
        <f>(B9/($K9-$J9))*-$J$11</f>
        <v>2999569.2927725604</v>
      </c>
      <c r="C11" s="1">
        <f t="shared" ref="C11:I11" si="0">(C9/($K9-$J9))*-$J$11</f>
        <v>0</v>
      </c>
      <c r="D11" s="1">
        <f t="shared" si="0"/>
        <v>134888.02247677938</v>
      </c>
      <c r="E11" s="1">
        <f t="shared" si="0"/>
        <v>0</v>
      </c>
      <c r="G11" s="1">
        <f t="shared" si="0"/>
        <v>1036312.7529767761</v>
      </c>
      <c r="H11" s="1">
        <f t="shared" si="0"/>
        <v>908217.79683290632</v>
      </c>
      <c r="I11" s="1">
        <f t="shared" si="0"/>
        <v>1090534.4349409782</v>
      </c>
      <c r="J11" s="1">
        <f>-J9</f>
        <v>-6169522.2999999998</v>
      </c>
      <c r="K11" s="1">
        <v>0</v>
      </c>
    </row>
    <row r="12" spans="1:11" x14ac:dyDescent="0.2">
      <c r="A12" t="s">
        <v>4</v>
      </c>
      <c r="B12" s="1">
        <f>+B9+B11</f>
        <v>23076996.702772561</v>
      </c>
      <c r="C12" s="1">
        <f t="shared" ref="C12:J12" si="1">+C9+C11</f>
        <v>0</v>
      </c>
      <c r="D12" s="1">
        <f t="shared" si="1"/>
        <v>1037752.4724767794</v>
      </c>
      <c r="E12" s="1">
        <f t="shared" si="1"/>
        <v>0</v>
      </c>
      <c r="G12" s="1">
        <f t="shared" si="1"/>
        <v>7972806.6429767758</v>
      </c>
      <c r="H12" s="1">
        <f t="shared" si="1"/>
        <v>6987316.1968329065</v>
      </c>
      <c r="I12" s="1">
        <f t="shared" si="1"/>
        <v>8389957.724940978</v>
      </c>
      <c r="J12" s="1">
        <f t="shared" si="1"/>
        <v>0</v>
      </c>
      <c r="K12" s="1">
        <f>SUM(B12:J12)</f>
        <v>47464829.740000002</v>
      </c>
    </row>
    <row r="14" spans="1:11" x14ac:dyDescent="0.2">
      <c r="A14" t="s">
        <v>5</v>
      </c>
      <c r="B14" s="1">
        <f>B$9/($K$9-$J$9-$I$9)*-I14</f>
        <v>4954975.3273727186</v>
      </c>
      <c r="C14" s="1">
        <f t="shared" ref="C14:H14" si="2">C$9/($K$9-$J$9-$I$9)*-$I$14</f>
        <v>0</v>
      </c>
      <c r="D14" s="1">
        <f t="shared" si="2"/>
        <v>222820.93130535883</v>
      </c>
      <c r="E14" s="1">
        <f t="shared" si="2"/>
        <v>0</v>
      </c>
      <c r="G14" s="1">
        <f t="shared" si="2"/>
        <v>1711880.4805790407</v>
      </c>
      <c r="H14" s="1">
        <f t="shared" si="2"/>
        <v>1500280.985683861</v>
      </c>
      <c r="I14" s="1">
        <f>-I12</f>
        <v>-8389957.724940978</v>
      </c>
      <c r="K14" s="1">
        <v>0</v>
      </c>
    </row>
    <row r="15" spans="1:11" x14ac:dyDescent="0.2">
      <c r="A15" t="s">
        <v>4</v>
      </c>
      <c r="B15" s="1">
        <f>+B12+B14</f>
        <v>28031972.03014528</v>
      </c>
      <c r="C15" s="1">
        <f>+C12+C14</f>
        <v>0</v>
      </c>
      <c r="D15" s="1">
        <f>+D12+D14</f>
        <v>1260573.4037821381</v>
      </c>
      <c r="E15" s="1">
        <f>+E12+E14</f>
        <v>0</v>
      </c>
      <c r="G15" s="1">
        <f>+G12+G14</f>
        <v>9684687.1235558167</v>
      </c>
      <c r="H15" s="1">
        <f>+H12+H14</f>
        <v>8487597.1825167667</v>
      </c>
      <c r="I15" s="1">
        <f>+I12+I14</f>
        <v>0</v>
      </c>
      <c r="J15" s="1">
        <f>+J12+J14</f>
        <v>0</v>
      </c>
      <c r="K15" s="1">
        <f>SUM(B15:J15)</f>
        <v>47464829.740000002</v>
      </c>
    </row>
    <row r="17" spans="1:11" x14ac:dyDescent="0.2">
      <c r="A17" t="s">
        <v>6</v>
      </c>
      <c r="B17" s="1">
        <f>B$9/($K$9-$J$9-$I$9-$H$9)*-$H$17</f>
        <v>6104181.1132322391</v>
      </c>
      <c r="C17" s="1">
        <f>C$9/($K$9-$J$9-$I$9-$H$9)*-$H$17</f>
        <v>0</v>
      </c>
      <c r="D17" s="1">
        <f>D$9/($K$9-$J$9-$I$9-$H$9)*-$H$17</f>
        <v>274499.71607188159</v>
      </c>
      <c r="E17" s="1">
        <f>E$9/($K$9-$J$9-$I$9-$H$9)*-$H$17</f>
        <v>0</v>
      </c>
      <c r="G17" s="1">
        <f>G$9/($K$9-$J$9-$I$9-$H$9)*-$H$17</f>
        <v>2108916.3532126462</v>
      </c>
      <c r="H17" s="1">
        <f>-H15</f>
        <v>-8487597.1825167667</v>
      </c>
      <c r="K17" s="1">
        <v>0</v>
      </c>
    </row>
    <row r="18" spans="1:11" x14ac:dyDescent="0.2">
      <c r="A18" t="s">
        <v>4</v>
      </c>
      <c r="B18" s="1">
        <f>+B15+B17</f>
        <v>34136153.14337752</v>
      </c>
      <c r="C18" s="1">
        <f>+C15+C17</f>
        <v>0</v>
      </c>
      <c r="D18" s="1">
        <f>+D15+D17</f>
        <v>1535073.1198540197</v>
      </c>
      <c r="E18" s="1">
        <f>+E15+E17</f>
        <v>0</v>
      </c>
      <c r="G18" s="1">
        <f>+G15+G17</f>
        <v>11793603.476768464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47464829.740000002</v>
      </c>
    </row>
    <row r="20" spans="1:11" x14ac:dyDescent="0.2">
      <c r="A20" t="s">
        <v>7</v>
      </c>
      <c r="B20" s="1">
        <f>B$9/($K$9-$J$9-$I$9-$H$9-$G$9)*-$G$20</f>
        <v>11286078.348537447</v>
      </c>
      <c r="C20" s="1">
        <f>C$9/($K$9-$J$9-$I$9-$H$9-$G$9)*-$G$20</f>
        <v>0</v>
      </c>
      <c r="D20" s="1">
        <f>D$9/($K$9-$J$9-$I$9-$H$9-$G$9)*-$G$20</f>
        <v>507525.12823101628</v>
      </c>
      <c r="E20" s="1">
        <f>E$9/($K$9-$J$9-$I$9-$H$9-$G$9)*-$G$20</f>
        <v>0</v>
      </c>
      <c r="G20" s="1">
        <f>-G18</f>
        <v>-11793603.476768464</v>
      </c>
      <c r="K20" s="1">
        <f>SUM(B20:J20)</f>
        <v>0</v>
      </c>
    </row>
    <row r="22" spans="1:11" x14ac:dyDescent="0.2">
      <c r="A22" t="s">
        <v>8</v>
      </c>
      <c r="B22" s="1">
        <f>+B20+B18</f>
        <v>45422231.491914965</v>
      </c>
      <c r="C22" s="1">
        <f t="shared" ref="C22:K22" si="3">+C20+C18</f>
        <v>0</v>
      </c>
      <c r="D22" s="1">
        <f t="shared" si="3"/>
        <v>2042598.2480850359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47464829.740000002</v>
      </c>
    </row>
    <row r="27" spans="1:11" x14ac:dyDescent="0.2">
      <c r="A27" t="s">
        <v>9</v>
      </c>
      <c r="B27" s="1">
        <f>+B9</f>
        <v>20077427.41</v>
      </c>
    </row>
    <row r="28" spans="1:11" x14ac:dyDescent="0.2">
      <c r="A28" t="s">
        <v>10</v>
      </c>
      <c r="B28" s="1">
        <f>+B22-B27</f>
        <v>25344804.081914965</v>
      </c>
    </row>
    <row r="29" spans="1:11" x14ac:dyDescent="0.2">
      <c r="A29" s="28" t="s">
        <v>169</v>
      </c>
      <c r="B29" s="1">
        <v>4219</v>
      </c>
    </row>
    <row r="30" spans="1:11" x14ac:dyDescent="0.2">
      <c r="A30" t="s">
        <v>11</v>
      </c>
      <c r="B30" s="1">
        <f>+B28/B29</f>
        <v>6007.3012756375838</v>
      </c>
    </row>
  </sheetData>
  <phoneticPr fontId="0" type="noConversion"/>
  <pageMargins left="0.59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0"/>
  <sheetViews>
    <sheetView zoomScale="75" workbookViewId="0">
      <selection activeCell="A30" sqref="A30"/>
    </sheetView>
  </sheetViews>
  <sheetFormatPr defaultRowHeight="12.75" x14ac:dyDescent="0.2"/>
  <cols>
    <col min="1" max="1" width="24.5703125" customWidth="1"/>
    <col min="2" max="2" width="14.28515625" style="1" customWidth="1"/>
    <col min="3" max="3" width="11.28515625" style="1" customWidth="1"/>
    <col min="4" max="4" width="11" style="1" customWidth="1"/>
    <col min="5" max="5" width="11.140625" style="1" customWidth="1"/>
    <col min="6" max="6" width="2.7109375" style="3" customWidth="1"/>
    <col min="7" max="7" width="13.5703125" style="1" bestFit="1" customWidth="1"/>
    <col min="8" max="9" width="13.28515625" style="1" bestFit="1" customWidth="1"/>
    <col min="10" max="10" width="12.42578125" style="1" customWidth="1"/>
    <col min="11" max="11" width="13" style="1" customWidth="1"/>
  </cols>
  <sheetData>
    <row r="1" spans="1:11" ht="15.75" x14ac:dyDescent="0.25">
      <c r="A1" s="5" t="s">
        <v>166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+'Master Expend Table'!B48</f>
        <v>700050824.39999998</v>
      </c>
      <c r="C9" s="1">
        <f>+'Master Expend Table'!C48</f>
        <v>3115328.6700000004</v>
      </c>
      <c r="D9" s="1">
        <f>+'Master Expend Table'!D48</f>
        <v>27580798.960000001</v>
      </c>
      <c r="E9" s="1">
        <f>+'Master Expend Table'!E48</f>
        <v>36342238.099999987</v>
      </c>
      <c r="G9" s="1">
        <f>+'Master Expend Table'!G48</f>
        <v>226848300.29999998</v>
      </c>
      <c r="H9" s="1">
        <f>+'Master Expend Table'!H48</f>
        <v>162964695.65999997</v>
      </c>
      <c r="I9" s="1">
        <f>+'Master Expend Table'!I48</f>
        <v>250500065.7700001</v>
      </c>
      <c r="J9" s="1">
        <f>+'Master Expend Table'!J48</f>
        <v>162020969</v>
      </c>
      <c r="K9" s="1">
        <f>SUM(B9:J9)</f>
        <v>1569423220.8600001</v>
      </c>
    </row>
    <row r="11" spans="1:11" x14ac:dyDescent="0.2">
      <c r="A11" t="s">
        <v>3</v>
      </c>
      <c r="B11" s="1">
        <f>(B9/($K9-$J9))*-$J$11</f>
        <v>80590259.656497598</v>
      </c>
      <c r="C11" s="1">
        <f t="shared" ref="C11:I11" si="0">(C9/($K9-$J9))*-$J$11</f>
        <v>358638.45549473417</v>
      </c>
      <c r="D11" s="1">
        <f t="shared" si="0"/>
        <v>3175117.6803843202</v>
      </c>
      <c r="E11" s="1">
        <f t="shared" si="0"/>
        <v>4183739.6698839725</v>
      </c>
      <c r="G11" s="1">
        <f t="shared" si="0"/>
        <v>26114908.78463158</v>
      </c>
      <c r="H11" s="1">
        <f t="shared" si="0"/>
        <v>18760590.917577818</v>
      </c>
      <c r="I11" s="1">
        <f t="shared" si="0"/>
        <v>28837713.835529957</v>
      </c>
      <c r="J11" s="1">
        <f>-J9</f>
        <v>-162020969</v>
      </c>
      <c r="K11" s="1">
        <v>0</v>
      </c>
    </row>
    <row r="12" spans="1:11" x14ac:dyDescent="0.2">
      <c r="A12" t="s">
        <v>4</v>
      </c>
      <c r="B12" s="1">
        <f>+B9+B11</f>
        <v>780641084.05649757</v>
      </c>
      <c r="C12" s="1">
        <f t="shared" ref="C12:J12" si="1">+C9+C11</f>
        <v>3473967.1254947344</v>
      </c>
      <c r="D12" s="1">
        <f t="shared" si="1"/>
        <v>30755916.64038432</v>
      </c>
      <c r="E12" s="1">
        <f t="shared" si="1"/>
        <v>40525977.76988396</v>
      </c>
      <c r="G12" s="1">
        <f t="shared" si="1"/>
        <v>252963209.08463156</v>
      </c>
      <c r="H12" s="1">
        <f t="shared" si="1"/>
        <v>181725286.57757777</v>
      </c>
      <c r="I12" s="1">
        <f t="shared" si="1"/>
        <v>279337779.60553008</v>
      </c>
      <c r="J12" s="1">
        <f t="shared" si="1"/>
        <v>0</v>
      </c>
      <c r="K12" s="1">
        <f>SUM(B12:J12)</f>
        <v>1569423220.8600001</v>
      </c>
    </row>
    <row r="14" spans="1:11" x14ac:dyDescent="0.2">
      <c r="A14" t="s">
        <v>5</v>
      </c>
      <c r="B14" s="1">
        <f>B$9/($K$9-$J$9-$I$9)*-I14</f>
        <v>169029538.75454441</v>
      </c>
      <c r="C14" s="1">
        <f t="shared" ref="C14:H14" si="2">C$9/($K$9-$J$9-$I$9)*-$I$14</f>
        <v>752206.19675754558</v>
      </c>
      <c r="D14" s="1">
        <f t="shared" si="2"/>
        <v>6659473.2327989228</v>
      </c>
      <c r="E14" s="1">
        <f t="shared" si="2"/>
        <v>8774951.0881810598</v>
      </c>
      <c r="G14" s="1">
        <f t="shared" si="2"/>
        <v>54773256.784356102</v>
      </c>
      <c r="H14" s="1">
        <f t="shared" si="2"/>
        <v>39348353.548891991</v>
      </c>
      <c r="I14" s="1">
        <f>-I12</f>
        <v>-279337779.60553008</v>
      </c>
      <c r="K14" s="1">
        <v>0</v>
      </c>
    </row>
    <row r="15" spans="1:11" x14ac:dyDescent="0.2">
      <c r="A15" t="s">
        <v>4</v>
      </c>
      <c r="B15" s="1">
        <f>+B12+B14</f>
        <v>949670622.81104195</v>
      </c>
      <c r="C15" s="1">
        <f>+C12+C14</f>
        <v>4226173.3222522801</v>
      </c>
      <c r="D15" s="1">
        <f>+D12+D14</f>
        <v>37415389.873183243</v>
      </c>
      <c r="E15" s="1">
        <f>+E12+E14</f>
        <v>49300928.858065024</v>
      </c>
      <c r="G15" s="1">
        <f>+G12+G14</f>
        <v>307736465.86898768</v>
      </c>
      <c r="H15" s="1">
        <f>+H12+H14</f>
        <v>221073640.12646976</v>
      </c>
      <c r="I15" s="1">
        <f>+I12+I14</f>
        <v>0</v>
      </c>
      <c r="J15" s="1">
        <f>+J12+J14</f>
        <v>0</v>
      </c>
      <c r="K15" s="1">
        <f>SUM(B15:J15)</f>
        <v>1569423220.8599999</v>
      </c>
    </row>
    <row r="17" spans="1:11" x14ac:dyDescent="0.2">
      <c r="A17" t="s">
        <v>6</v>
      </c>
      <c r="B17" s="1">
        <f>B$9/($K$9-$J$9-$I$9-$H$9)*-$H$17</f>
        <v>155706757.73251104</v>
      </c>
      <c r="C17" s="1">
        <f>C$9/($K$9-$J$9-$I$9-$H$9)*-$H$17</f>
        <v>692917.87048831303</v>
      </c>
      <c r="D17" s="1">
        <f>D$9/($K$9-$J$9-$I$9-$H$9)*-$H$17</f>
        <v>6134578.5649414249</v>
      </c>
      <c r="E17" s="1">
        <f>E$9/($K$9-$J$9-$I$9-$H$9)*-$H$17</f>
        <v>8083316.0480082585</v>
      </c>
      <c r="G17" s="1">
        <f>G$9/($K$9-$J$9-$I$9-$H$9)*-$H$17</f>
        <v>50456069.910520643</v>
      </c>
      <c r="H17" s="1">
        <f>-H15</f>
        <v>-221073640.12646976</v>
      </c>
      <c r="K17" s="1">
        <v>0</v>
      </c>
    </row>
    <row r="18" spans="1:11" x14ac:dyDescent="0.2">
      <c r="A18" t="s">
        <v>4</v>
      </c>
      <c r="B18" s="1">
        <f>+B15+B17</f>
        <v>1105377380.5435529</v>
      </c>
      <c r="C18" s="1">
        <f>+C15+C17</f>
        <v>4919091.1927405931</v>
      </c>
      <c r="D18" s="1">
        <f>+D15+D17</f>
        <v>43549968.438124672</v>
      </c>
      <c r="E18" s="1">
        <f>+E15+E17</f>
        <v>57384244.90607328</v>
      </c>
      <c r="G18" s="1">
        <f>+G15+G17</f>
        <v>358192535.77950835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1569423220.8599999</v>
      </c>
    </row>
    <row r="20" spans="1:11" x14ac:dyDescent="0.2">
      <c r="A20" t="s">
        <v>7</v>
      </c>
      <c r="B20" s="1">
        <f>B$9/($K$9-$J$9-$I$9-$H$9-$G$9)*-$G$20</f>
        <v>326888950.06312847</v>
      </c>
      <c r="C20" s="1">
        <f>C$9/($K$9-$J$9-$I$9-$H$9-$G$9)*-$G$20</f>
        <v>1454703.6908508532</v>
      </c>
      <c r="D20" s="1">
        <f>D$9/($K$9-$J$9-$I$9-$H$9-$G$9)*-$G$20</f>
        <v>12878862.647814099</v>
      </c>
      <c r="E20" s="1">
        <f>E$9/($K$9-$J$9-$I$9-$H$9-$G$9)*-$G$20</f>
        <v>16970019.377714802</v>
      </c>
      <c r="G20" s="1">
        <f>-G18</f>
        <v>-358192535.77950835</v>
      </c>
      <c r="K20" s="1">
        <f>SUM(B20:J20)</f>
        <v>0</v>
      </c>
    </row>
    <row r="22" spans="1:11" x14ac:dyDescent="0.2">
      <c r="A22" t="s">
        <v>8</v>
      </c>
      <c r="B22" s="1">
        <f>+B20+B18</f>
        <v>1432266330.6066813</v>
      </c>
      <c r="C22" s="1">
        <f t="shared" ref="C22:K22" si="3">+C20+C18</f>
        <v>6373794.8835914461</v>
      </c>
      <c r="D22" s="1">
        <f t="shared" si="3"/>
        <v>56428831.085938767</v>
      </c>
      <c r="E22" s="1">
        <f t="shared" si="3"/>
        <v>74354264.283788085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1569423220.8599999</v>
      </c>
    </row>
    <row r="27" spans="1:11" x14ac:dyDescent="0.2">
      <c r="A27" t="s">
        <v>9</v>
      </c>
      <c r="B27" s="1">
        <f>+B9</f>
        <v>700050824.39999998</v>
      </c>
    </row>
    <row r="28" spans="1:11" x14ac:dyDescent="0.2">
      <c r="A28" t="s">
        <v>10</v>
      </c>
      <c r="B28" s="1">
        <f>+B22-B27</f>
        <v>732215506.20668137</v>
      </c>
    </row>
    <row r="29" spans="1:11" x14ac:dyDescent="0.2">
      <c r="A29" s="28" t="s">
        <v>169</v>
      </c>
      <c r="B29" s="1">
        <v>115758</v>
      </c>
    </row>
    <row r="30" spans="1:11" x14ac:dyDescent="0.2">
      <c r="A30" t="s">
        <v>11</v>
      </c>
      <c r="B30" s="1">
        <f>+B28/B29</f>
        <v>6325.398730167085</v>
      </c>
    </row>
  </sheetData>
  <phoneticPr fontId="0" type="noConversion"/>
  <pageMargins left="0.32" right="0.18" top="1" bottom="1" header="0.5" footer="0.5"/>
  <pageSetup scale="1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Table'!B23</f>
        <v>7590314.21</v>
      </c>
      <c r="C9" s="1">
        <f>'Master Expend Table'!C23</f>
        <v>12232.45</v>
      </c>
      <c r="D9" s="1">
        <f>'Master Expend Table'!D23</f>
        <v>186205.8</v>
      </c>
      <c r="E9" s="1">
        <f>'Master Expend Table'!E23</f>
        <v>531214.31999999995</v>
      </c>
      <c r="G9" s="1">
        <f>'Master Expend Table'!G23</f>
        <v>2405146.04</v>
      </c>
      <c r="H9" s="1">
        <f>'Master Expend Table'!H23</f>
        <v>1500928.19</v>
      </c>
      <c r="I9" s="1">
        <f>'Master Expend Table'!I23</f>
        <v>2734064.68</v>
      </c>
      <c r="J9" s="1">
        <f>'Master Expend Table'!J23</f>
        <v>1565745.3</v>
      </c>
      <c r="K9" s="1">
        <f>SUM(B9:J9)</f>
        <v>16525850.99</v>
      </c>
    </row>
    <row r="11" spans="1:11" x14ac:dyDescent="0.2">
      <c r="A11" t="s">
        <v>3</v>
      </c>
      <c r="B11" s="1">
        <f>(B9/($K9-$J9))*-$J$11</f>
        <v>794412.75657396205</v>
      </c>
      <c r="C11" s="1">
        <f t="shared" ref="C11:I11" si="0">(C9/($K9-$J9))*-$J$11</f>
        <v>1280.2650924978193</v>
      </c>
      <c r="D11" s="1">
        <f t="shared" si="0"/>
        <v>19488.555911581931</v>
      </c>
      <c r="E11" s="1">
        <f t="shared" si="0"/>
        <v>55597.62357753075</v>
      </c>
      <c r="G11" s="1">
        <f t="shared" si="0"/>
        <v>251725.90260915546</v>
      </c>
      <c r="H11" s="1">
        <f t="shared" si="0"/>
        <v>157089.21499805307</v>
      </c>
      <c r="I11" s="1">
        <f t="shared" si="0"/>
        <v>286150.98123721912</v>
      </c>
      <c r="J11" s="1">
        <f>-J9</f>
        <v>-1565745.3</v>
      </c>
      <c r="K11" s="1">
        <v>0</v>
      </c>
    </row>
    <row r="12" spans="1:11" x14ac:dyDescent="0.2">
      <c r="A12" t="s">
        <v>4</v>
      </c>
      <c r="B12" s="1">
        <f>+B9+B11</f>
        <v>8384726.966573962</v>
      </c>
      <c r="C12" s="1">
        <f t="shared" ref="C12:J12" si="1">+C9+C11</f>
        <v>13512.71509249782</v>
      </c>
      <c r="D12" s="1">
        <f t="shared" si="1"/>
        <v>205694.35591158192</v>
      </c>
      <c r="E12" s="1">
        <f t="shared" si="1"/>
        <v>586811.94357753068</v>
      </c>
      <c r="G12" s="1">
        <f t="shared" si="1"/>
        <v>2656871.9426091556</v>
      </c>
      <c r="H12" s="1">
        <f t="shared" si="1"/>
        <v>1658017.4049980531</v>
      </c>
      <c r="I12" s="1">
        <f t="shared" si="1"/>
        <v>3020215.6612372193</v>
      </c>
      <c r="J12" s="1">
        <f t="shared" si="1"/>
        <v>0</v>
      </c>
      <c r="K12" s="1">
        <f>SUM(B12:J12)</f>
        <v>16525850.99</v>
      </c>
    </row>
    <row r="14" spans="1:11" x14ac:dyDescent="0.2">
      <c r="A14" t="s">
        <v>5</v>
      </c>
      <c r="B14" s="1">
        <f>B$9/($K$9-$J$9-$I$9)*-I14</f>
        <v>1875045.7185611397</v>
      </c>
      <c r="C14" s="1">
        <f t="shared" ref="C14:H14" si="2">C$9/($K$9-$J$9-$I$9)*-$I$14</f>
        <v>3021.7988828176867</v>
      </c>
      <c r="D14" s="1">
        <f t="shared" si="2"/>
        <v>45998.67388905523</v>
      </c>
      <c r="E14" s="1">
        <f t="shared" si="2"/>
        <v>131226.60127061684</v>
      </c>
      <c r="G14" s="1">
        <f t="shared" si="2"/>
        <v>594146.52148060151</v>
      </c>
      <c r="H14" s="1">
        <f t="shared" si="2"/>
        <v>370776.34715298837</v>
      </c>
      <c r="I14" s="1">
        <f>-I12</f>
        <v>-3020215.6612372193</v>
      </c>
      <c r="K14" s="1">
        <v>0</v>
      </c>
    </row>
    <row r="15" spans="1:11" x14ac:dyDescent="0.2">
      <c r="A15" t="s">
        <v>4</v>
      </c>
      <c r="B15" s="1">
        <f>+B12+B14</f>
        <v>10259772.685135102</v>
      </c>
      <c r="C15" s="1">
        <f>+C12+C14</f>
        <v>16534.513975315505</v>
      </c>
      <c r="D15" s="1">
        <f>+D12+D14</f>
        <v>251693.02980063716</v>
      </c>
      <c r="E15" s="1">
        <f>+E12+E14</f>
        <v>718038.54484814755</v>
      </c>
      <c r="G15" s="1">
        <f>+G12+G14</f>
        <v>3251018.4640897568</v>
      </c>
      <c r="H15" s="1">
        <f>+H12+H14</f>
        <v>2028793.7521510415</v>
      </c>
      <c r="I15" s="1">
        <f>+I12+I14</f>
        <v>0</v>
      </c>
      <c r="J15" s="1">
        <f>+J12+J14</f>
        <v>0</v>
      </c>
      <c r="K15" s="1">
        <f>SUM(B15:J15)</f>
        <v>16525850.99</v>
      </c>
    </row>
    <row r="17" spans="1:11" x14ac:dyDescent="0.2">
      <c r="A17" t="s">
        <v>6</v>
      </c>
      <c r="B17" s="1">
        <f>B$9/($K$9-$J$9-$I$9-$H$9)*-$H$17</f>
        <v>1435806.0660578923</v>
      </c>
      <c r="C17" s="1">
        <f>C$9/($K$9-$J$9-$I$9-$H$9)*-$H$17</f>
        <v>2313.9260677259722</v>
      </c>
      <c r="D17" s="1">
        <f>D$9/($K$9-$J$9-$I$9-$H$9)*-$H$17</f>
        <v>35223.234477293488</v>
      </c>
      <c r="E17" s="1">
        <f>E$9/($K$9-$J$9-$I$9-$H$9)*-$H$17</f>
        <v>100486.05656244872</v>
      </c>
      <c r="G17" s="1">
        <f>G$9/($K$9-$J$9-$I$9-$H$9)*-$H$17</f>
        <v>454964.4689856809</v>
      </c>
      <c r="H17" s="1">
        <f>-H15</f>
        <v>-2028793.7521510415</v>
      </c>
      <c r="K17" s="1">
        <v>0</v>
      </c>
    </row>
    <row r="18" spans="1:11" x14ac:dyDescent="0.2">
      <c r="A18" t="s">
        <v>4</v>
      </c>
      <c r="B18" s="1">
        <f>+B15+B17</f>
        <v>11695578.751192994</v>
      </c>
      <c r="C18" s="1">
        <f>+C15+C17</f>
        <v>18848.440043041479</v>
      </c>
      <c r="D18" s="1">
        <f>+D15+D17</f>
        <v>286916.26427793066</v>
      </c>
      <c r="E18" s="1">
        <f>+E15+E17</f>
        <v>818524.60141059628</v>
      </c>
      <c r="G18" s="1">
        <f>+G15+G17</f>
        <v>3705982.9330754378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16525850.99</v>
      </c>
    </row>
    <row r="20" spans="1:11" x14ac:dyDescent="0.2">
      <c r="A20" t="s">
        <v>7</v>
      </c>
      <c r="B20" s="1">
        <f>B$9/($K$9-$J$9-$I$9-$H$9-$G$9)*-$G$20</f>
        <v>3380972.0234171385</v>
      </c>
      <c r="C20" s="1">
        <f>C$9/($K$9-$J$9-$I$9-$H$9-$G$9)*-$G$20</f>
        <v>5448.7298000604087</v>
      </c>
      <c r="D20" s="1">
        <f>D$9/($K$9-$J$9-$I$9-$H$9-$G$9)*-$G$20</f>
        <v>82942.100021180406</v>
      </c>
      <c r="E20" s="1">
        <f>E$9/($K$9-$J$9-$I$9-$H$9-$G$9)*-$G$20</f>
        <v>236620.07983705844</v>
      </c>
      <c r="G20" s="1">
        <f>-G18</f>
        <v>-3705982.9330754378</v>
      </c>
      <c r="K20" s="1">
        <f>SUM(B20:J20)</f>
        <v>0</v>
      </c>
    </row>
    <row r="22" spans="1:11" x14ac:dyDescent="0.2">
      <c r="A22" t="s">
        <v>8</v>
      </c>
      <c r="B22" s="1">
        <f>+B20+B18</f>
        <v>15076550.774610132</v>
      </c>
      <c r="C22" s="1">
        <f t="shared" ref="C22:K22" si="3">+C20+C18</f>
        <v>24297.169843101889</v>
      </c>
      <c r="D22" s="1">
        <f t="shared" si="3"/>
        <v>369858.36429911107</v>
      </c>
      <c r="E22" s="1">
        <f t="shared" si="3"/>
        <v>1055144.6812476548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16525850.99</v>
      </c>
    </row>
    <row r="27" spans="1:11" x14ac:dyDescent="0.2">
      <c r="A27" t="s">
        <v>9</v>
      </c>
      <c r="B27" s="1">
        <f>+B9</f>
        <v>7590314.21</v>
      </c>
    </row>
    <row r="28" spans="1:11" x14ac:dyDescent="0.2">
      <c r="A28" t="s">
        <v>10</v>
      </c>
      <c r="B28" s="1">
        <f>+B22-B27</f>
        <v>7486236.564610132</v>
      </c>
    </row>
    <row r="29" spans="1:11" x14ac:dyDescent="0.2">
      <c r="A29" s="28" t="s">
        <v>169</v>
      </c>
      <c r="B29" s="1">
        <v>1110</v>
      </c>
    </row>
    <row r="30" spans="1:11" x14ac:dyDescent="0.2">
      <c r="A30" t="s">
        <v>11</v>
      </c>
      <c r="B30" s="1">
        <f>+B28/B29</f>
        <v>6744.3572654145337</v>
      </c>
    </row>
  </sheetData>
  <phoneticPr fontId="0" type="noConversion"/>
  <pageMargins left="0.56000000000000005" right="0.55000000000000004" top="1" bottom="0.53" header="0.5" footer="0.5"/>
  <pageSetup scale="10" orientation="landscape" horizontalDpi="4294967294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Table'!B24</f>
        <v>18946233.920000002</v>
      </c>
      <c r="C9" s="1">
        <f>'Master Expend Table'!C24</f>
        <v>353923.62</v>
      </c>
      <c r="D9" s="1">
        <f>'Master Expend Table'!D24</f>
        <v>1403674.61</v>
      </c>
      <c r="E9" s="1">
        <f>'Master Expend Table'!E24</f>
        <v>0</v>
      </c>
      <c r="G9" s="1">
        <f>'Master Expend Table'!G24</f>
        <v>4633071.3600000003</v>
      </c>
      <c r="H9" s="1">
        <f>'Master Expend Table'!H24</f>
        <v>6234698.7800000003</v>
      </c>
      <c r="I9" s="1">
        <f>'Master Expend Table'!I24</f>
        <v>6156693.8399999999</v>
      </c>
      <c r="J9" s="1">
        <f>'Master Expend Table'!J24</f>
        <v>3694366.21</v>
      </c>
      <c r="K9" s="1">
        <f>SUM(B9:J9)</f>
        <v>41422662.340000004</v>
      </c>
    </row>
    <row r="11" spans="1:11" x14ac:dyDescent="0.2">
      <c r="A11" t="s">
        <v>3</v>
      </c>
      <c r="B11" s="1">
        <f>(B9/($K9-$J9))*-$J$11</f>
        <v>1855220.9768399061</v>
      </c>
      <c r="C11" s="1">
        <f t="shared" ref="C11:I11" si="0">(C9/($K9-$J9))*-$J$11</f>
        <v>34656.308308850203</v>
      </c>
      <c r="D11" s="1">
        <f t="shared" si="0"/>
        <v>137448.2439162017</v>
      </c>
      <c r="E11" s="1">
        <f t="shared" si="0"/>
        <v>0</v>
      </c>
      <c r="G11" s="1">
        <f t="shared" si="0"/>
        <v>453671.75400461809</v>
      </c>
      <c r="H11" s="1">
        <f t="shared" si="0"/>
        <v>610503.59716735571</v>
      </c>
      <c r="I11" s="1">
        <f t="shared" si="0"/>
        <v>602865.32976306824</v>
      </c>
      <c r="J11" s="1">
        <f>-J9</f>
        <v>-3694366.21</v>
      </c>
      <c r="K11" s="1">
        <v>0</v>
      </c>
    </row>
    <row r="12" spans="1:11" x14ac:dyDescent="0.2">
      <c r="A12" t="s">
        <v>4</v>
      </c>
      <c r="B12" s="1">
        <f>+B9+B11</f>
        <v>20801454.896839909</v>
      </c>
      <c r="C12" s="1">
        <f t="shared" ref="C12:J12" si="1">+C9+C11</f>
        <v>388579.92830885021</v>
      </c>
      <c r="D12" s="1">
        <f t="shared" si="1"/>
        <v>1541122.8539162017</v>
      </c>
      <c r="E12" s="1">
        <f t="shared" si="1"/>
        <v>0</v>
      </c>
      <c r="G12" s="1">
        <f t="shared" si="1"/>
        <v>5086743.1140046185</v>
      </c>
      <c r="H12" s="1">
        <f t="shared" si="1"/>
        <v>6845202.3771673562</v>
      </c>
      <c r="I12" s="1">
        <f t="shared" si="1"/>
        <v>6759559.1697630677</v>
      </c>
      <c r="J12" s="1">
        <f t="shared" si="1"/>
        <v>0</v>
      </c>
      <c r="K12" s="1">
        <f>SUM(B12:J12)</f>
        <v>41422662.340000004</v>
      </c>
    </row>
    <row r="14" spans="1:11" x14ac:dyDescent="0.2">
      <c r="A14" t="s">
        <v>5</v>
      </c>
      <c r="B14" s="1">
        <f>B$9/($K$9-$J$9-$I$9)*-I14</f>
        <v>4056436.1621575486</v>
      </c>
      <c r="C14" s="1">
        <f t="shared" ref="C14:H14" si="2">C$9/($K$9-$J$9-$I$9)*-$I$14</f>
        <v>75775.933986236065</v>
      </c>
      <c r="D14" s="1">
        <f t="shared" si="2"/>
        <v>300530.25165575463</v>
      </c>
      <c r="E14" s="1">
        <f t="shared" si="2"/>
        <v>0</v>
      </c>
      <c r="G14" s="1">
        <f t="shared" si="2"/>
        <v>991952.18880525953</v>
      </c>
      <c r="H14" s="1">
        <f t="shared" si="2"/>
        <v>1334864.6331582689</v>
      </c>
      <c r="I14" s="1">
        <f>-I12</f>
        <v>-6759559.1697630677</v>
      </c>
      <c r="K14" s="1">
        <v>0</v>
      </c>
    </row>
    <row r="15" spans="1:11" x14ac:dyDescent="0.2">
      <c r="A15" t="s">
        <v>4</v>
      </c>
      <c r="B15" s="1">
        <f>+B12+B14</f>
        <v>24857891.05899746</v>
      </c>
      <c r="C15" s="1">
        <f>+C12+C14</f>
        <v>464355.86229508626</v>
      </c>
      <c r="D15" s="1">
        <f>+D12+D14</f>
        <v>1841653.1055719564</v>
      </c>
      <c r="E15" s="1">
        <f>+E12+E14</f>
        <v>0</v>
      </c>
      <c r="G15" s="1">
        <f>+G12+G14</f>
        <v>6078695.3028098783</v>
      </c>
      <c r="H15" s="1">
        <f>+H12+H14</f>
        <v>8180067.0103256255</v>
      </c>
      <c r="I15" s="1">
        <f>+I12+I14</f>
        <v>0</v>
      </c>
      <c r="J15" s="1">
        <f>+J12+J14</f>
        <v>0</v>
      </c>
      <c r="K15" s="1">
        <f>SUM(B15:J15)</f>
        <v>41422662.340000004</v>
      </c>
    </row>
    <row r="17" spans="1:11" x14ac:dyDescent="0.2">
      <c r="A17" t="s">
        <v>6</v>
      </c>
      <c r="B17" s="1">
        <f>B$9/($K$9-$J$9-$I$9-$H$9)*-$H$17</f>
        <v>6116827.2988739964</v>
      </c>
      <c r="C17" s="1">
        <f>C$9/($K$9-$J$9-$I$9-$H$9)*-$H$17</f>
        <v>114264.90719335034</v>
      </c>
      <c r="D17" s="1">
        <f>D$9/($K$9-$J$9-$I$9-$H$9)*-$H$17</f>
        <v>453178.99110918975</v>
      </c>
      <c r="E17" s="1">
        <f>E$9/($K$9-$J$9-$I$9-$H$9)*-$H$17</f>
        <v>0</v>
      </c>
      <c r="G17" s="1">
        <f>G$9/($K$9-$J$9-$I$9-$H$9)*-$H$17</f>
        <v>1495795.8131490899</v>
      </c>
      <c r="H17" s="1">
        <f>-H15</f>
        <v>-8180067.0103256255</v>
      </c>
      <c r="K17" s="1">
        <v>0</v>
      </c>
    </row>
    <row r="18" spans="1:11" x14ac:dyDescent="0.2">
      <c r="A18" t="s">
        <v>4</v>
      </c>
      <c r="B18" s="1">
        <f>+B15+B17</f>
        <v>30974718.357871458</v>
      </c>
      <c r="C18" s="1">
        <f>+C15+C17</f>
        <v>578620.76948843664</v>
      </c>
      <c r="D18" s="1">
        <f>+D15+D17</f>
        <v>2294832.096681146</v>
      </c>
      <c r="E18" s="1">
        <f>+E15+E17</f>
        <v>0</v>
      </c>
      <c r="G18" s="1">
        <f>+G15+G17</f>
        <v>7574491.1159589682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41422662.340000004</v>
      </c>
    </row>
    <row r="20" spans="1:11" x14ac:dyDescent="0.2">
      <c r="A20" t="s">
        <v>7</v>
      </c>
      <c r="B20" s="1">
        <f>B$9/($K$9-$J$9-$I$9-$H$9-$G$9)*-$G$20</f>
        <v>6931474.3023513379</v>
      </c>
      <c r="C20" s="1">
        <f>C$9/($K$9-$J$9-$I$9-$H$9-$G$9)*-$G$20</f>
        <v>129482.8559271351</v>
      </c>
      <c r="D20" s="1">
        <f>D$9/($K$9-$J$9-$I$9-$H$9-$G$9)*-$G$20</f>
        <v>513533.95768049487</v>
      </c>
      <c r="E20" s="1">
        <f>E$9/($K$9-$J$9-$I$9-$H$9-$G$9)*-$G$20</f>
        <v>0</v>
      </c>
      <c r="G20" s="1">
        <f>-G18</f>
        <v>-7574491.1159589682</v>
      </c>
      <c r="K20" s="1">
        <f>SUM(B20:J20)</f>
        <v>0</v>
      </c>
    </row>
    <row r="22" spans="1:11" x14ac:dyDescent="0.2">
      <c r="A22" t="s">
        <v>8</v>
      </c>
      <c r="B22" s="1">
        <f>+B20+B18</f>
        <v>37906192.660222799</v>
      </c>
      <c r="C22" s="1">
        <f t="shared" ref="C22:K22" si="3">+C20+C18</f>
        <v>708103.62541557173</v>
      </c>
      <c r="D22" s="1">
        <f t="shared" si="3"/>
        <v>2808366.0543616409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41422662.340000004</v>
      </c>
    </row>
    <row r="27" spans="1:11" x14ac:dyDescent="0.2">
      <c r="A27" t="s">
        <v>9</v>
      </c>
      <c r="B27" s="1">
        <f>+B9</f>
        <v>18946233.920000002</v>
      </c>
    </row>
    <row r="28" spans="1:11" x14ac:dyDescent="0.2">
      <c r="A28" t="s">
        <v>10</v>
      </c>
      <c r="B28" s="1">
        <f>+B22-B27</f>
        <v>18959958.740222797</v>
      </c>
    </row>
    <row r="29" spans="1:11" x14ac:dyDescent="0.2">
      <c r="A29" s="28" t="s">
        <v>169</v>
      </c>
      <c r="B29" s="1">
        <v>3433</v>
      </c>
    </row>
    <row r="30" spans="1:11" x14ac:dyDescent="0.2">
      <c r="A30" t="s">
        <v>11</v>
      </c>
      <c r="B30" s="1">
        <f>+B28/B29</f>
        <v>5522.8542791211175</v>
      </c>
    </row>
  </sheetData>
  <phoneticPr fontId="11" type="noConversion"/>
  <pageMargins left="0.64" right="0.51" top="1" bottom="1" header="0.5" footer="0.5"/>
  <pageSetup scale="1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M46"/>
  <sheetViews>
    <sheetView topLeftCell="A5"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Table'!B25</f>
        <v>31932055.510000002</v>
      </c>
      <c r="C9" s="1">
        <f>'Master Expend Table'!C25</f>
        <v>0</v>
      </c>
      <c r="D9" s="1">
        <f>'Master Expend Table'!D25</f>
        <v>803595.02</v>
      </c>
      <c r="E9" s="1">
        <f>'Master Expend Table'!E25</f>
        <v>3321861.86</v>
      </c>
      <c r="G9" s="1">
        <f>'Master Expend Table'!G25</f>
        <v>13655326.23</v>
      </c>
      <c r="H9" s="1">
        <f>'Master Expend Table'!H25</f>
        <v>8312750.7699999996</v>
      </c>
      <c r="I9" s="1">
        <f>'Master Expend Table'!I25</f>
        <v>7712556.0199999996</v>
      </c>
      <c r="J9" s="1">
        <f>'Master Expend Table'!J25</f>
        <v>8219873.0099999998</v>
      </c>
      <c r="K9" s="1">
        <f>SUM(B9:J9)</f>
        <v>73958018.420000002</v>
      </c>
    </row>
    <row r="11" spans="1:11" x14ac:dyDescent="0.2">
      <c r="A11" t="s">
        <v>3</v>
      </c>
      <c r="B11" s="1">
        <f>(B9/($K9-$J9))*-$J$11</f>
        <v>3992772.2268925318</v>
      </c>
      <c r="C11" s="1">
        <f t="shared" ref="C11:I11" si="0">(C9/($K9-$J9))*-$J$11</f>
        <v>0</v>
      </c>
      <c r="D11" s="1">
        <f t="shared" si="0"/>
        <v>100481.21946049907</v>
      </c>
      <c r="E11" s="1">
        <f t="shared" si="0"/>
        <v>415364.35924170067</v>
      </c>
      <c r="G11" s="1">
        <f t="shared" si="0"/>
        <v>1707456.8626885461</v>
      </c>
      <c r="H11" s="1">
        <f t="shared" si="0"/>
        <v>1039423.2339080482</v>
      </c>
      <c r="I11" s="1">
        <f t="shared" si="0"/>
        <v>964375.10780867364</v>
      </c>
      <c r="J11" s="1">
        <f>-J9</f>
        <v>-8219873.0099999998</v>
      </c>
      <c r="K11" s="1">
        <v>0</v>
      </c>
    </row>
    <row r="12" spans="1:11" x14ac:dyDescent="0.2">
      <c r="A12" t="s">
        <v>4</v>
      </c>
      <c r="B12" s="1">
        <f>+B9+B11</f>
        <v>35924827.736892536</v>
      </c>
      <c r="C12" s="1">
        <f t="shared" ref="C12:J12" si="1">+C9+C11</f>
        <v>0</v>
      </c>
      <c r="D12" s="1">
        <f t="shared" si="1"/>
        <v>904076.23946049903</v>
      </c>
      <c r="E12" s="1">
        <f t="shared" si="1"/>
        <v>3737226.2192417006</v>
      </c>
      <c r="G12" s="1">
        <f t="shared" si="1"/>
        <v>15362783.092688546</v>
      </c>
      <c r="H12" s="1">
        <f t="shared" si="1"/>
        <v>9352174.0039080475</v>
      </c>
      <c r="I12" s="1">
        <f t="shared" si="1"/>
        <v>8676931.1278086733</v>
      </c>
      <c r="J12" s="1">
        <f t="shared" si="1"/>
        <v>0</v>
      </c>
      <c r="K12" s="1">
        <f>SUM(B12:J12)</f>
        <v>73958018.420000002</v>
      </c>
    </row>
    <row r="14" spans="1:11" x14ac:dyDescent="0.2">
      <c r="A14" t="s">
        <v>5</v>
      </c>
      <c r="B14" s="1">
        <f>B$9/($K$9-$J$9-$I$9)*-I14</f>
        <v>4775000.9839173388</v>
      </c>
      <c r="C14" s="1">
        <f t="shared" ref="C14:H14" si="2">C$9/($K$9-$J$9-$I$9)*-$I$14</f>
        <v>0</v>
      </c>
      <c r="D14" s="1">
        <f t="shared" si="2"/>
        <v>120166.61470381721</v>
      </c>
      <c r="E14" s="1">
        <f t="shared" si="2"/>
        <v>496738.88500444603</v>
      </c>
      <c r="G14" s="1">
        <f t="shared" si="2"/>
        <v>2041966.7679564997</v>
      </c>
      <c r="H14" s="1">
        <f t="shared" si="2"/>
        <v>1243057.8762265721</v>
      </c>
      <c r="I14" s="1">
        <f>-I12</f>
        <v>-8676931.1278086733</v>
      </c>
      <c r="K14" s="1">
        <v>0</v>
      </c>
    </row>
    <row r="15" spans="1:11" x14ac:dyDescent="0.2">
      <c r="A15" t="s">
        <v>4</v>
      </c>
      <c r="B15" s="1">
        <f>+B12+B14</f>
        <v>40699828.720809877</v>
      </c>
      <c r="C15" s="1">
        <f>+C12+C14</f>
        <v>0</v>
      </c>
      <c r="D15" s="1">
        <f>+D12+D14</f>
        <v>1024242.8541643162</v>
      </c>
      <c r="E15" s="1">
        <f>+E12+E14</f>
        <v>4233965.104246147</v>
      </c>
      <c r="G15" s="1">
        <f>+G12+G14</f>
        <v>17404749.860645045</v>
      </c>
      <c r="H15" s="1">
        <f>+H12+H14</f>
        <v>10595231.88013462</v>
      </c>
      <c r="I15" s="1">
        <f>+I12+I14</f>
        <v>0</v>
      </c>
      <c r="J15" s="1">
        <f>+J12+J14</f>
        <v>0</v>
      </c>
      <c r="K15" s="1">
        <f>SUM(B15:J15)</f>
        <v>73958018.420000017</v>
      </c>
    </row>
    <row r="17" spans="1:11" x14ac:dyDescent="0.2">
      <c r="A17" t="s">
        <v>6</v>
      </c>
      <c r="B17" s="1">
        <f>B$9/($K$9-$J$9-$I$9-$H$9)*-$H$17</f>
        <v>6805636.9728536801</v>
      </c>
      <c r="C17" s="1">
        <f>C$9/($K$9-$J$9-$I$9-$H$9)*-$H$17</f>
        <v>0</v>
      </c>
      <c r="D17" s="1">
        <f>D$9/($K$9-$J$9-$I$9-$H$9)*-$H$17</f>
        <v>171269.14919712578</v>
      </c>
      <c r="E17" s="1">
        <f>E$9/($K$9-$J$9-$I$9-$H$9)*-$H$17</f>
        <v>707984.04712933861</v>
      </c>
      <c r="G17" s="1">
        <f>G$9/($K$9-$J$9-$I$9-$H$9)*-$H$17</f>
        <v>2910341.7109544748</v>
      </c>
      <c r="H17" s="1">
        <f>-H15</f>
        <v>-10595231.88013462</v>
      </c>
      <c r="K17" s="1">
        <v>0</v>
      </c>
    </row>
    <row r="18" spans="1:11" x14ac:dyDescent="0.2">
      <c r="A18" t="s">
        <v>4</v>
      </c>
      <c r="B18" s="1">
        <f>+B15+B17</f>
        <v>47505465.69366356</v>
      </c>
      <c r="C18" s="1">
        <f>+C15+C17</f>
        <v>0</v>
      </c>
      <c r="D18" s="1">
        <f>+D15+D17</f>
        <v>1195512.0033614419</v>
      </c>
      <c r="E18" s="1">
        <f>+E15+E17</f>
        <v>4941949.1513754856</v>
      </c>
      <c r="G18" s="1">
        <f>+G15+G17</f>
        <v>20315091.571599521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73958018.420000017</v>
      </c>
    </row>
    <row r="20" spans="1:11" x14ac:dyDescent="0.2">
      <c r="A20" t="s">
        <v>7</v>
      </c>
      <c r="B20" s="1">
        <f>B$9/($K$9-$J$9-$I$9-$H$9-$G$9)*-$G$20</f>
        <v>17990776.089560654</v>
      </c>
      <c r="C20" s="1">
        <f>C$9/($K$9-$J$9-$I$9-$H$9-$G$9)*-$G$20</f>
        <v>0</v>
      </c>
      <c r="D20" s="1">
        <f>D$9/($K$9-$J$9-$I$9-$H$9-$G$9)*-$G$20</f>
        <v>452751.87709035823</v>
      </c>
      <c r="E20" s="1">
        <f>E$9/($K$9-$J$9-$I$9-$H$9-$G$9)*-$G$20</f>
        <v>1871563.6049485083</v>
      </c>
      <c r="G20" s="1">
        <f>-G18</f>
        <v>-20315091.571599521</v>
      </c>
      <c r="K20" s="1">
        <f>SUM(B20:J20)</f>
        <v>0</v>
      </c>
    </row>
    <row r="22" spans="1:11" x14ac:dyDescent="0.2">
      <c r="A22" t="s">
        <v>8</v>
      </c>
      <c r="B22" s="1">
        <f>+B20+B18</f>
        <v>65496241.78322421</v>
      </c>
      <c r="C22" s="1">
        <f t="shared" ref="C22:K22" si="3">+C20+C18</f>
        <v>0</v>
      </c>
      <c r="D22" s="1">
        <f t="shared" si="3"/>
        <v>1648263.8804518001</v>
      </c>
      <c r="E22" s="1">
        <f t="shared" si="3"/>
        <v>6813512.7563239941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73958018.420000017</v>
      </c>
    </row>
    <row r="27" spans="1:11" x14ac:dyDescent="0.2">
      <c r="A27" t="s">
        <v>9</v>
      </c>
      <c r="B27" s="1">
        <f>+B9</f>
        <v>31932055.510000002</v>
      </c>
    </row>
    <row r="28" spans="1:11" x14ac:dyDescent="0.2">
      <c r="A28" t="s">
        <v>10</v>
      </c>
      <c r="B28" s="1">
        <f>+B22-B27</f>
        <v>33564186.273224205</v>
      </c>
    </row>
    <row r="29" spans="1:11" x14ac:dyDescent="0.2">
      <c r="A29" s="28" t="s">
        <v>169</v>
      </c>
      <c r="B29" s="1">
        <v>4893</v>
      </c>
    </row>
    <row r="30" spans="1:11" x14ac:dyDescent="0.2">
      <c r="A30" t="s">
        <v>11</v>
      </c>
      <c r="B30" s="1">
        <f>+B28/B29</f>
        <v>6859.6334096105056</v>
      </c>
    </row>
    <row r="46" spans="13:13" x14ac:dyDescent="0.2">
      <c r="M46" s="28"/>
    </row>
  </sheetData>
  <phoneticPr fontId="0" type="noConversion"/>
  <pageMargins left="0.49" right="0.55000000000000004" top="1" bottom="0.48" header="0.5" footer="0.5"/>
  <pageSetup scale="10" orientation="landscape" horizontalDpi="4294967294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1.140625" style="1" customWidth="1"/>
    <col min="9" max="9" width="11" style="1" customWidth="1"/>
    <col min="10" max="10" width="11.8554687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Table'!B26</f>
        <v>92722506.060000002</v>
      </c>
      <c r="C9" s="1">
        <f>'Master Expend Table'!C26</f>
        <v>1168485.46</v>
      </c>
      <c r="D9" s="1">
        <f>'Master Expend Table'!D26</f>
        <v>1939184.46</v>
      </c>
      <c r="E9" s="1">
        <f>'Master Expend Table'!E26</f>
        <v>10547536.16</v>
      </c>
      <c r="G9" s="1">
        <f>'Master Expend Table'!G26</f>
        <v>33885939.159999996</v>
      </c>
      <c r="H9" s="1">
        <f>'Master Expend Table'!H26</f>
        <v>20426826.699999999</v>
      </c>
      <c r="I9" s="1">
        <f>'Master Expend Table'!I26</f>
        <v>24904329.170000002</v>
      </c>
      <c r="J9" s="1">
        <f>'Master Expend Table'!J26</f>
        <v>16701140.84</v>
      </c>
      <c r="K9" s="1">
        <f>SUM(B9:J9)</f>
        <v>202295948.00999996</v>
      </c>
    </row>
    <row r="11" spans="1:11" x14ac:dyDescent="0.2">
      <c r="A11" t="s">
        <v>3</v>
      </c>
      <c r="B11" s="1">
        <f>(B9/($K9-$J9))*-$J$11</f>
        <v>8343830.6079725744</v>
      </c>
      <c r="C11" s="1">
        <f t="shared" ref="C11:I11" si="0">(C9/($K9-$J9))*-$J$11</f>
        <v>105148.63284443579</v>
      </c>
      <c r="D11" s="1">
        <f t="shared" si="0"/>
        <v>174501.61065947323</v>
      </c>
      <c r="E11" s="1">
        <f t="shared" si="0"/>
        <v>949142.32574297534</v>
      </c>
      <c r="G11" s="1">
        <f t="shared" si="0"/>
        <v>3049297.828082284</v>
      </c>
      <c r="H11" s="1">
        <f t="shared" si="0"/>
        <v>1838151.1575293527</v>
      </c>
      <c r="I11" s="1">
        <f t="shared" si="0"/>
        <v>2241068.6771689081</v>
      </c>
      <c r="J11" s="1">
        <f>-J9</f>
        <v>-16701140.84</v>
      </c>
      <c r="K11" s="1">
        <v>0</v>
      </c>
    </row>
    <row r="12" spans="1:11" x14ac:dyDescent="0.2">
      <c r="A12" t="s">
        <v>4</v>
      </c>
      <c r="B12" s="1">
        <f>+B9+B11</f>
        <v>101066336.66797258</v>
      </c>
      <c r="C12" s="1">
        <f t="shared" ref="C12:J12" si="1">+C9+C11</f>
        <v>1273634.0928444357</v>
      </c>
      <c r="D12" s="1">
        <f t="shared" si="1"/>
        <v>2113686.0706594731</v>
      </c>
      <c r="E12" s="1">
        <f t="shared" si="1"/>
        <v>11496678.485742975</v>
      </c>
      <c r="G12" s="1">
        <f t="shared" si="1"/>
        <v>36935236.988082282</v>
      </c>
      <c r="H12" s="1">
        <f t="shared" si="1"/>
        <v>22264977.857529353</v>
      </c>
      <c r="I12" s="1">
        <f t="shared" si="1"/>
        <v>27145397.847168911</v>
      </c>
      <c r="J12" s="1">
        <f t="shared" si="1"/>
        <v>0</v>
      </c>
      <c r="K12" s="1">
        <f>SUM(B12:J12)</f>
        <v>202295948.01000002</v>
      </c>
    </row>
    <row r="14" spans="1:11" x14ac:dyDescent="0.2">
      <c r="A14" t="s">
        <v>5</v>
      </c>
      <c r="B14" s="1">
        <f>B$9/($K$9-$J$9-$I$9)*-I14</f>
        <v>15663587.212586619</v>
      </c>
      <c r="C14" s="1">
        <f t="shared" ref="C14:H14" si="2">C$9/($K$9-$J$9-$I$9)*-$I$14</f>
        <v>197391.92443208853</v>
      </c>
      <c r="D14" s="1">
        <f t="shared" si="2"/>
        <v>327585.89258628892</v>
      </c>
      <c r="E14" s="1">
        <f t="shared" si="2"/>
        <v>1781792.3559266552</v>
      </c>
      <c r="G14" s="1">
        <f t="shared" si="2"/>
        <v>5724342.2968917983</v>
      </c>
      <c r="H14" s="1">
        <f t="shared" si="2"/>
        <v>3450698.1647454719</v>
      </c>
      <c r="I14" s="1">
        <f>-I12</f>
        <v>-27145397.847168911</v>
      </c>
      <c r="K14" s="1">
        <v>0</v>
      </c>
    </row>
    <row r="15" spans="1:11" x14ac:dyDescent="0.2">
      <c r="A15" t="s">
        <v>4</v>
      </c>
      <c r="B15" s="1">
        <f>+B12+B14</f>
        <v>116729923.88055921</v>
      </c>
      <c r="C15" s="1">
        <f>+C12+C14</f>
        <v>1471026.0172765243</v>
      </c>
      <c r="D15" s="1">
        <f>+D12+D14</f>
        <v>2441271.963245762</v>
      </c>
      <c r="E15" s="1">
        <f>+E12+E14</f>
        <v>13278470.84166963</v>
      </c>
      <c r="G15" s="1">
        <f>+G12+G14</f>
        <v>42659579.284974083</v>
      </c>
      <c r="H15" s="1">
        <f>+H12+H14</f>
        <v>25715676.022274826</v>
      </c>
      <c r="I15" s="1">
        <f>+I12+I14</f>
        <v>0</v>
      </c>
      <c r="J15" s="1">
        <f>+J12+J14</f>
        <v>0</v>
      </c>
      <c r="K15" s="1">
        <f>SUM(B15:J15)</f>
        <v>202295948.01000002</v>
      </c>
    </row>
    <row r="17" spans="1:11" x14ac:dyDescent="0.2">
      <c r="A17" t="s">
        <v>6</v>
      </c>
      <c r="B17" s="1">
        <f>B$9/($K$9-$J$9-$I$9-$H$9)*-$H$17</f>
        <v>16999571.191202655</v>
      </c>
      <c r="C17" s="1">
        <f>C$9/($K$9-$J$9-$I$9-$H$9)*-$H$17</f>
        <v>214227.94321695218</v>
      </c>
      <c r="D17" s="1">
        <f>D$9/($K$9-$J$9-$I$9-$H$9)*-$H$17</f>
        <v>355526.45934000419</v>
      </c>
      <c r="E17" s="1">
        <f>E$9/($K$9-$J$9-$I$9-$H$9)*-$H$17</f>
        <v>1933765.592225024</v>
      </c>
      <c r="G17" s="1">
        <f>G$9/($K$9-$J$9-$I$9-$H$9)*-$H$17</f>
        <v>6212584.8362901965</v>
      </c>
      <c r="H17" s="1">
        <f>-H15</f>
        <v>-25715676.022274826</v>
      </c>
      <c r="K17" s="1">
        <v>0</v>
      </c>
    </row>
    <row r="18" spans="1:11" x14ac:dyDescent="0.2">
      <c r="A18" t="s">
        <v>4</v>
      </c>
      <c r="B18" s="1">
        <f>+B15+B17</f>
        <v>133729495.07176186</v>
      </c>
      <c r="C18" s="1">
        <f>+C15+C17</f>
        <v>1685253.9604934766</v>
      </c>
      <c r="D18" s="1">
        <f>+D15+D17</f>
        <v>2796798.4225857663</v>
      </c>
      <c r="E18" s="1">
        <f>+E15+E17</f>
        <v>15212236.433894655</v>
      </c>
      <c r="G18" s="1">
        <f>+G15+G17</f>
        <v>48872164.121264279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202295948.01000005</v>
      </c>
    </row>
    <row r="20" spans="1:11" x14ac:dyDescent="0.2">
      <c r="A20" t="s">
        <v>7</v>
      </c>
      <c r="B20" s="1">
        <f>B$9/($K$9-$J$9-$I$9-$H$9-$G$9)*-$G$20</f>
        <v>42598674.50369142</v>
      </c>
      <c r="C20" s="1">
        <f>C$9/($K$9-$J$9-$I$9-$H$9-$G$9)*-$G$20</f>
        <v>536826.85992790712</v>
      </c>
      <c r="D20" s="1">
        <f>D$9/($K$9-$J$9-$I$9-$H$9-$G$9)*-$G$20</f>
        <v>890902.23209349497</v>
      </c>
      <c r="E20" s="1">
        <f>E$9/($K$9-$J$9-$I$9-$H$9-$G$9)*-$G$20</f>
        <v>4845760.5255514747</v>
      </c>
      <c r="G20" s="1">
        <f>-G18</f>
        <v>-48872164.121264279</v>
      </c>
      <c r="K20" s="1">
        <f>SUM(B20:J20)</f>
        <v>0</v>
      </c>
    </row>
    <row r="22" spans="1:11" x14ac:dyDescent="0.2">
      <c r="A22" t="s">
        <v>8</v>
      </c>
      <c r="B22" s="1">
        <f>+B20+B18</f>
        <v>176328169.57545328</v>
      </c>
      <c r="C22" s="1">
        <f t="shared" ref="C22:K22" si="3">+C20+C18</f>
        <v>2222080.8204213837</v>
      </c>
      <c r="D22" s="1">
        <f t="shared" si="3"/>
        <v>3687700.6546792611</v>
      </c>
      <c r="E22" s="1">
        <f t="shared" si="3"/>
        <v>20057996.959446128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202295948.01000005</v>
      </c>
    </row>
    <row r="27" spans="1:11" x14ac:dyDescent="0.2">
      <c r="A27" t="s">
        <v>9</v>
      </c>
      <c r="B27" s="1">
        <f>+B9</f>
        <v>92722506.060000002</v>
      </c>
    </row>
    <row r="28" spans="1:11" x14ac:dyDescent="0.2">
      <c r="A28" t="s">
        <v>10</v>
      </c>
      <c r="B28" s="1">
        <f>+B22-B27</f>
        <v>83605663.515453279</v>
      </c>
    </row>
    <row r="29" spans="1:11" x14ac:dyDescent="0.2">
      <c r="A29" s="28" t="s">
        <v>169</v>
      </c>
      <c r="B29" s="1">
        <v>13421</v>
      </c>
    </row>
    <row r="30" spans="1:11" x14ac:dyDescent="0.2">
      <c r="A30" t="s">
        <v>11</v>
      </c>
      <c r="B30" s="1">
        <f>+B28/B29</f>
        <v>6229.4660245475952</v>
      </c>
    </row>
  </sheetData>
  <phoneticPr fontId="0" type="noConversion"/>
  <pageMargins left="0.52" right="0.55000000000000004" top="1" bottom="1" header="0.5" footer="0.5"/>
  <pageSetup scale="10" orientation="landscape" horizontalDpi="4294967294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Table'!B27</f>
        <v>11647673.550000001</v>
      </c>
      <c r="C9" s="1">
        <f>'Master Expend Table'!C27</f>
        <v>10187.530000000001</v>
      </c>
      <c r="D9" s="1">
        <f>'Master Expend Table'!D27</f>
        <v>1079647.48</v>
      </c>
      <c r="E9" s="1">
        <f>'Master Expend Table'!E27</f>
        <v>264787.27</v>
      </c>
      <c r="G9" s="1">
        <f>'Master Expend Table'!G27</f>
        <v>2526273.6</v>
      </c>
      <c r="H9" s="1">
        <f>'Master Expend Table'!H27</f>
        <v>3408042.74</v>
      </c>
      <c r="I9" s="1">
        <f>'Master Expend Table'!I27</f>
        <v>3349530.87</v>
      </c>
      <c r="J9" s="1">
        <f>'Master Expend Table'!J27</f>
        <v>2588863.4</v>
      </c>
      <c r="K9" s="1">
        <f>SUM(B9:J9)</f>
        <v>24875006.440000001</v>
      </c>
    </row>
    <row r="11" spans="1:11" x14ac:dyDescent="0.2">
      <c r="A11" t="s">
        <v>3</v>
      </c>
      <c r="B11" s="1">
        <f>(B9/($K9-$J9))*-$J$11</f>
        <v>1353048.6497650635</v>
      </c>
      <c r="C11" s="1">
        <f t="shared" ref="C11:I11" si="0">(C9/($K9-$J9))*-$J$11</f>
        <v>1183.4314940034594</v>
      </c>
      <c r="D11" s="1">
        <f t="shared" si="0"/>
        <v>125416.93916518232</v>
      </c>
      <c r="E11" s="1">
        <f t="shared" si="0"/>
        <v>30758.937105382498</v>
      </c>
      <c r="G11" s="1">
        <f t="shared" si="0"/>
        <v>293463.8465564762</v>
      </c>
      <c r="H11" s="1">
        <f t="shared" si="0"/>
        <v>395894.30523648456</v>
      </c>
      <c r="I11" s="1">
        <f t="shared" si="0"/>
        <v>389097.29067740723</v>
      </c>
      <c r="J11" s="1">
        <f>-J9</f>
        <v>-2588863.4</v>
      </c>
      <c r="K11" s="1">
        <v>0</v>
      </c>
    </row>
    <row r="12" spans="1:11" x14ac:dyDescent="0.2">
      <c r="A12" t="s">
        <v>4</v>
      </c>
      <c r="B12" s="1">
        <f>+B9+B11</f>
        <v>13000722.199765064</v>
      </c>
      <c r="C12" s="1">
        <f t="shared" ref="C12:J12" si="1">+C9+C11</f>
        <v>11370.961494003461</v>
      </c>
      <c r="D12" s="1">
        <f t="shared" si="1"/>
        <v>1205064.4191651824</v>
      </c>
      <c r="E12" s="1">
        <f t="shared" si="1"/>
        <v>295546.20710538252</v>
      </c>
      <c r="G12" s="1">
        <f t="shared" si="1"/>
        <v>2819737.4465564764</v>
      </c>
      <c r="H12" s="1">
        <f t="shared" si="1"/>
        <v>3803937.0452364846</v>
      </c>
      <c r="I12" s="1">
        <f t="shared" si="1"/>
        <v>3738628.1606774074</v>
      </c>
      <c r="J12" s="1">
        <f t="shared" si="1"/>
        <v>0</v>
      </c>
      <c r="K12" s="1">
        <f>SUM(B12:J12)</f>
        <v>24875006.440000001</v>
      </c>
    </row>
    <row r="14" spans="1:11" x14ac:dyDescent="0.2">
      <c r="A14" t="s">
        <v>5</v>
      </c>
      <c r="B14" s="1">
        <f>B$9/($K$9-$J$9-$I$9)*-I14</f>
        <v>2299583.4708699845</v>
      </c>
      <c r="C14" s="1">
        <f t="shared" ref="C14:H14" si="2">C$9/($K$9-$J$9-$I$9)*-$I$14</f>
        <v>2011.3094255626772</v>
      </c>
      <c r="D14" s="1">
        <f t="shared" si="2"/>
        <v>213153.25233977148</v>
      </c>
      <c r="E14" s="1">
        <f t="shared" si="2"/>
        <v>52276.570662369544</v>
      </c>
      <c r="G14" s="1">
        <f t="shared" si="2"/>
        <v>498758.57084397855</v>
      </c>
      <c r="H14" s="1">
        <f t="shared" si="2"/>
        <v>672844.98653574067</v>
      </c>
      <c r="I14" s="1">
        <f>-I12</f>
        <v>-3738628.1606774074</v>
      </c>
      <c r="K14" s="1">
        <v>0</v>
      </c>
    </row>
    <row r="15" spans="1:11" x14ac:dyDescent="0.2">
      <c r="A15" t="s">
        <v>4</v>
      </c>
      <c r="B15" s="1">
        <f>+B12+B14</f>
        <v>15300305.670635048</v>
      </c>
      <c r="C15" s="1">
        <f>+C12+C14</f>
        <v>13382.270919566137</v>
      </c>
      <c r="D15" s="1">
        <f>+D12+D14</f>
        <v>1418217.6715049539</v>
      </c>
      <c r="E15" s="1">
        <f>+E12+E14</f>
        <v>347822.77776775206</v>
      </c>
      <c r="G15" s="1">
        <f>+G12+G14</f>
        <v>3318496.0174004547</v>
      </c>
      <c r="H15" s="1">
        <f>+H12+H14</f>
        <v>4476782.0317722252</v>
      </c>
      <c r="I15" s="1">
        <f>+I12+I14</f>
        <v>0</v>
      </c>
      <c r="J15" s="1">
        <f>+J12+J14</f>
        <v>0</v>
      </c>
      <c r="K15" s="1">
        <f>SUM(B15:J15)</f>
        <v>24875006.440000001</v>
      </c>
    </row>
    <row r="17" spans="1:11" x14ac:dyDescent="0.2">
      <c r="A17" t="s">
        <v>6</v>
      </c>
      <c r="B17" s="1">
        <f>B$9/($K$9-$J$9-$I$9-$H$9)*-$H$17</f>
        <v>3357945.8749014079</v>
      </c>
      <c r="C17" s="1">
        <f>C$9/($K$9-$J$9-$I$9-$H$9)*-$H$17</f>
        <v>2936.9963188000179</v>
      </c>
      <c r="D17" s="1">
        <f>D$9/($K$9-$J$9-$I$9-$H$9)*-$H$17</f>
        <v>311255.10053582327</v>
      </c>
      <c r="E17" s="1">
        <f>E$9/($K$9-$J$9-$I$9-$H$9)*-$H$17</f>
        <v>76336.387451630231</v>
      </c>
      <c r="G17" s="1">
        <f>G$9/($K$9-$J$9-$I$9-$H$9)*-$H$17</f>
        <v>728307.67256456369</v>
      </c>
      <c r="H17" s="1">
        <f>-H15</f>
        <v>-4476782.0317722252</v>
      </c>
      <c r="K17" s="1">
        <v>0</v>
      </c>
    </row>
    <row r="18" spans="1:11" x14ac:dyDescent="0.2">
      <c r="A18" t="s">
        <v>4</v>
      </c>
      <c r="B18" s="1">
        <f>+B15+B17</f>
        <v>18658251.545536455</v>
      </c>
      <c r="C18" s="1">
        <f>+C15+C17</f>
        <v>16319.267238366156</v>
      </c>
      <c r="D18" s="1">
        <f>+D15+D17</f>
        <v>1729472.7720407771</v>
      </c>
      <c r="E18" s="1">
        <f>+E15+E17</f>
        <v>424159.16521938227</v>
      </c>
      <c r="G18" s="1">
        <f>+G15+G17</f>
        <v>4046803.6899650185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24875006.439999998</v>
      </c>
    </row>
    <row r="20" spans="1:11" x14ac:dyDescent="0.2">
      <c r="A20" t="s">
        <v>7</v>
      </c>
      <c r="B20" s="1">
        <f>B$9/($K$9-$J$9-$I$9-$H$9-$G$9)*-$G$20</f>
        <v>3625194.2670687526</v>
      </c>
      <c r="C20" s="1">
        <f>C$9/($K$9-$J$9-$I$9-$H$9-$G$9)*-$G$20</f>
        <v>3170.7426545785124</v>
      </c>
      <c r="D20" s="1">
        <f>D$9/($K$9-$J$9-$I$9-$H$9-$G$9)*-$G$20</f>
        <v>336026.91886494576</v>
      </c>
      <c r="E20" s="1">
        <f>E$9/($K$9-$J$9-$I$9-$H$9-$G$9)*-$G$20</f>
        <v>82411.761376741691</v>
      </c>
      <c r="G20" s="1">
        <f>-G18</f>
        <v>-4046803.6899650185</v>
      </c>
      <c r="K20" s="1">
        <f>SUM(B20:J20)</f>
        <v>0</v>
      </c>
    </row>
    <row r="22" spans="1:11" x14ac:dyDescent="0.2">
      <c r="A22" t="s">
        <v>8</v>
      </c>
      <c r="B22" s="1">
        <f>+B20+B18</f>
        <v>22283445.812605206</v>
      </c>
      <c r="C22" s="1">
        <f t="shared" ref="C22:K22" si="3">+C20+C18</f>
        <v>19490.009892944669</v>
      </c>
      <c r="D22" s="1">
        <f t="shared" si="3"/>
        <v>2065499.6909057228</v>
      </c>
      <c r="E22" s="1">
        <f t="shared" si="3"/>
        <v>506570.92659612396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24875006.439999998</v>
      </c>
    </row>
    <row r="27" spans="1:11" x14ac:dyDescent="0.2">
      <c r="A27" t="s">
        <v>9</v>
      </c>
      <c r="B27" s="1">
        <f>+B9</f>
        <v>11647673.550000001</v>
      </c>
    </row>
    <row r="28" spans="1:11" x14ac:dyDescent="0.2">
      <c r="A28" t="s">
        <v>10</v>
      </c>
      <c r="B28" s="1">
        <f>+B22-B27</f>
        <v>10635772.262605205</v>
      </c>
    </row>
    <row r="29" spans="1:11" x14ac:dyDescent="0.2">
      <c r="A29" s="28" t="s">
        <v>169</v>
      </c>
      <c r="B29" s="1">
        <v>1837</v>
      </c>
    </row>
    <row r="30" spans="1:11" x14ac:dyDescent="0.2">
      <c r="A30" t="s">
        <v>11</v>
      </c>
      <c r="B30" s="1">
        <f>+B28/B29</f>
        <v>5789.7508234105635</v>
      </c>
    </row>
  </sheetData>
  <phoneticPr fontId="0" type="noConversion"/>
  <pageMargins left="0.44" right="0.55000000000000004" top="1" bottom="0.53" header="0.5" footer="0.5"/>
  <pageSetup scale="10" orientation="landscape" horizontalDpi="4294967294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Table'!B28</f>
        <v>28543045.539999999</v>
      </c>
      <c r="C9" s="1">
        <f>'Master Expend Table'!C28</f>
        <v>0</v>
      </c>
      <c r="D9" s="1">
        <f>'Master Expend Table'!D28</f>
        <v>863377.79</v>
      </c>
      <c r="E9" s="1">
        <f>'Master Expend Table'!E28</f>
        <v>0</v>
      </c>
      <c r="G9" s="1">
        <f>'Master Expend Table'!G28</f>
        <v>12169165.51</v>
      </c>
      <c r="H9" s="1">
        <f>'Master Expend Table'!H28</f>
        <v>6385705.7999999998</v>
      </c>
      <c r="I9" s="1">
        <f>'Master Expend Table'!I28</f>
        <v>11690829.890000001</v>
      </c>
      <c r="J9" s="1">
        <f>'Master Expend Table'!J28</f>
        <v>6590599.8099999996</v>
      </c>
      <c r="K9" s="1">
        <f>SUM(B9:J9)</f>
        <v>66242724.339999996</v>
      </c>
    </row>
    <row r="11" spans="1:11" x14ac:dyDescent="0.2">
      <c r="A11" t="s">
        <v>3</v>
      </c>
      <c r="B11" s="1">
        <f>(B9/($K9-$J9))*-$J$11</f>
        <v>3153547.2038072832</v>
      </c>
      <c r="C11" s="1">
        <f t="shared" ref="C11:I11" si="0">(C9/($K9-$J9))*-$J$11</f>
        <v>0</v>
      </c>
      <c r="D11" s="1">
        <f t="shared" si="0"/>
        <v>95389.351905991876</v>
      </c>
      <c r="E11" s="1">
        <f t="shared" si="0"/>
        <v>0</v>
      </c>
      <c r="G11" s="1">
        <f t="shared" si="0"/>
        <v>1344496.956813829</v>
      </c>
      <c r="H11" s="1">
        <f t="shared" si="0"/>
        <v>705517.72906311764</v>
      </c>
      <c r="I11" s="1">
        <f t="shared" si="0"/>
        <v>1291648.5684097784</v>
      </c>
      <c r="J11" s="1">
        <f>-J9</f>
        <v>-6590599.8099999996</v>
      </c>
      <c r="K11" s="1">
        <v>0</v>
      </c>
    </row>
    <row r="12" spans="1:11" x14ac:dyDescent="0.2">
      <c r="A12" t="s">
        <v>4</v>
      </c>
      <c r="B12" s="1">
        <f>+B9+B11</f>
        <v>31696592.743807282</v>
      </c>
      <c r="C12" s="1">
        <f t="shared" ref="C12:J12" si="1">+C9+C11</f>
        <v>0</v>
      </c>
      <c r="D12" s="1">
        <f t="shared" si="1"/>
        <v>958767.14190599194</v>
      </c>
      <c r="E12" s="1">
        <f t="shared" si="1"/>
        <v>0</v>
      </c>
      <c r="G12" s="1">
        <f t="shared" si="1"/>
        <v>13513662.466813829</v>
      </c>
      <c r="H12" s="1">
        <f t="shared" si="1"/>
        <v>7091223.5290631177</v>
      </c>
      <c r="I12" s="1">
        <f t="shared" si="1"/>
        <v>12982478.458409779</v>
      </c>
      <c r="J12" s="1">
        <f t="shared" si="1"/>
        <v>0</v>
      </c>
      <c r="K12" s="1">
        <f>SUM(B12:J12)</f>
        <v>66242724.340000004</v>
      </c>
    </row>
    <row r="14" spans="1:11" x14ac:dyDescent="0.2">
      <c r="A14" t="s">
        <v>5</v>
      </c>
      <c r="B14" s="1">
        <f>B$9/($K$9-$J$9-$I$9)*-I14</f>
        <v>7726219.1657230733</v>
      </c>
      <c r="C14" s="1">
        <f t="shared" ref="C14:H14" si="2">C$9/($K$9-$J$9-$I$9)*-$I$14</f>
        <v>0</v>
      </c>
      <c r="D14" s="1">
        <f t="shared" si="2"/>
        <v>233704.77474134433</v>
      </c>
      <c r="E14" s="1">
        <f t="shared" si="2"/>
        <v>0</v>
      </c>
      <c r="G14" s="1">
        <f t="shared" si="2"/>
        <v>3294029.7019971823</v>
      </c>
      <c r="H14" s="1">
        <f t="shared" si="2"/>
        <v>1728524.8159481795</v>
      </c>
      <c r="I14" s="1">
        <f>-I12</f>
        <v>-12982478.458409779</v>
      </c>
      <c r="K14" s="1">
        <v>0</v>
      </c>
    </row>
    <row r="15" spans="1:11" x14ac:dyDescent="0.2">
      <c r="A15" t="s">
        <v>4</v>
      </c>
      <c r="B15" s="1">
        <f>+B12+B14</f>
        <v>39422811.909530357</v>
      </c>
      <c r="C15" s="1">
        <f>+C12+C14</f>
        <v>0</v>
      </c>
      <c r="D15" s="1">
        <f>+D12+D14</f>
        <v>1192471.9166473362</v>
      </c>
      <c r="E15" s="1">
        <f>+E12+E14</f>
        <v>0</v>
      </c>
      <c r="G15" s="1">
        <f>+G12+G14</f>
        <v>16807692.168811012</v>
      </c>
      <c r="H15" s="1">
        <f>+H12+H14</f>
        <v>8819748.3450112976</v>
      </c>
      <c r="I15" s="1">
        <f>+I12+I14</f>
        <v>0</v>
      </c>
      <c r="J15" s="1">
        <f>+J12+J14</f>
        <v>0</v>
      </c>
      <c r="K15" s="1">
        <f>SUM(B15:J15)</f>
        <v>66242724.340000004</v>
      </c>
    </row>
    <row r="17" spans="1:11" x14ac:dyDescent="0.2">
      <c r="A17" t="s">
        <v>6</v>
      </c>
      <c r="B17" s="1">
        <f>B$9/($K$9-$J$9-$I$9-$H$9)*-$H$17</f>
        <v>6055055.0379889002</v>
      </c>
      <c r="C17" s="1">
        <f>C$9/($K$9-$J$9-$I$9-$H$9)*-$H$17</f>
        <v>0</v>
      </c>
      <c r="D17" s="1">
        <f>D$9/($K$9-$J$9-$I$9-$H$9)*-$H$17</f>
        <v>183154.94853907672</v>
      </c>
      <c r="E17" s="1">
        <f>E$9/($K$9-$J$9-$I$9-$H$9)*-$H$17</f>
        <v>0</v>
      </c>
      <c r="G17" s="1">
        <f>G$9/($K$9-$J$9-$I$9-$H$9)*-$H$17</f>
        <v>2581538.3584833206</v>
      </c>
      <c r="H17" s="1">
        <f>-H15</f>
        <v>-8819748.3450112976</v>
      </c>
      <c r="K17" s="1">
        <v>0</v>
      </c>
    </row>
    <row r="18" spans="1:11" x14ac:dyDescent="0.2">
      <c r="A18" t="s">
        <v>4</v>
      </c>
      <c r="B18" s="1">
        <f>+B15+B17</f>
        <v>45477866.947519258</v>
      </c>
      <c r="C18" s="1">
        <f>+C15+C17</f>
        <v>0</v>
      </c>
      <c r="D18" s="1">
        <f>+D15+D17</f>
        <v>1375626.8651864128</v>
      </c>
      <c r="E18" s="1">
        <f>+E15+E17</f>
        <v>0</v>
      </c>
      <c r="G18" s="1">
        <f>+G15+G17</f>
        <v>19389230.527294334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66242724.340000004</v>
      </c>
    </row>
    <row r="20" spans="1:11" x14ac:dyDescent="0.2">
      <c r="A20" t="s">
        <v>7</v>
      </c>
      <c r="B20" s="1">
        <f>B$9/($K$9-$J$9-$I$9-$H$9-$G$9)*-$G$20</f>
        <v>18819959.289694425</v>
      </c>
      <c r="C20" s="1">
        <f>C$9/($K$9-$J$9-$I$9-$H$9-$G$9)*-$G$20</f>
        <v>0</v>
      </c>
      <c r="D20" s="1">
        <f>D$9/($K$9-$J$9-$I$9-$H$9-$G$9)*-$G$20</f>
        <v>569271.23759990837</v>
      </c>
      <c r="E20" s="1">
        <f>E$9/($K$9-$J$9-$I$9-$H$9-$G$9)*-$G$20</f>
        <v>0</v>
      </c>
      <c r="G20" s="1">
        <f>-G18</f>
        <v>-19389230.527294334</v>
      </c>
      <c r="K20" s="1">
        <f>SUM(B20:J20)</f>
        <v>0</v>
      </c>
    </row>
    <row r="22" spans="1:11" x14ac:dyDescent="0.2">
      <c r="A22" t="s">
        <v>8</v>
      </c>
      <c r="B22" s="1">
        <f>+B20+B18</f>
        <v>64297826.237213686</v>
      </c>
      <c r="C22" s="1">
        <f t="shared" ref="C22:K22" si="3">+C20+C18</f>
        <v>0</v>
      </c>
      <c r="D22" s="1">
        <f t="shared" si="3"/>
        <v>1944898.1027863212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66242724.340000004</v>
      </c>
    </row>
    <row r="27" spans="1:11" x14ac:dyDescent="0.2">
      <c r="A27" t="s">
        <v>9</v>
      </c>
      <c r="B27" s="1">
        <f>+B9</f>
        <v>28543045.539999999</v>
      </c>
    </row>
    <row r="28" spans="1:11" x14ac:dyDescent="0.2">
      <c r="A28" t="s">
        <v>10</v>
      </c>
      <c r="B28" s="1">
        <f>+B22-B27</f>
        <v>35754780.697213687</v>
      </c>
    </row>
    <row r="29" spans="1:11" x14ac:dyDescent="0.2">
      <c r="A29" s="28" t="s">
        <v>169</v>
      </c>
      <c r="B29" s="1">
        <v>6565</v>
      </c>
    </row>
    <row r="30" spans="1:11" x14ac:dyDescent="0.2">
      <c r="A30" t="s">
        <v>11</v>
      </c>
      <c r="B30" s="1">
        <f>+B28/B29</f>
        <v>5446.2727642366617</v>
      </c>
    </row>
  </sheetData>
  <phoneticPr fontId="0" type="noConversion"/>
  <pageMargins left="0.54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Table'!B29</f>
        <v>17532271</v>
      </c>
      <c r="C9" s="1">
        <f>'Master Expend Table'!C29</f>
        <v>0</v>
      </c>
      <c r="D9" s="1">
        <f>'Master Expend Table'!D29</f>
        <v>0</v>
      </c>
      <c r="E9" s="1">
        <f>'Master Expend Table'!E29</f>
        <v>0</v>
      </c>
      <c r="G9" s="1">
        <f>'Master Expend Table'!G29</f>
        <v>7297341.7599999998</v>
      </c>
      <c r="H9" s="1">
        <f>'Master Expend Table'!H29</f>
        <v>4961757.8099999996</v>
      </c>
      <c r="I9" s="1">
        <f>'Master Expend Table'!I29</f>
        <v>6706730.5700000003</v>
      </c>
      <c r="J9" s="1">
        <f>'Master Expend Table'!J29</f>
        <v>4376274.92</v>
      </c>
      <c r="K9" s="1">
        <f>SUM(B9:J9)</f>
        <v>40874376.060000002</v>
      </c>
    </row>
    <row r="11" spans="1:11" x14ac:dyDescent="0.2">
      <c r="A11" t="s">
        <v>3</v>
      </c>
      <c r="B11" s="1">
        <f>(B9/($K9-$J9))*-$J$11</f>
        <v>2102192.5928046601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874981.78616085288</v>
      </c>
      <c r="H11" s="1">
        <f t="shared" si="0"/>
        <v>594935.50581511494</v>
      </c>
      <c r="I11" s="1">
        <f t="shared" si="0"/>
        <v>804165.03521937213</v>
      </c>
      <c r="J11" s="1">
        <f>-J9</f>
        <v>-4376274.92</v>
      </c>
      <c r="K11" s="1">
        <v>0</v>
      </c>
    </row>
    <row r="12" spans="1:11" x14ac:dyDescent="0.2">
      <c r="A12" t="s">
        <v>4</v>
      </c>
      <c r="B12" s="1">
        <f>+B9+B11</f>
        <v>19634463.592804659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8172323.5461608525</v>
      </c>
      <c r="H12" s="1">
        <f t="shared" si="1"/>
        <v>5556693.3158151144</v>
      </c>
      <c r="I12" s="1">
        <f t="shared" si="1"/>
        <v>7510895.6052193725</v>
      </c>
      <c r="J12" s="1">
        <f t="shared" si="1"/>
        <v>0</v>
      </c>
      <c r="K12" s="1">
        <f>SUM(B12:J12)</f>
        <v>40874376.059999995</v>
      </c>
    </row>
    <row r="14" spans="1:11" x14ac:dyDescent="0.2">
      <c r="A14" t="s">
        <v>5</v>
      </c>
      <c r="B14" s="1">
        <f>B$9/($K$9-$J$9-$I$9)*-I14</f>
        <v>4420174.5231560543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1839780.1479520113</v>
      </c>
      <c r="H14" s="1">
        <f t="shared" si="2"/>
        <v>1250940.9341113069</v>
      </c>
      <c r="I14" s="1">
        <f>-I12</f>
        <v>-7510895.6052193725</v>
      </c>
      <c r="K14" s="1">
        <v>0</v>
      </c>
    </row>
    <row r="15" spans="1:11" x14ac:dyDescent="0.2">
      <c r="A15" t="s">
        <v>4</v>
      </c>
      <c r="B15" s="1">
        <f>+B12+B14</f>
        <v>24054638.115960713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10012103.694112863</v>
      </c>
      <c r="H15" s="1">
        <f>+H12+H14</f>
        <v>6807634.2499264218</v>
      </c>
      <c r="I15" s="1">
        <f>+I12+I14</f>
        <v>0</v>
      </c>
      <c r="J15" s="1">
        <f>+J12+J14</f>
        <v>0</v>
      </c>
      <c r="K15" s="1">
        <f>SUM(B15:J15)</f>
        <v>40874376.060000002</v>
      </c>
    </row>
    <row r="17" spans="1:11" x14ac:dyDescent="0.2">
      <c r="A17" t="s">
        <v>6</v>
      </c>
      <c r="B17" s="1">
        <f>B$9/($K$9-$J$9-$I$9-$H$9)*-$H$17</f>
        <v>4806892.8699068343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2000741.3800195872</v>
      </c>
      <c r="H17" s="1">
        <f>-H15</f>
        <v>-6807634.2499264218</v>
      </c>
      <c r="K17" s="1">
        <v>0</v>
      </c>
    </row>
    <row r="18" spans="1:11" x14ac:dyDescent="0.2">
      <c r="A18" t="s">
        <v>4</v>
      </c>
      <c r="B18" s="1">
        <f>+B15+B17</f>
        <v>28861530.985867549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12012845.07413245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40874376.060000002</v>
      </c>
    </row>
    <row r="20" spans="1:11" x14ac:dyDescent="0.2">
      <c r="A20" t="s">
        <v>7</v>
      </c>
      <c r="B20" s="1">
        <f>B$9/($K$9-$J$9-$I$9-$H$9-$G$9)*-$G$20</f>
        <v>12012845.07413245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-12012845.07413245</v>
      </c>
      <c r="K20" s="1">
        <f>SUM(B20:J20)</f>
        <v>0</v>
      </c>
    </row>
    <row r="22" spans="1:11" x14ac:dyDescent="0.2">
      <c r="A22" t="s">
        <v>8</v>
      </c>
      <c r="B22" s="1">
        <f>+B20+B18</f>
        <v>40874376.060000002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40874376.060000002</v>
      </c>
    </row>
    <row r="27" spans="1:11" x14ac:dyDescent="0.2">
      <c r="A27" t="s">
        <v>9</v>
      </c>
      <c r="B27" s="1">
        <f>+B9</f>
        <v>17532271</v>
      </c>
    </row>
    <row r="28" spans="1:11" x14ac:dyDescent="0.2">
      <c r="A28" t="s">
        <v>10</v>
      </c>
      <c r="B28" s="1">
        <f>+B22-B27</f>
        <v>23342105.060000002</v>
      </c>
    </row>
    <row r="29" spans="1:11" x14ac:dyDescent="0.2">
      <c r="A29" s="28" t="s">
        <v>169</v>
      </c>
      <c r="B29" s="1">
        <v>3563</v>
      </c>
    </row>
    <row r="30" spans="1:11" x14ac:dyDescent="0.2">
      <c r="A30" t="s">
        <v>11</v>
      </c>
      <c r="B30" s="1">
        <f>+B28/B29</f>
        <v>6551.2503676676961</v>
      </c>
    </row>
  </sheetData>
  <phoneticPr fontId="0" type="noConversion"/>
  <pageMargins left="0.56000000000000005" right="0.55000000000000004" top="1" bottom="0.46" header="0.5" footer="0.5"/>
  <pageSetup scale="10" orientation="landscape" horizontalDpi="4294967294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fitToPage="1"/>
  </sheetPr>
  <dimension ref="A1:K30"/>
  <sheetViews>
    <sheetView zoomScale="75" workbookViewId="0">
      <selection activeCell="B29" sqref="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Table'!B30</f>
        <v>17063949.409999996</v>
      </c>
      <c r="C9" s="1">
        <f>'Master Expend Table'!C30</f>
        <v>44798.25</v>
      </c>
      <c r="D9" s="1">
        <f>'Master Expend Table'!D30</f>
        <v>781289.23</v>
      </c>
      <c r="E9" s="1">
        <f>'Master Expend Table'!E30</f>
        <v>495971.92000000004</v>
      </c>
      <c r="G9" s="1">
        <f>'Master Expend Table'!G30</f>
        <v>3278479.25</v>
      </c>
      <c r="H9" s="1">
        <f>'Master Expend Table'!H30</f>
        <v>4993194.4800000004</v>
      </c>
      <c r="I9" s="1">
        <f>'Master Expend Table'!I30</f>
        <v>7761763.54</v>
      </c>
      <c r="J9" s="1">
        <f>'Master Expend Table'!J30</f>
        <v>8799502.0499999989</v>
      </c>
      <c r="K9" s="1">
        <f>SUM(B9:J9)</f>
        <v>43218948.129999995</v>
      </c>
    </row>
    <row r="11" spans="1:11" x14ac:dyDescent="0.2">
      <c r="A11" t="s">
        <v>3</v>
      </c>
      <c r="B11" s="1">
        <f>(B9/($K9-$J9))*-$J$11</f>
        <v>4362483.2737108143</v>
      </c>
      <c r="C11" s="1">
        <f t="shared" ref="C11:I11" si="0">(C9/($K9-$J9))*-$J$11</f>
        <v>11452.894732680499</v>
      </c>
      <c r="D11" s="1">
        <f t="shared" si="0"/>
        <v>199740.46546387419</v>
      </c>
      <c r="E11" s="1">
        <f t="shared" si="0"/>
        <v>126797.68049255127</v>
      </c>
      <c r="G11" s="1">
        <f t="shared" si="0"/>
        <v>838159.47572789819</v>
      </c>
      <c r="H11" s="1">
        <f t="shared" si="0"/>
        <v>1276534.926235765</v>
      </c>
      <c r="I11" s="1">
        <f t="shared" si="0"/>
        <v>1984333.3336364154</v>
      </c>
      <c r="J11" s="1">
        <f>-J9</f>
        <v>-8799502.0499999989</v>
      </c>
      <c r="K11" s="1">
        <v>0</v>
      </c>
    </row>
    <row r="12" spans="1:11" x14ac:dyDescent="0.2">
      <c r="A12" t="s">
        <v>4</v>
      </c>
      <c r="B12" s="1">
        <f>+B9+B11</f>
        <v>21426432.68371081</v>
      </c>
      <c r="C12" s="1">
        <f t="shared" ref="C12:J12" si="1">+C9+C11</f>
        <v>56251.144732680499</v>
      </c>
      <c r="D12" s="1">
        <f t="shared" si="1"/>
        <v>981029.69546387414</v>
      </c>
      <c r="E12" s="1">
        <f t="shared" si="1"/>
        <v>622769.60049255134</v>
      </c>
      <c r="G12" s="1">
        <f t="shared" si="1"/>
        <v>4116638.7257278981</v>
      </c>
      <c r="H12" s="1">
        <f t="shared" si="1"/>
        <v>6269729.4062357657</v>
      </c>
      <c r="I12" s="1">
        <f t="shared" si="1"/>
        <v>9746096.8736364152</v>
      </c>
      <c r="J12" s="1">
        <f t="shared" si="1"/>
        <v>0</v>
      </c>
      <c r="K12" s="1">
        <f>SUM(B12:J12)</f>
        <v>43218948.129999995</v>
      </c>
    </row>
    <row r="14" spans="1:11" x14ac:dyDescent="0.2">
      <c r="A14" t="s">
        <v>5</v>
      </c>
      <c r="B14" s="1">
        <f>B$9/($K$9-$J$9-$I$9)*-I14</f>
        <v>6238610.7174600232</v>
      </c>
      <c r="C14" s="1">
        <f t="shared" ref="C14:H14" si="2">C$9/($K$9-$J$9-$I$9)*-$I$14</f>
        <v>16378.321094275532</v>
      </c>
      <c r="D14" s="1">
        <f t="shared" si="2"/>
        <v>285640.75329815981</v>
      </c>
      <c r="E14" s="1">
        <f t="shared" si="2"/>
        <v>181328.22955147439</v>
      </c>
      <c r="G14" s="1">
        <f t="shared" si="2"/>
        <v>1198617.9339018741</v>
      </c>
      <c r="H14" s="1">
        <f t="shared" si="2"/>
        <v>1825520.9183306079</v>
      </c>
      <c r="I14" s="1">
        <f>-I12</f>
        <v>-9746096.8736364152</v>
      </c>
      <c r="K14" s="1">
        <v>0</v>
      </c>
    </row>
    <row r="15" spans="1:11" x14ac:dyDescent="0.2">
      <c r="A15" t="s">
        <v>4</v>
      </c>
      <c r="B15" s="1">
        <f>+B12+B14</f>
        <v>27665043.401170835</v>
      </c>
      <c r="C15" s="1">
        <f>+C12+C14</f>
        <v>72629.465826956031</v>
      </c>
      <c r="D15" s="1">
        <f>+D12+D14</f>
        <v>1266670.4487620341</v>
      </c>
      <c r="E15" s="1">
        <f>+E12+E14</f>
        <v>804097.83004402579</v>
      </c>
      <c r="G15" s="1">
        <f>+G12+G14</f>
        <v>5315256.6596297724</v>
      </c>
      <c r="H15" s="1">
        <f>+H12+H14</f>
        <v>8095250.3245663736</v>
      </c>
      <c r="I15" s="1">
        <f>+I12+I14</f>
        <v>0</v>
      </c>
      <c r="J15" s="1">
        <f>+J12+J14</f>
        <v>0</v>
      </c>
      <c r="K15" s="1">
        <f>SUM(B15:J15)</f>
        <v>43218948.129999995</v>
      </c>
    </row>
    <row r="17" spans="1:11" x14ac:dyDescent="0.2">
      <c r="A17" t="s">
        <v>6</v>
      </c>
      <c r="B17" s="1">
        <f>B$9/($K$9-$J$9-$I$9-$H$9)*-$H$17</f>
        <v>6376192.3022189643</v>
      </c>
      <c r="C17" s="1">
        <f>C$9/($K$9-$J$9-$I$9-$H$9)*-$H$17</f>
        <v>16739.516154184425</v>
      </c>
      <c r="D17" s="1">
        <f>D$9/($K$9-$J$9-$I$9-$H$9)*-$H$17</f>
        <v>291940.05762893218</v>
      </c>
      <c r="E17" s="1">
        <f>E$9/($K$9-$J$9-$I$9-$H$9)*-$H$17</f>
        <v>185327.1046717643</v>
      </c>
      <c r="G17" s="1">
        <f>G$9/($K$9-$J$9-$I$9-$H$9)*-$H$17</f>
        <v>1225051.3438925277</v>
      </c>
      <c r="H17" s="1">
        <f>-H15</f>
        <v>-8095250.3245663736</v>
      </c>
      <c r="K17" s="1">
        <v>0</v>
      </c>
    </row>
    <row r="18" spans="1:11" x14ac:dyDescent="0.2">
      <c r="A18" t="s">
        <v>4</v>
      </c>
      <c r="B18" s="1">
        <f>+B15+B17</f>
        <v>34041235.703389801</v>
      </c>
      <c r="C18" s="1">
        <f>+C15+C17</f>
        <v>89368.98198114046</v>
      </c>
      <c r="D18" s="1">
        <f>+D15+D17</f>
        <v>1558610.5063909662</v>
      </c>
      <c r="E18" s="1">
        <f>+E15+E17</f>
        <v>989424.93471579009</v>
      </c>
      <c r="G18" s="1">
        <f>+G15+G17</f>
        <v>6540308.0035223002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43218948.130000003</v>
      </c>
    </row>
    <row r="20" spans="1:11" x14ac:dyDescent="0.2">
      <c r="A20" t="s">
        <v>7</v>
      </c>
      <c r="B20" s="1">
        <f>B$9/($K$9-$J$9-$I$9-$H$9-$G$9)*-$G$20</f>
        <v>6070022.3768642163</v>
      </c>
      <c r="C20" s="1">
        <f>C$9/($K$9-$J$9-$I$9-$H$9-$G$9)*-$G$20</f>
        <v>15935.723519257515</v>
      </c>
      <c r="D20" s="1">
        <f>D$9/($K$9-$J$9-$I$9-$H$9-$G$9)*-$G$20</f>
        <v>277921.77502142597</v>
      </c>
      <c r="E20" s="1">
        <f>E$9/($K$9-$J$9-$I$9-$H$9-$G$9)*-$G$20</f>
        <v>176428.12811739987</v>
      </c>
      <c r="G20" s="1">
        <f>-G18</f>
        <v>-6540308.0035223002</v>
      </c>
      <c r="K20" s="1">
        <f>SUM(B20:J20)</f>
        <v>0</v>
      </c>
    </row>
    <row r="22" spans="1:11" x14ac:dyDescent="0.2">
      <c r="A22" t="s">
        <v>8</v>
      </c>
      <c r="B22" s="1">
        <f>+B20+B18</f>
        <v>40111258.080254018</v>
      </c>
      <c r="C22" s="1">
        <f t="shared" ref="C22:K22" si="3">+C20+C18</f>
        <v>105304.70550039798</v>
      </c>
      <c r="D22" s="1">
        <f t="shared" si="3"/>
        <v>1836532.2814123922</v>
      </c>
      <c r="E22" s="1">
        <f t="shared" si="3"/>
        <v>1165853.06283319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43218948.130000003</v>
      </c>
    </row>
    <row r="27" spans="1:11" x14ac:dyDescent="0.2">
      <c r="A27" t="s">
        <v>9</v>
      </c>
      <c r="B27" s="1">
        <f>+B9</f>
        <v>17063949.409999996</v>
      </c>
    </row>
    <row r="28" spans="1:11" x14ac:dyDescent="0.2">
      <c r="A28" t="s">
        <v>10</v>
      </c>
      <c r="B28" s="1">
        <f>+B22-B27</f>
        <v>23047308.670254022</v>
      </c>
    </row>
    <row r="29" spans="1:11" x14ac:dyDescent="0.2">
      <c r="A29" s="28" t="s">
        <v>169</v>
      </c>
      <c r="B29" s="1">
        <f>HIBBING!B29+'ITASCA CC'!B29+'MESABI RANGE'!B29+'RAINY RIVER'!B29+VERMILION!B29</f>
        <v>2670</v>
      </c>
    </row>
    <row r="30" spans="1:11" x14ac:dyDescent="0.2">
      <c r="A30" t="s">
        <v>11</v>
      </c>
      <c r="B30" s="1">
        <f>+B28/B29</f>
        <v>8631.9508128292218</v>
      </c>
    </row>
  </sheetData>
  <phoneticPr fontId="0" type="noConversion"/>
  <pageMargins left="0.56000000000000005" right="0.59" top="0.82" bottom="1" header="0.5" footer="0.5"/>
  <pageSetup scale="1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Table'!B31</f>
        <v>5402018.8099999996</v>
      </c>
      <c r="C9" s="1">
        <f>'Master Expend Table'!C31</f>
        <v>0</v>
      </c>
      <c r="D9" s="1">
        <f>'Master Expend Table'!D31</f>
        <v>530961.88</v>
      </c>
      <c r="E9" s="1">
        <f>'Master Expend Table'!E31</f>
        <v>14909.2</v>
      </c>
      <c r="G9" s="1">
        <f>'Master Expend Table'!G31</f>
        <v>1011447.94</v>
      </c>
      <c r="H9" s="1">
        <f>'Master Expend Table'!H31</f>
        <v>1140766.82</v>
      </c>
      <c r="I9" s="1">
        <f>'Master Expend Table'!I31</f>
        <v>2342539.4700000002</v>
      </c>
      <c r="J9" s="1">
        <f>'Master Expend Table'!J31</f>
        <v>1565380.98</v>
      </c>
      <c r="K9" s="1">
        <f>SUM(B9:J9)</f>
        <v>12008025.100000001</v>
      </c>
    </row>
    <row r="11" spans="1:11" x14ac:dyDescent="0.2">
      <c r="A11" t="s">
        <v>3</v>
      </c>
      <c r="B11" s="1">
        <f>(B9/($K9-$J9))*-$J$11</f>
        <v>809777.42816885654</v>
      </c>
      <c r="C11" s="1">
        <f t="shared" ref="C11:I11" si="0">(C9/($K9-$J9))*-$J$11</f>
        <v>0</v>
      </c>
      <c r="D11" s="1">
        <f t="shared" si="0"/>
        <v>79592.641337378285</v>
      </c>
      <c r="E11" s="1">
        <f t="shared" si="0"/>
        <v>2234.9299505780727</v>
      </c>
      <c r="G11" s="1">
        <f t="shared" si="0"/>
        <v>151618.81888743144</v>
      </c>
      <c r="H11" s="1">
        <f t="shared" si="0"/>
        <v>171004.07350117411</v>
      </c>
      <c r="I11" s="1">
        <f t="shared" si="0"/>
        <v>351153.08815458138</v>
      </c>
      <c r="J11" s="1">
        <f>-J9</f>
        <v>-1565380.98</v>
      </c>
      <c r="K11" s="1">
        <v>0</v>
      </c>
    </row>
    <row r="12" spans="1:11" x14ac:dyDescent="0.2">
      <c r="A12" t="s">
        <v>4</v>
      </c>
      <c r="B12" s="1">
        <f>+B9+B11</f>
        <v>6211796.2381688561</v>
      </c>
      <c r="C12" s="1">
        <f t="shared" ref="C12:J12" si="1">+C9+C11</f>
        <v>0</v>
      </c>
      <c r="D12" s="1">
        <f t="shared" si="1"/>
        <v>610554.5213373783</v>
      </c>
      <c r="E12" s="1">
        <f t="shared" si="1"/>
        <v>17144.129950578073</v>
      </c>
      <c r="G12" s="1">
        <f t="shared" si="1"/>
        <v>1163066.7588874314</v>
      </c>
      <c r="H12" s="1">
        <f t="shared" si="1"/>
        <v>1311770.8935011742</v>
      </c>
      <c r="I12" s="1">
        <f t="shared" si="1"/>
        <v>2693692.5581545816</v>
      </c>
      <c r="J12" s="1">
        <f t="shared" si="1"/>
        <v>0</v>
      </c>
      <c r="K12" s="1">
        <f>SUM(B12:J12)</f>
        <v>12008025.1</v>
      </c>
    </row>
    <row r="14" spans="1:11" x14ac:dyDescent="0.2">
      <c r="A14" t="s">
        <v>5</v>
      </c>
      <c r="B14" s="1">
        <f>B$9/($K$9-$J$9-$I$9)*-I14</f>
        <v>1796443.1937935601</v>
      </c>
      <c r="C14" s="1">
        <f t="shared" ref="C14:H14" si="2">C$9/($K$9-$J$9-$I$9)*-$I$14</f>
        <v>0</v>
      </c>
      <c r="D14" s="1">
        <f t="shared" si="2"/>
        <v>176571.55390205554</v>
      </c>
      <c r="E14" s="1">
        <f t="shared" si="2"/>
        <v>4958.0595342108682</v>
      </c>
      <c r="G14" s="1">
        <f t="shared" si="2"/>
        <v>336357.35668412398</v>
      </c>
      <c r="H14" s="1">
        <f t="shared" si="2"/>
        <v>379362.39424063085</v>
      </c>
      <c r="I14" s="1">
        <f>-I12</f>
        <v>-2693692.5581545816</v>
      </c>
      <c r="K14" s="1">
        <v>0</v>
      </c>
    </row>
    <row r="15" spans="1:11" x14ac:dyDescent="0.2">
      <c r="A15" t="s">
        <v>4</v>
      </c>
      <c r="B15" s="1">
        <f>+B12+B14</f>
        <v>8008239.4319624165</v>
      </c>
      <c r="C15" s="1">
        <f>+C12+C14</f>
        <v>0</v>
      </c>
      <c r="D15" s="1">
        <f>+D12+D14</f>
        <v>787126.07523943391</v>
      </c>
      <c r="E15" s="1">
        <f>+E12+E14</f>
        <v>22102.189484788942</v>
      </c>
      <c r="G15" s="1">
        <f>+G12+G14</f>
        <v>1499424.1155715552</v>
      </c>
      <c r="H15" s="1">
        <f>+H12+H14</f>
        <v>1691133.287741805</v>
      </c>
      <c r="I15" s="1">
        <f>+I12+I14</f>
        <v>0</v>
      </c>
      <c r="J15" s="1">
        <f>+J12+J14</f>
        <v>0</v>
      </c>
      <c r="K15" s="1">
        <f>SUM(B15:J15)</f>
        <v>12008025.099999998</v>
      </c>
    </row>
    <row r="17" spans="1:11" x14ac:dyDescent="0.2">
      <c r="A17" t="s">
        <v>6</v>
      </c>
      <c r="B17" s="1">
        <f>B$9/($K$9-$J$9-$I$9-$H$9)*-$H$17</f>
        <v>1312701.5893979631</v>
      </c>
      <c r="C17" s="1">
        <f>C$9/($K$9-$J$9-$I$9-$H$9)*-$H$17</f>
        <v>0</v>
      </c>
      <c r="D17" s="1">
        <f>D$9/($K$9-$J$9-$I$9-$H$9)*-$H$17</f>
        <v>129024.81984984622</v>
      </c>
      <c r="E17" s="1">
        <f>E$9/($K$9-$J$9-$I$9-$H$9)*-$H$17</f>
        <v>3622.9660104889776</v>
      </c>
      <c r="G17" s="1">
        <f>G$9/($K$9-$J$9-$I$9-$H$9)*-$H$17</f>
        <v>245783.91248350646</v>
      </c>
      <c r="H17" s="1">
        <f>-H15</f>
        <v>-1691133.287741805</v>
      </c>
      <c r="K17" s="1">
        <v>0</v>
      </c>
    </row>
    <row r="18" spans="1:11" x14ac:dyDescent="0.2">
      <c r="A18" t="s">
        <v>4</v>
      </c>
      <c r="B18" s="1">
        <f>+B15+B17</f>
        <v>9320941.0213603787</v>
      </c>
      <c r="C18" s="1">
        <f>+C15+C17</f>
        <v>0</v>
      </c>
      <c r="D18" s="1">
        <f>+D15+D17</f>
        <v>916150.89508928009</v>
      </c>
      <c r="E18" s="1">
        <f>+E15+E17</f>
        <v>25725.155495277919</v>
      </c>
      <c r="G18" s="1">
        <f>+G15+G17</f>
        <v>1745208.0280550616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12008025.099999998</v>
      </c>
    </row>
    <row r="20" spans="1:11" x14ac:dyDescent="0.2">
      <c r="A20" t="s">
        <v>7</v>
      </c>
      <c r="B20" s="1">
        <f>B$9/($K$9-$J$9-$I$9-$H$9-$G$9)*-$G$20</f>
        <v>1585040.5386230929</v>
      </c>
      <c r="C20" s="1">
        <f>C$9/($K$9-$J$9-$I$9-$H$9-$G$9)*-$G$20</f>
        <v>0</v>
      </c>
      <c r="D20" s="1">
        <f>D$9/($K$9-$J$9-$I$9-$H$9-$G$9)*-$G$20</f>
        <v>155792.88667147941</v>
      </c>
      <c r="E20" s="1">
        <f>E$9/($K$9-$J$9-$I$9-$H$9-$G$9)*-$G$20</f>
        <v>4374.6027604889841</v>
      </c>
      <c r="G20" s="1">
        <f>-G18</f>
        <v>-1745208.0280550616</v>
      </c>
      <c r="K20" s="1">
        <f>SUM(B20:J20)</f>
        <v>0</v>
      </c>
    </row>
    <row r="22" spans="1:11" x14ac:dyDescent="0.2">
      <c r="A22" t="s">
        <v>8</v>
      </c>
      <c r="B22" s="1">
        <f>+B20+B18</f>
        <v>10905981.559983471</v>
      </c>
      <c r="C22" s="1">
        <f t="shared" ref="C22:K22" si="3">+C20+C18</f>
        <v>0</v>
      </c>
      <c r="D22" s="1">
        <f t="shared" si="3"/>
        <v>1071943.7817607594</v>
      </c>
      <c r="E22" s="1">
        <f t="shared" si="3"/>
        <v>30099.758255766901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12008025.099999998</v>
      </c>
    </row>
    <row r="27" spans="1:11" x14ac:dyDescent="0.2">
      <c r="A27" t="s">
        <v>9</v>
      </c>
      <c r="B27" s="1">
        <f>+B9</f>
        <v>5402018.8099999996</v>
      </c>
    </row>
    <row r="28" spans="1:11" x14ac:dyDescent="0.2">
      <c r="A28" t="s">
        <v>10</v>
      </c>
      <c r="B28" s="1">
        <f>+B22-B27</f>
        <v>5503962.7499834718</v>
      </c>
    </row>
    <row r="29" spans="1:11" x14ac:dyDescent="0.2">
      <c r="A29" s="28" t="s">
        <v>169</v>
      </c>
      <c r="B29" s="1">
        <v>693</v>
      </c>
    </row>
    <row r="30" spans="1:11" x14ac:dyDescent="0.2">
      <c r="A30" t="s">
        <v>11</v>
      </c>
      <c r="B30" s="1">
        <f>+B28/B29</f>
        <v>7942.2261904523402</v>
      </c>
    </row>
  </sheetData>
  <phoneticPr fontId="0" type="noConversion"/>
  <pageMargins left="0.46" right="0.55000000000000004" top="1" bottom="0.51" header="0.5" footer="0.5"/>
  <pageSetup orientation="landscape" horizontalDpi="4294967294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Table'!B32</f>
        <v>4225741.16</v>
      </c>
      <c r="C9" s="1">
        <f>'Master Expend Table'!C32</f>
        <v>0</v>
      </c>
      <c r="D9" s="1">
        <f>'Master Expend Table'!D32</f>
        <v>119883.68</v>
      </c>
      <c r="E9" s="1">
        <f>'Master Expend Table'!E32</f>
        <v>146455.14000000001</v>
      </c>
      <c r="G9" s="1">
        <f>'Master Expend Table'!G32</f>
        <v>674351.14</v>
      </c>
      <c r="H9" s="1">
        <f>'Master Expend Table'!H32</f>
        <v>1230355.53</v>
      </c>
      <c r="I9" s="1">
        <f>'Master Expend Table'!I32</f>
        <v>1518299.15</v>
      </c>
      <c r="J9" s="1">
        <f>'Master Expend Table'!J32</f>
        <v>5144282.3899999997</v>
      </c>
      <c r="K9" s="1">
        <f>SUM(B9:J9)</f>
        <v>13059368.189999998</v>
      </c>
    </row>
    <row r="11" spans="1:11" x14ac:dyDescent="0.2">
      <c r="A11" t="s">
        <v>3</v>
      </c>
      <c r="B11" s="1">
        <f>(B9/($K9-$J9))*-$J$11</f>
        <v>2746452.3295611246</v>
      </c>
      <c r="C11" s="1">
        <f t="shared" ref="C11:I11" si="0">(C9/($K9-$J9))*-$J$11</f>
        <v>0</v>
      </c>
      <c r="D11" s="1">
        <f t="shared" si="0"/>
        <v>77916.464768126112</v>
      </c>
      <c r="E11" s="1">
        <f t="shared" si="0"/>
        <v>95186.156747281857</v>
      </c>
      <c r="G11" s="1">
        <f t="shared" si="0"/>
        <v>438283.64996099292</v>
      </c>
      <c r="H11" s="1">
        <f t="shared" si="0"/>
        <v>799649.73802534374</v>
      </c>
      <c r="I11" s="1">
        <f t="shared" si="0"/>
        <v>986794.05093713198</v>
      </c>
      <c r="J11" s="1">
        <f>-J9</f>
        <v>-5144282.3899999997</v>
      </c>
      <c r="K11" s="1">
        <v>0</v>
      </c>
    </row>
    <row r="12" spans="1:11" x14ac:dyDescent="0.2">
      <c r="A12" t="s">
        <v>4</v>
      </c>
      <c r="B12" s="1">
        <f>+B9+B11</f>
        <v>6972193.4895611247</v>
      </c>
      <c r="C12" s="1">
        <f t="shared" ref="C12:J12" si="1">+C9+C11</f>
        <v>0</v>
      </c>
      <c r="D12" s="1">
        <f t="shared" si="1"/>
        <v>197800.14476812611</v>
      </c>
      <c r="E12" s="1">
        <f t="shared" si="1"/>
        <v>241641.29674728186</v>
      </c>
      <c r="G12" s="1">
        <f t="shared" si="1"/>
        <v>1112634.789960993</v>
      </c>
      <c r="H12" s="1">
        <f t="shared" si="1"/>
        <v>2030005.2680253438</v>
      </c>
      <c r="I12" s="1">
        <f t="shared" si="1"/>
        <v>2505093.2009371319</v>
      </c>
      <c r="J12" s="1">
        <f t="shared" si="1"/>
        <v>0</v>
      </c>
      <c r="K12" s="1">
        <f>SUM(B12:J12)</f>
        <v>13059368.190000001</v>
      </c>
    </row>
    <row r="14" spans="1:11" x14ac:dyDescent="0.2">
      <c r="A14" t="s">
        <v>5</v>
      </c>
      <c r="B14" s="1">
        <f>B$9/($K$9-$J$9-$I$9)*-I14</f>
        <v>1654873.9278081427</v>
      </c>
      <c r="C14" s="1">
        <f t="shared" ref="C14:H14" si="2">C$9/($K$9-$J$9-$I$9)*-$I$14</f>
        <v>0</v>
      </c>
      <c r="D14" s="1">
        <f t="shared" si="2"/>
        <v>46948.539650188715</v>
      </c>
      <c r="E14" s="1">
        <f t="shared" si="2"/>
        <v>57354.38674608538</v>
      </c>
      <c r="G14" s="1">
        <f t="shared" si="2"/>
        <v>264087.6659311757</v>
      </c>
      <c r="H14" s="1">
        <f t="shared" si="2"/>
        <v>481828.68080153997</v>
      </c>
      <c r="I14" s="1">
        <f>-I12</f>
        <v>-2505093.2009371319</v>
      </c>
      <c r="K14" s="1">
        <v>0</v>
      </c>
    </row>
    <row r="15" spans="1:11" x14ac:dyDescent="0.2">
      <c r="A15" t="s">
        <v>4</v>
      </c>
      <c r="B15" s="1">
        <f>+B12+B14</f>
        <v>8627067.417369267</v>
      </c>
      <c r="C15" s="1">
        <f>+C12+C14</f>
        <v>0</v>
      </c>
      <c r="D15" s="1">
        <f>+D12+D14</f>
        <v>244748.68441831484</v>
      </c>
      <c r="E15" s="1">
        <f>+E12+E14</f>
        <v>298995.68349336722</v>
      </c>
      <c r="G15" s="1">
        <f>+G12+G14</f>
        <v>1376722.4558921687</v>
      </c>
      <c r="H15" s="1">
        <f>+H12+H14</f>
        <v>2511833.9488268839</v>
      </c>
      <c r="I15" s="1">
        <f>+I12+I14</f>
        <v>0</v>
      </c>
      <c r="J15" s="1">
        <f>+J12+J14</f>
        <v>0</v>
      </c>
      <c r="K15" s="1">
        <f>SUM(B15:J15)</f>
        <v>13059368.190000001</v>
      </c>
    </row>
    <row r="17" spans="1:11" x14ac:dyDescent="0.2">
      <c r="A17" t="s">
        <v>6</v>
      </c>
      <c r="B17" s="1">
        <f>B$9/($K$9-$J$9-$I$9-$H$9)*-$H$17</f>
        <v>2054485.9416693628</v>
      </c>
      <c r="C17" s="1">
        <f>C$9/($K$9-$J$9-$I$9-$H$9)*-$H$17</f>
        <v>0</v>
      </c>
      <c r="D17" s="1">
        <f>D$9/($K$9-$J$9-$I$9-$H$9)*-$H$17</f>
        <v>58285.476054948085</v>
      </c>
      <c r="E17" s="1">
        <f>E$9/($K$9-$J$9-$I$9-$H$9)*-$H$17</f>
        <v>71204.083454846157</v>
      </c>
      <c r="G17" s="1">
        <f>G$9/($K$9-$J$9-$I$9-$H$9)*-$H$17</f>
        <v>327858.44764772773</v>
      </c>
      <c r="H17" s="1">
        <f>-H15</f>
        <v>-2511833.9488268839</v>
      </c>
      <c r="K17" s="1">
        <v>0</v>
      </c>
    </row>
    <row r="18" spans="1:11" x14ac:dyDescent="0.2">
      <c r="A18" t="s">
        <v>4</v>
      </c>
      <c r="B18" s="1">
        <f>+B15+B17</f>
        <v>10681553.359038631</v>
      </c>
      <c r="C18" s="1">
        <f>+C15+C17</f>
        <v>0</v>
      </c>
      <c r="D18" s="1">
        <f>+D15+D17</f>
        <v>303034.16047326289</v>
      </c>
      <c r="E18" s="1">
        <f>+E15+E17</f>
        <v>370199.76694821339</v>
      </c>
      <c r="G18" s="1">
        <f>+G15+G17</f>
        <v>1704580.9035398965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13059368.190000003</v>
      </c>
    </row>
    <row r="20" spans="1:11" x14ac:dyDescent="0.2">
      <c r="A20" t="s">
        <v>7</v>
      </c>
      <c r="B20" s="1">
        <f>B$9/($K$9-$J$9-$I$9-$H$9-$G$9)*-$G$20</f>
        <v>1603515.0123570447</v>
      </c>
      <c r="C20" s="1">
        <f>C$9/($K$9-$J$9-$I$9-$H$9-$G$9)*-$G$20</f>
        <v>0</v>
      </c>
      <c r="D20" s="1">
        <f>D$9/($K$9-$J$9-$I$9-$H$9-$G$9)*-$G$20</f>
        <v>45491.49447113982</v>
      </c>
      <c r="E20" s="1">
        <f>E$9/($K$9-$J$9-$I$9-$H$9-$G$9)*-$G$20</f>
        <v>55574.396711712638</v>
      </c>
      <c r="G20" s="1">
        <f>-G18</f>
        <v>-1704580.9035398965</v>
      </c>
      <c r="K20" s="1">
        <f>SUM(B20:J20)</f>
        <v>0</v>
      </c>
    </row>
    <row r="22" spans="1:11" x14ac:dyDescent="0.2">
      <c r="A22" t="s">
        <v>8</v>
      </c>
      <c r="B22" s="1">
        <f>+B20+B18</f>
        <v>12285068.371395675</v>
      </c>
      <c r="C22" s="1">
        <f t="shared" ref="C22:K22" si="3">+C20+C18</f>
        <v>0</v>
      </c>
      <c r="D22" s="1">
        <f t="shared" si="3"/>
        <v>348525.65494440269</v>
      </c>
      <c r="E22" s="1">
        <f t="shared" si="3"/>
        <v>425774.16365992604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13059368.190000003</v>
      </c>
    </row>
    <row r="27" spans="1:11" x14ac:dyDescent="0.2">
      <c r="A27" t="s">
        <v>9</v>
      </c>
      <c r="B27" s="1">
        <f>+B9</f>
        <v>4225741.16</v>
      </c>
    </row>
    <row r="28" spans="1:11" x14ac:dyDescent="0.2">
      <c r="A28" t="s">
        <v>10</v>
      </c>
      <c r="B28" s="1">
        <f>+B22-B27</f>
        <v>8059327.2113956753</v>
      </c>
    </row>
    <row r="29" spans="1:11" x14ac:dyDescent="0.2">
      <c r="A29" s="28" t="s">
        <v>169</v>
      </c>
      <c r="B29" s="1">
        <v>740</v>
      </c>
    </row>
    <row r="30" spans="1:11" x14ac:dyDescent="0.2">
      <c r="A30" t="s">
        <v>11</v>
      </c>
      <c r="B30" s="1">
        <f>+B28/B29</f>
        <v>10890.982718102265</v>
      </c>
    </row>
  </sheetData>
  <phoneticPr fontId="0" type="noConversion"/>
  <pageMargins left="0.59" right="0.55000000000000004" top="1" bottom="0.53" header="0.5" footer="0.5"/>
  <pageSetup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5703125" style="1" bestFit="1" customWidth="1"/>
    <col min="5" max="5" width="9.28515625" style="1" bestFit="1" customWidth="1"/>
    <col min="6" max="6" width="2.7109375" style="3" customWidth="1"/>
    <col min="7" max="9" width="11.5703125" style="1" bestFit="1" customWidth="1"/>
    <col min="10" max="10" width="13.7109375" style="1" bestFit="1" customWidth="1"/>
    <col min="11" max="11" width="12.140625" style="1" bestFit="1" customWidth="1"/>
  </cols>
  <sheetData>
    <row r="1" spans="1:11" ht="15.75" x14ac:dyDescent="0.25">
      <c r="A1" s="5" t="str">
        <f>System!A1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99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Table'!B6</f>
        <v>11416093.52</v>
      </c>
      <c r="C9" s="1">
        <f>'Master Expend Table'!C6</f>
        <v>0</v>
      </c>
      <c r="D9" s="1">
        <f>'Master Expend Table'!D6</f>
        <v>828640.42</v>
      </c>
      <c r="E9" s="1">
        <f>'Master Expend Table'!E6</f>
        <v>61572.62</v>
      </c>
      <c r="G9" s="1">
        <f>'Master Expend Table'!G6</f>
        <v>2232315.37</v>
      </c>
      <c r="H9" s="1">
        <f>'Master Expend Table'!H6</f>
        <v>2537923.84</v>
      </c>
      <c r="I9" s="1">
        <f>'Master Expend Table'!I6</f>
        <v>3396294.6</v>
      </c>
      <c r="J9" s="1">
        <f>'Master Expend Table'!J6</f>
        <v>2613705.7000000002</v>
      </c>
      <c r="K9" s="1">
        <f>SUM(B9:J9)</f>
        <v>23086546.07</v>
      </c>
    </row>
    <row r="11" spans="1:11" x14ac:dyDescent="0.2">
      <c r="A11" t="s">
        <v>3</v>
      </c>
      <c r="B11" s="1">
        <f>(B9/($K9-$J9))*-$J$11</f>
        <v>1457458.1819472793</v>
      </c>
      <c r="C11" s="1">
        <f t="shared" ref="C11:I11" si="0">(C9/($K9-$J9))*-$J$11</f>
        <v>0</v>
      </c>
      <c r="D11" s="1">
        <f t="shared" si="0"/>
        <v>105790.01984395359</v>
      </c>
      <c r="E11" s="1">
        <f t="shared" si="0"/>
        <v>7860.7904398921464</v>
      </c>
      <c r="G11" s="1">
        <f t="shared" si="0"/>
        <v>284992.96147086646</v>
      </c>
      <c r="H11" s="1">
        <f t="shared" si="0"/>
        <v>324009.07186743664</v>
      </c>
      <c r="I11" s="1">
        <f t="shared" si="0"/>
        <v>433594.67443057196</v>
      </c>
      <c r="J11" s="1">
        <f>-J9</f>
        <v>-2613705.7000000002</v>
      </c>
      <c r="K11" s="1">
        <v>0</v>
      </c>
    </row>
    <row r="12" spans="1:11" x14ac:dyDescent="0.2">
      <c r="A12" t="s">
        <v>4</v>
      </c>
      <c r="B12" s="1">
        <f>+B9+B11</f>
        <v>12873551.701947279</v>
      </c>
      <c r="C12" s="1">
        <f t="shared" ref="C12:J12" si="1">+C9+C11</f>
        <v>0</v>
      </c>
      <c r="D12" s="1">
        <f t="shared" si="1"/>
        <v>934430.43984395359</v>
      </c>
      <c r="E12" s="1">
        <f t="shared" si="1"/>
        <v>69433.410439892148</v>
      </c>
      <c r="G12" s="1">
        <f t="shared" si="1"/>
        <v>2517308.3314708667</v>
      </c>
      <c r="H12" s="1">
        <f t="shared" si="1"/>
        <v>2861932.9118674365</v>
      </c>
      <c r="I12" s="1">
        <f t="shared" si="1"/>
        <v>3829889.2744305721</v>
      </c>
      <c r="J12" s="1">
        <f t="shared" si="1"/>
        <v>0</v>
      </c>
      <c r="K12" s="1">
        <f>SUM(B12:J12)</f>
        <v>23086546.07</v>
      </c>
    </row>
    <row r="14" spans="1:11" x14ac:dyDescent="0.2">
      <c r="A14" t="s">
        <v>5</v>
      </c>
      <c r="B14" s="1">
        <f>B$9/($K$9-$J$9-$I$9)*-I14</f>
        <v>2560375.7760515963</v>
      </c>
      <c r="C14" s="1">
        <f t="shared" ref="C14:H14" si="2">C$9/($K$9-$J$9-$I$9)*-$I$14</f>
        <v>0</v>
      </c>
      <c r="D14" s="1">
        <f t="shared" si="2"/>
        <v>185845.60950804307</v>
      </c>
      <c r="E14" s="1">
        <f t="shared" si="2"/>
        <v>13809.368716176219</v>
      </c>
      <c r="G14" s="1">
        <f t="shared" si="2"/>
        <v>500658.66995942907</v>
      </c>
      <c r="H14" s="1">
        <f t="shared" si="2"/>
        <v>569199.85019532731</v>
      </c>
      <c r="I14" s="1">
        <f>-I12</f>
        <v>-3829889.2744305721</v>
      </c>
      <c r="K14" s="1">
        <v>0</v>
      </c>
    </row>
    <row r="15" spans="1:11" x14ac:dyDescent="0.2">
      <c r="A15" t="s">
        <v>4</v>
      </c>
      <c r="B15" s="1">
        <f>+B12+B14</f>
        <v>15433927.477998875</v>
      </c>
      <c r="C15" s="1">
        <f>+C12+C14</f>
        <v>0</v>
      </c>
      <c r="D15" s="1">
        <f>+D12+D14</f>
        <v>1120276.0493519967</v>
      </c>
      <c r="E15" s="1">
        <f>+E12+E14</f>
        <v>83242.779156068369</v>
      </c>
      <c r="G15" s="1">
        <f>+G12+G14</f>
        <v>3017967.0014302959</v>
      </c>
      <c r="H15" s="1">
        <f>+H12+H14</f>
        <v>3431132.7620627638</v>
      </c>
      <c r="I15" s="1">
        <f>+I12+I14</f>
        <v>0</v>
      </c>
      <c r="J15" s="1">
        <f>+J12+J14</f>
        <v>0</v>
      </c>
      <c r="K15" s="1">
        <f>SUM(B15:J15)</f>
        <v>23086546.07</v>
      </c>
    </row>
    <row r="17" spans="1:11" x14ac:dyDescent="0.2">
      <c r="A17" t="s">
        <v>6</v>
      </c>
      <c r="B17" s="1">
        <f>B$9/($K$9-$J$9-$I$9-$H$9)*-$H$17</f>
        <v>2694212.1942395419</v>
      </c>
      <c r="C17" s="1">
        <f>C$9/($K$9-$J$9-$I$9-$H$9)*-$H$17</f>
        <v>0</v>
      </c>
      <c r="D17" s="1">
        <f>D$9/($K$9-$J$9-$I$9-$H$9)*-$H$17</f>
        <v>195560.16427971373</v>
      </c>
      <c r="E17" s="1">
        <f>E$9/($K$9-$J$9-$I$9-$H$9)*-$H$17</f>
        <v>14531.214495103181</v>
      </c>
      <c r="G17" s="1">
        <f>G$9/($K$9-$J$9-$I$9-$H$9)*-$H$17</f>
        <v>526829.18904840527</v>
      </c>
      <c r="H17" s="1">
        <f>-H15</f>
        <v>-3431132.7620627638</v>
      </c>
      <c r="K17" s="1">
        <v>0</v>
      </c>
    </row>
    <row r="18" spans="1:11" x14ac:dyDescent="0.2">
      <c r="A18" t="s">
        <v>4</v>
      </c>
      <c r="B18" s="1">
        <f>+B15+B17</f>
        <v>18128139.672238417</v>
      </c>
      <c r="C18" s="1">
        <f>+C15+C17</f>
        <v>0</v>
      </c>
      <c r="D18" s="1">
        <f>+D15+D17</f>
        <v>1315836.2136317105</v>
      </c>
      <c r="E18" s="1">
        <f>+E15+E17</f>
        <v>97773.99365117155</v>
      </c>
      <c r="G18" s="1">
        <f>+G15+G17</f>
        <v>3544796.1904787011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23086546.07</v>
      </c>
    </row>
    <row r="20" spans="1:11" x14ac:dyDescent="0.2">
      <c r="A20" t="s">
        <v>7</v>
      </c>
      <c r="B20" s="1">
        <f>B$9/($K$9-$J$9-$I$9-$H$9-$G$9)*-$G$20</f>
        <v>3288372.8860923639</v>
      </c>
      <c r="C20" s="1">
        <f>C$9/($K$9-$J$9-$I$9-$H$9-$G$9)*-$G$20</f>
        <v>0</v>
      </c>
      <c r="D20" s="1">
        <f>D$9/($K$9-$J$9-$I$9-$H$9-$G$9)*-$G$20</f>
        <v>238687.48838422171</v>
      </c>
      <c r="E20" s="1">
        <f>E$9/($K$9-$J$9-$I$9-$H$9-$G$9)*-$G$20</f>
        <v>17735.816002115967</v>
      </c>
      <c r="G20" s="1">
        <f>-G18</f>
        <v>-3544796.1904787011</v>
      </c>
      <c r="K20" s="1">
        <f>SUM(B20:J20)</f>
        <v>0</v>
      </c>
    </row>
    <row r="22" spans="1:11" x14ac:dyDescent="0.2">
      <c r="A22" t="s">
        <v>8</v>
      </c>
      <c r="B22" s="1">
        <f>+B20+B18</f>
        <v>21416512.558330782</v>
      </c>
      <c r="C22" s="1">
        <f t="shared" ref="C22:K22" si="3">+C20+C18</f>
        <v>0</v>
      </c>
      <c r="D22" s="1">
        <f t="shared" si="3"/>
        <v>1554523.7020159322</v>
      </c>
      <c r="E22" s="1">
        <f t="shared" si="3"/>
        <v>115509.80965328752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23086546.07</v>
      </c>
    </row>
    <row r="27" spans="1:11" x14ac:dyDescent="0.2">
      <c r="A27" t="s">
        <v>9</v>
      </c>
      <c r="B27" s="1">
        <f>+B9</f>
        <v>11416093.52</v>
      </c>
    </row>
    <row r="28" spans="1:11" x14ac:dyDescent="0.2">
      <c r="A28" t="s">
        <v>10</v>
      </c>
      <c r="B28" s="1">
        <f>+B22-B27</f>
        <v>10000419.038330782</v>
      </c>
    </row>
    <row r="29" spans="1:11" x14ac:dyDescent="0.2">
      <c r="A29" s="28" t="s">
        <v>169</v>
      </c>
      <c r="B29" s="1">
        <v>1690</v>
      </c>
    </row>
    <row r="30" spans="1:11" x14ac:dyDescent="0.2">
      <c r="A30" t="s">
        <v>11</v>
      </c>
      <c r="B30" s="1">
        <f>+B28/B29</f>
        <v>5917.4077149886289</v>
      </c>
    </row>
  </sheetData>
  <phoneticPr fontId="0" type="noConversion"/>
  <pageMargins left="0.43" right="0.17" top="0.73" bottom="0.33" header="0.27" footer="0.25"/>
  <pageSetup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Table'!B33</f>
        <v>4162696.03</v>
      </c>
      <c r="C9" s="1">
        <f>'Master Expend Table'!C33</f>
        <v>44798.25</v>
      </c>
      <c r="D9" s="1">
        <f>'Master Expend Table'!D33</f>
        <v>126187.94</v>
      </c>
      <c r="E9" s="1">
        <f>'Master Expend Table'!E33</f>
        <v>177320.58</v>
      </c>
      <c r="G9" s="1">
        <f>'Master Expend Table'!G33</f>
        <v>606031.92000000004</v>
      </c>
      <c r="H9" s="1">
        <f>'Master Expend Table'!H33</f>
        <v>1517868.15</v>
      </c>
      <c r="I9" s="1">
        <f>'Master Expend Table'!I33</f>
        <v>2154151.58</v>
      </c>
      <c r="J9" s="1">
        <f>'Master Expend Table'!J33</f>
        <v>1339569.4099999999</v>
      </c>
      <c r="K9" s="1">
        <f>SUM(B9:J9)</f>
        <v>10128623.859999999</v>
      </c>
    </row>
    <row r="11" spans="1:11" x14ac:dyDescent="0.2">
      <c r="A11" t="s">
        <v>3</v>
      </c>
      <c r="B11" s="1">
        <f>(B9/($K9-$J9))*-$J$11</f>
        <v>634450.53124189505</v>
      </c>
      <c r="C11" s="1">
        <f t="shared" ref="C11:I11" si="0">(C9/($K9-$J9))*-$J$11</f>
        <v>6827.8522636223406</v>
      </c>
      <c r="D11" s="1">
        <f t="shared" si="0"/>
        <v>19232.729219798544</v>
      </c>
      <c r="E11" s="1">
        <f t="shared" si="0"/>
        <v>27026.027211773366</v>
      </c>
      <c r="G11" s="1">
        <f t="shared" si="0"/>
        <v>92367.367403847107</v>
      </c>
      <c r="H11" s="1">
        <f t="shared" si="0"/>
        <v>231343.40033054314</v>
      </c>
      <c r="I11" s="1">
        <f t="shared" si="0"/>
        <v>328321.50232852047</v>
      </c>
      <c r="J11" s="1">
        <f>-J9</f>
        <v>-1339569.4099999999</v>
      </c>
      <c r="K11" s="1">
        <v>0</v>
      </c>
    </row>
    <row r="12" spans="1:11" x14ac:dyDescent="0.2">
      <c r="A12" t="s">
        <v>4</v>
      </c>
      <c r="B12" s="1">
        <f>+B9+B11</f>
        <v>4797146.561241895</v>
      </c>
      <c r="C12" s="1">
        <f t="shared" ref="C12:J12" si="1">+C9+C11</f>
        <v>51626.102263622342</v>
      </c>
      <c r="D12" s="1">
        <f t="shared" si="1"/>
        <v>145420.66921979855</v>
      </c>
      <c r="E12" s="1">
        <f t="shared" si="1"/>
        <v>204346.60721177334</v>
      </c>
      <c r="G12" s="1">
        <f t="shared" si="1"/>
        <v>698399.28740384709</v>
      </c>
      <c r="H12" s="1">
        <f t="shared" si="1"/>
        <v>1749211.550330543</v>
      </c>
      <c r="I12" s="1">
        <f t="shared" si="1"/>
        <v>2482473.0823285207</v>
      </c>
      <c r="J12" s="1">
        <f t="shared" si="1"/>
        <v>0</v>
      </c>
      <c r="K12" s="1">
        <f>SUM(B12:J12)</f>
        <v>10128623.859999999</v>
      </c>
    </row>
    <row r="14" spans="1:11" x14ac:dyDescent="0.2">
      <c r="A14" t="s">
        <v>5</v>
      </c>
      <c r="B14" s="1">
        <f>B$9/($K$9-$J$9-$I$9)*-I14</f>
        <v>1557487.8859365724</v>
      </c>
      <c r="C14" s="1">
        <f t="shared" ref="C14:H14" si="2">C$9/($K$9-$J$9-$I$9)*-$I$14</f>
        <v>16761.428454855988</v>
      </c>
      <c r="D14" s="1">
        <f t="shared" si="2"/>
        <v>47213.677502484148</v>
      </c>
      <c r="E14" s="1">
        <f t="shared" si="2"/>
        <v>66345.141054473497</v>
      </c>
      <c r="G14" s="1">
        <f t="shared" si="2"/>
        <v>226749.05087674205</v>
      </c>
      <c r="H14" s="1">
        <f t="shared" si="2"/>
        <v>567915.89850339282</v>
      </c>
      <c r="I14" s="1">
        <f>-I12</f>
        <v>-2482473.0823285207</v>
      </c>
      <c r="K14" s="1">
        <v>0</v>
      </c>
    </row>
    <row r="15" spans="1:11" x14ac:dyDescent="0.2">
      <c r="A15" t="s">
        <v>4</v>
      </c>
      <c r="B15" s="1">
        <f>+B12+B14</f>
        <v>6354634.4471784672</v>
      </c>
      <c r="C15" s="1">
        <f>+C12+C14</f>
        <v>68387.530718478331</v>
      </c>
      <c r="D15" s="1">
        <f>+D12+D14</f>
        <v>192634.3467222827</v>
      </c>
      <c r="E15" s="1">
        <f>+E12+E14</f>
        <v>270691.74826624687</v>
      </c>
      <c r="G15" s="1">
        <f>+G12+G14</f>
        <v>925148.33828058909</v>
      </c>
      <c r="H15" s="1">
        <f>+H12+H14</f>
        <v>2317127.4488339359</v>
      </c>
      <c r="I15" s="1">
        <f>+I12+I14</f>
        <v>0</v>
      </c>
      <c r="J15" s="1">
        <f>+J12+J14</f>
        <v>0</v>
      </c>
      <c r="K15" s="1">
        <f>SUM(B15:J15)</f>
        <v>10128623.859999999</v>
      </c>
    </row>
    <row r="17" spans="1:11" x14ac:dyDescent="0.2">
      <c r="A17" t="s">
        <v>6</v>
      </c>
      <c r="B17" s="1">
        <f>B$9/($K$9-$J$9-$I$9-$H$9)*-$H$17</f>
        <v>1884977.8748941254</v>
      </c>
      <c r="C17" s="1">
        <f>C$9/($K$9-$J$9-$I$9-$H$9)*-$H$17</f>
        <v>20285.821850887285</v>
      </c>
      <c r="D17" s="1">
        <f>D$9/($K$9-$J$9-$I$9-$H$9)*-$H$17</f>
        <v>57141.206867912326</v>
      </c>
      <c r="E17" s="1">
        <f>E$9/($K$9-$J$9-$I$9-$H$9)*-$H$17</f>
        <v>80295.40654771126</v>
      </c>
      <c r="G17" s="1">
        <f>G$9/($K$9-$J$9-$I$9-$H$9)*-$H$17</f>
        <v>274427.13867330027</v>
      </c>
      <c r="H17" s="1">
        <f>-H15</f>
        <v>-2317127.4488339359</v>
      </c>
      <c r="K17" s="1">
        <v>0</v>
      </c>
    </row>
    <row r="18" spans="1:11" x14ac:dyDescent="0.2">
      <c r="A18" t="s">
        <v>4</v>
      </c>
      <c r="B18" s="1">
        <f>+B15+B17</f>
        <v>8239612.3220725926</v>
      </c>
      <c r="C18" s="1">
        <f>+C15+C17</f>
        <v>88673.352569365612</v>
      </c>
      <c r="D18" s="1">
        <f>+D15+D17</f>
        <v>249775.55359019502</v>
      </c>
      <c r="E18" s="1">
        <f>+E15+E17</f>
        <v>350987.1548139581</v>
      </c>
      <c r="G18" s="1">
        <f>+G15+G17</f>
        <v>1199575.4769538892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10128623.859999999</v>
      </c>
    </row>
    <row r="20" spans="1:11" x14ac:dyDescent="0.2">
      <c r="A20" t="s">
        <v>7</v>
      </c>
      <c r="B20" s="1">
        <f>B$9/($K$9-$J$9-$I$9-$H$9-$G$9)*-$G$20</f>
        <v>1106952.9984777025</v>
      </c>
      <c r="C20" s="1">
        <f>C$9/($K$9-$J$9-$I$9-$H$9-$G$9)*-$G$20</f>
        <v>11912.846099419308</v>
      </c>
      <c r="D20" s="1">
        <f>D$9/($K$9-$J$9-$I$9-$H$9-$G$9)*-$G$20</f>
        <v>33556.165895381135</v>
      </c>
      <c r="E20" s="1">
        <f>E$9/($K$9-$J$9-$I$9-$H$9-$G$9)*-$G$20</f>
        <v>47153.466481386429</v>
      </c>
      <c r="G20" s="1">
        <f>-G18</f>
        <v>-1199575.4769538892</v>
      </c>
      <c r="K20" s="1">
        <f>SUM(B20:J20)</f>
        <v>0</v>
      </c>
    </row>
    <row r="22" spans="1:11" x14ac:dyDescent="0.2">
      <c r="A22" t="s">
        <v>8</v>
      </c>
      <c r="B22" s="1">
        <f>+B20+B18</f>
        <v>9346565.3205502946</v>
      </c>
      <c r="C22" s="1">
        <f t="shared" ref="C22:K22" si="3">+C20+C18</f>
        <v>100586.19866878493</v>
      </c>
      <c r="D22" s="1">
        <f t="shared" si="3"/>
        <v>283331.71948557615</v>
      </c>
      <c r="E22" s="1">
        <f t="shared" si="3"/>
        <v>398140.62129534455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10128623.859999999</v>
      </c>
    </row>
    <row r="27" spans="1:11" x14ac:dyDescent="0.2">
      <c r="A27" t="s">
        <v>9</v>
      </c>
      <c r="B27" s="1">
        <f>+B9</f>
        <v>4162696.03</v>
      </c>
    </row>
    <row r="28" spans="1:11" x14ac:dyDescent="0.2">
      <c r="A28" t="s">
        <v>10</v>
      </c>
      <c r="B28" s="1">
        <f>+B22-B27</f>
        <v>5183869.2905502953</v>
      </c>
    </row>
    <row r="29" spans="1:11" x14ac:dyDescent="0.2">
      <c r="A29" s="28" t="s">
        <v>169</v>
      </c>
      <c r="B29" s="1">
        <v>652</v>
      </c>
    </row>
    <row r="30" spans="1:11" x14ac:dyDescent="0.2">
      <c r="A30" t="s">
        <v>11</v>
      </c>
      <c r="B30" s="1">
        <f>+B28/B29</f>
        <v>7950.7197707826617</v>
      </c>
    </row>
  </sheetData>
  <phoneticPr fontId="0" type="noConversion"/>
  <pageMargins left="0.59" right="0.45" top="1" bottom="1" header="0.5" footer="0.5"/>
  <pageSetup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9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Table'!B34</f>
        <v>988413.28</v>
      </c>
      <c r="C9" s="1">
        <f>'Master Expend Table'!C34</f>
        <v>0</v>
      </c>
      <c r="D9" s="1">
        <f>'Master Expend Table'!D34</f>
        <v>0</v>
      </c>
      <c r="E9" s="1">
        <f>'Master Expend Table'!E34</f>
        <v>157287</v>
      </c>
      <c r="G9" s="1">
        <f>'Master Expend Table'!G34</f>
        <v>273734</v>
      </c>
      <c r="H9" s="1">
        <f>'Master Expend Table'!H34</f>
        <v>275867.59999999998</v>
      </c>
      <c r="I9" s="1">
        <f>'Master Expend Table'!I34</f>
        <v>795064.34</v>
      </c>
      <c r="J9" s="1">
        <f>'Master Expend Table'!J34</f>
        <v>277222.71999999997</v>
      </c>
      <c r="K9" s="1">
        <f>SUM(B9:J9)</f>
        <v>2767588.9399999995</v>
      </c>
    </row>
    <row r="11" spans="1:11" x14ac:dyDescent="0.2">
      <c r="A11" t="s">
        <v>3</v>
      </c>
      <c r="B11" s="1">
        <f>(B9/($K9-$J9))*-$J$11</f>
        <v>110028.24233847887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17508.882673745873</v>
      </c>
      <c r="G11" s="1">
        <f t="shared" si="0"/>
        <v>30471.536044397519</v>
      </c>
      <c r="H11" s="1">
        <f t="shared" si="0"/>
        <v>30709.044243248689</v>
      </c>
      <c r="I11" s="1">
        <f t="shared" si="0"/>
        <v>88505.014700129046</v>
      </c>
      <c r="J11" s="1">
        <f>-J9</f>
        <v>-277222.71999999997</v>
      </c>
      <c r="K11" s="1">
        <v>0</v>
      </c>
    </row>
    <row r="12" spans="1:11" x14ac:dyDescent="0.2">
      <c r="A12" t="s">
        <v>4</v>
      </c>
      <c r="B12" s="1">
        <f>+B9+B11</f>
        <v>1098441.5223384788</v>
      </c>
      <c r="C12" s="1">
        <f t="shared" ref="C12:J12" si="1">+C9+C11</f>
        <v>0</v>
      </c>
      <c r="D12" s="1">
        <f t="shared" si="1"/>
        <v>0</v>
      </c>
      <c r="E12" s="1">
        <f t="shared" si="1"/>
        <v>174795.88267374586</v>
      </c>
      <c r="G12" s="1">
        <f t="shared" si="1"/>
        <v>304205.53604439751</v>
      </c>
      <c r="H12" s="1">
        <f t="shared" si="1"/>
        <v>306576.64424324868</v>
      </c>
      <c r="I12" s="1">
        <f t="shared" si="1"/>
        <v>883569.35470012901</v>
      </c>
      <c r="J12" s="1">
        <f t="shared" si="1"/>
        <v>0</v>
      </c>
      <c r="K12" s="1">
        <f>SUM(B12:J12)</f>
        <v>2767588.94</v>
      </c>
    </row>
    <row r="14" spans="1:11" x14ac:dyDescent="0.2">
      <c r="A14" t="s">
        <v>5</v>
      </c>
      <c r="B14" s="1">
        <f>B$9/($K$9-$J$9-$I$9)*-I14</f>
        <v>515148.18351209402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81975.944657549247</v>
      </c>
      <c r="G14" s="1">
        <f t="shared" si="2"/>
        <v>142666.61093980804</v>
      </c>
      <c r="H14" s="1">
        <f t="shared" si="2"/>
        <v>143778.61559067774</v>
      </c>
      <c r="I14" s="1">
        <f>-I12</f>
        <v>-883569.35470012901</v>
      </c>
      <c r="K14" s="1">
        <v>0</v>
      </c>
    </row>
    <row r="15" spans="1:11" x14ac:dyDescent="0.2">
      <c r="A15" t="s">
        <v>4</v>
      </c>
      <c r="B15" s="1">
        <f>+B12+B14</f>
        <v>1613589.7058505728</v>
      </c>
      <c r="C15" s="1">
        <f>+C12+C14</f>
        <v>0</v>
      </c>
      <c r="D15" s="1">
        <f>+D12+D14</f>
        <v>0</v>
      </c>
      <c r="E15" s="1">
        <f>+E12+E14</f>
        <v>256771.82733129512</v>
      </c>
      <c r="G15" s="1">
        <f>+G12+G14</f>
        <v>446872.14698420558</v>
      </c>
      <c r="H15" s="1">
        <f>+H12+H14</f>
        <v>450355.25983392645</v>
      </c>
      <c r="I15" s="1">
        <f>+I12+I14</f>
        <v>0</v>
      </c>
      <c r="J15" s="1">
        <f>+J12+J14</f>
        <v>0</v>
      </c>
      <c r="K15" s="1">
        <f>SUM(B15:J15)</f>
        <v>2767588.94</v>
      </c>
    </row>
    <row r="17" spans="1:11" x14ac:dyDescent="0.2">
      <c r="A17" t="s">
        <v>6</v>
      </c>
      <c r="B17" s="1">
        <f>B$9/($K$9-$J$9-$I$9-$H$9)*-$H$17</f>
        <v>313601.78192801116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49903.70371603172</v>
      </c>
      <c r="G17" s="1">
        <f>G$9/($K$9-$J$9-$I$9-$H$9)*-$H$17</f>
        <v>86849.774189883625</v>
      </c>
      <c r="H17" s="1">
        <f>-H15</f>
        <v>-450355.25983392645</v>
      </c>
      <c r="K17" s="1">
        <v>0</v>
      </c>
    </row>
    <row r="18" spans="1:11" x14ac:dyDescent="0.2">
      <c r="A18" t="s">
        <v>4</v>
      </c>
      <c r="B18" s="1">
        <f>+B15+B17</f>
        <v>1927191.487778584</v>
      </c>
      <c r="C18" s="1">
        <f>+C15+C17</f>
        <v>0</v>
      </c>
      <c r="D18" s="1">
        <f>+D15+D17</f>
        <v>0</v>
      </c>
      <c r="E18" s="1">
        <f>+E15+E17</f>
        <v>306675.53104732686</v>
      </c>
      <c r="G18" s="1">
        <f>+G15+G17</f>
        <v>533721.92117408919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2767588.9400000004</v>
      </c>
    </row>
    <row r="20" spans="1:11" x14ac:dyDescent="0.2">
      <c r="A20" t="s">
        <v>7</v>
      </c>
      <c r="B20" s="1">
        <f>B$9/($K$9-$J$9-$I$9-$H$9-$G$9)*-$G$20</f>
        <v>460450.12288517819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73271.798288911115</v>
      </c>
      <c r="G20" s="1">
        <f>-G18</f>
        <v>-533721.92117408919</v>
      </c>
      <c r="K20" s="1">
        <f>SUM(B20:J20)</f>
        <v>0</v>
      </c>
    </row>
    <row r="22" spans="1:11" x14ac:dyDescent="0.2">
      <c r="A22" t="s">
        <v>8</v>
      </c>
      <c r="B22" s="1">
        <f>+B20+B18</f>
        <v>2387641.6106637623</v>
      </c>
      <c r="C22" s="1">
        <f t="shared" ref="C22:K22" si="3">+C20+C18</f>
        <v>0</v>
      </c>
      <c r="D22" s="1">
        <f t="shared" si="3"/>
        <v>0</v>
      </c>
      <c r="E22" s="1">
        <f t="shared" si="3"/>
        <v>379947.32933623798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2767588.9400000004</v>
      </c>
    </row>
    <row r="27" spans="1:11" x14ac:dyDescent="0.2">
      <c r="A27" t="s">
        <v>9</v>
      </c>
      <c r="B27" s="1">
        <f>+B9</f>
        <v>988413.28</v>
      </c>
    </row>
    <row r="28" spans="1:11" x14ac:dyDescent="0.2">
      <c r="A28" t="s">
        <v>10</v>
      </c>
      <c r="B28" s="1">
        <f>+B22-B27</f>
        <v>1399228.3306637623</v>
      </c>
    </row>
    <row r="29" spans="1:11" x14ac:dyDescent="0.2">
      <c r="A29" s="28" t="s">
        <v>169</v>
      </c>
      <c r="B29" s="1">
        <v>152</v>
      </c>
    </row>
    <row r="30" spans="1:11" x14ac:dyDescent="0.2">
      <c r="A30" t="s">
        <v>11</v>
      </c>
      <c r="B30" s="1">
        <f>+B28/B29</f>
        <v>9205.4495438405411</v>
      </c>
    </row>
  </sheetData>
  <phoneticPr fontId="0" type="noConversion"/>
  <pageMargins left="0.4" right="0.55000000000000004" top="1" bottom="0.6" header="0.5" footer="0.5"/>
  <pageSetup scale="10" orientation="landscape" horizontalDpi="4294967294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/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Table'!B35</f>
        <v>2285080.13</v>
      </c>
      <c r="C9" s="1">
        <f>'Master Expend Table'!C35</f>
        <v>0</v>
      </c>
      <c r="D9" s="1">
        <f>'Master Expend Table'!D35</f>
        <v>4255.7299999999996</v>
      </c>
      <c r="E9" s="1">
        <f>'Master Expend Table'!E35</f>
        <v>0</v>
      </c>
      <c r="G9" s="1">
        <f>'Master Expend Table'!G35</f>
        <v>712914.25</v>
      </c>
      <c r="H9" s="1">
        <f>'Master Expend Table'!H35</f>
        <v>828336.38</v>
      </c>
      <c r="I9" s="1">
        <f>'Master Expend Table'!I35</f>
        <v>951709</v>
      </c>
      <c r="J9" s="1">
        <f>'Master Expend Table'!J35</f>
        <v>473046.55</v>
      </c>
      <c r="K9" s="1">
        <f>SUM(B9:J9)</f>
        <v>5255342.04</v>
      </c>
    </row>
    <row r="11" spans="1:11" x14ac:dyDescent="0.2">
      <c r="A11" t="s">
        <v>3</v>
      </c>
      <c r="B11" s="1">
        <f>(B9/($K9-$J9))*-$J$11</f>
        <v>226031.46840891911</v>
      </c>
      <c r="C11" s="1">
        <f t="shared" ref="C11:I11" si="0">(C9/($K9-$J9))*-$J$11</f>
        <v>0</v>
      </c>
      <c r="D11" s="1">
        <f t="shared" si="0"/>
        <v>420.96068685866578</v>
      </c>
      <c r="E11" s="1">
        <f t="shared" si="0"/>
        <v>0</v>
      </c>
      <c r="G11" s="1">
        <f t="shared" si="0"/>
        <v>70518.776414699852</v>
      </c>
      <c r="H11" s="1">
        <f t="shared" si="0"/>
        <v>81935.896185806152</v>
      </c>
      <c r="I11" s="1">
        <f t="shared" si="0"/>
        <v>94139.448303716155</v>
      </c>
      <c r="J11" s="1">
        <f>-J9</f>
        <v>-473046.55</v>
      </c>
      <c r="K11" s="1">
        <v>0</v>
      </c>
    </row>
    <row r="12" spans="1:11" x14ac:dyDescent="0.2">
      <c r="A12" t="s">
        <v>4</v>
      </c>
      <c r="B12" s="1">
        <f>+B9+B11</f>
        <v>2511111.5984089188</v>
      </c>
      <c r="C12" s="1">
        <f t="shared" ref="C12:J12" si="1">+C9+C11</f>
        <v>0</v>
      </c>
      <c r="D12" s="1">
        <f t="shared" si="1"/>
        <v>4676.6906868586657</v>
      </c>
      <c r="E12" s="1">
        <f t="shared" si="1"/>
        <v>0</v>
      </c>
      <c r="G12" s="1">
        <f t="shared" si="1"/>
        <v>783433.02641469985</v>
      </c>
      <c r="H12" s="1">
        <f t="shared" si="1"/>
        <v>910272.27618580614</v>
      </c>
      <c r="I12" s="1">
        <f t="shared" si="1"/>
        <v>1045848.4483037161</v>
      </c>
      <c r="J12" s="1">
        <f t="shared" si="1"/>
        <v>0</v>
      </c>
      <c r="K12" s="1">
        <f>SUM(B12:J12)</f>
        <v>5255342.04</v>
      </c>
    </row>
    <row r="14" spans="1:11" x14ac:dyDescent="0.2">
      <c r="A14" t="s">
        <v>5</v>
      </c>
      <c r="B14" s="1">
        <f>B$9/($K$9-$J$9-$I$9)*-I14</f>
        <v>623885.5367054129</v>
      </c>
      <c r="C14" s="1">
        <f t="shared" ref="C14:H14" si="2">C$9/($K$9-$J$9-$I$9)*-$I$14</f>
        <v>0</v>
      </c>
      <c r="D14" s="1">
        <f t="shared" si="2"/>
        <v>1161.9235405645609</v>
      </c>
      <c r="E14" s="1">
        <f t="shared" si="2"/>
        <v>0</v>
      </c>
      <c r="G14" s="1">
        <f t="shared" si="2"/>
        <v>194643.89175979877</v>
      </c>
      <c r="H14" s="1">
        <f t="shared" si="2"/>
        <v>226157.09629793983</v>
      </c>
      <c r="I14" s="1">
        <f>-I12</f>
        <v>-1045848.4483037161</v>
      </c>
      <c r="K14" s="1">
        <v>0</v>
      </c>
    </row>
    <row r="15" spans="1:11" x14ac:dyDescent="0.2">
      <c r="A15" t="s">
        <v>4</v>
      </c>
      <c r="B15" s="1">
        <f>+B12+B14</f>
        <v>3134997.1351143317</v>
      </c>
      <c r="C15" s="1">
        <f>+C12+C14</f>
        <v>0</v>
      </c>
      <c r="D15" s="1">
        <f>+D12+D14</f>
        <v>5838.6142274232261</v>
      </c>
      <c r="E15" s="1">
        <f>+E12+E14</f>
        <v>0</v>
      </c>
      <c r="G15" s="1">
        <f>+G12+G14</f>
        <v>978076.9181744986</v>
      </c>
      <c r="H15" s="1">
        <f>+H12+H14</f>
        <v>1136429.3724837459</v>
      </c>
      <c r="I15" s="1">
        <f>+I12+I14</f>
        <v>0</v>
      </c>
      <c r="J15" s="1">
        <f>+J12+J14</f>
        <v>0</v>
      </c>
      <c r="K15" s="1">
        <f>SUM(B15:J15)</f>
        <v>5255342.04</v>
      </c>
    </row>
    <row r="17" spans="1:11" x14ac:dyDescent="0.2">
      <c r="A17" t="s">
        <v>6</v>
      </c>
      <c r="B17" s="1">
        <f>B$9/($K$9-$J$9-$I$9-$H$9)*-$H$17</f>
        <v>864961.97287539649</v>
      </c>
      <c r="C17" s="1">
        <f>C$9/($K$9-$J$9-$I$9-$H$9)*-$H$17</f>
        <v>0</v>
      </c>
      <c r="D17" s="1">
        <f>D$9/($K$9-$J$9-$I$9-$H$9)*-$H$17</f>
        <v>1610.9039540880394</v>
      </c>
      <c r="E17" s="1">
        <f>E$9/($K$9-$J$9-$I$9-$H$9)*-$H$17</f>
        <v>0</v>
      </c>
      <c r="G17" s="1">
        <f>G$9/($K$9-$J$9-$I$9-$H$9)*-$H$17</f>
        <v>269856.49565426121</v>
      </c>
      <c r="H17" s="1">
        <f>-H15</f>
        <v>-1136429.3724837459</v>
      </c>
      <c r="K17" s="1">
        <v>0</v>
      </c>
    </row>
    <row r="18" spans="1:11" x14ac:dyDescent="0.2">
      <c r="A18" t="s">
        <v>4</v>
      </c>
      <c r="B18" s="1">
        <f>+B15+B17</f>
        <v>3999959.1079897285</v>
      </c>
      <c r="C18" s="1">
        <f>+C15+C17</f>
        <v>0</v>
      </c>
      <c r="D18" s="1">
        <f>+D15+D17</f>
        <v>7449.5181815112655</v>
      </c>
      <c r="E18" s="1">
        <f>+E15+E17</f>
        <v>0</v>
      </c>
      <c r="G18" s="1">
        <f>+G15+G17</f>
        <v>1247933.4138287599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5255342.0399999991</v>
      </c>
    </row>
    <row r="20" spans="1:11" x14ac:dyDescent="0.2">
      <c r="A20" t="s">
        <v>7</v>
      </c>
      <c r="B20" s="1">
        <f>B$9/($K$9-$J$9-$I$9-$H$9-$G$9)*-$G$20</f>
        <v>1245613.5848512703</v>
      </c>
      <c r="C20" s="1">
        <f>C$9/($K$9-$J$9-$I$9-$H$9-$G$9)*-$G$20</f>
        <v>0</v>
      </c>
      <c r="D20" s="1">
        <f>D$9/($K$9-$J$9-$I$9-$H$9-$G$9)*-$G$20</f>
        <v>2319.8289774893346</v>
      </c>
      <c r="E20" s="1">
        <f>E$9/($K$9-$J$9-$I$9-$H$9-$G$9)*-$G$20</f>
        <v>0</v>
      </c>
      <c r="G20" s="1">
        <f>-G18</f>
        <v>-1247933.4138287599</v>
      </c>
      <c r="K20" s="1">
        <f>SUM(B20:J20)</f>
        <v>0</v>
      </c>
    </row>
    <row r="22" spans="1:11" x14ac:dyDescent="0.2">
      <c r="A22" t="s">
        <v>8</v>
      </c>
      <c r="B22" s="1">
        <f>+B20+B18</f>
        <v>5245572.692840999</v>
      </c>
      <c r="C22" s="1">
        <f t="shared" ref="C22:K22" si="3">+C20+C18</f>
        <v>0</v>
      </c>
      <c r="D22" s="1">
        <f t="shared" si="3"/>
        <v>9769.3471590006011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5255342.0399999991</v>
      </c>
    </row>
    <row r="27" spans="1:11" x14ac:dyDescent="0.2">
      <c r="A27" t="s">
        <v>9</v>
      </c>
      <c r="B27" s="1">
        <f>+B9</f>
        <v>2285080.13</v>
      </c>
    </row>
    <row r="28" spans="1:11" x14ac:dyDescent="0.2">
      <c r="A28" t="s">
        <v>10</v>
      </c>
      <c r="B28" s="1">
        <f>+B22-B27</f>
        <v>2960492.5628409991</v>
      </c>
    </row>
    <row r="29" spans="1:11" x14ac:dyDescent="0.2">
      <c r="A29" s="28" t="s">
        <v>169</v>
      </c>
      <c r="B29" s="1">
        <v>433</v>
      </c>
    </row>
    <row r="30" spans="1:11" x14ac:dyDescent="0.2">
      <c r="A30" t="s">
        <v>11</v>
      </c>
      <c r="B30" s="1">
        <f>+B28/B29</f>
        <v>6837.1652721501132</v>
      </c>
    </row>
  </sheetData>
  <phoneticPr fontId="0" type="noConversion"/>
  <pageMargins left="0.52" right="0.45" top="1" bottom="1" header="0.5" footer="0.5"/>
  <pageSetup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Table'!B36</f>
        <v>12874709.289999999</v>
      </c>
      <c r="C9" s="1">
        <f>'Master Expend Table'!C36</f>
        <v>23522.33</v>
      </c>
      <c r="D9" s="1">
        <f>'Master Expend Table'!D36</f>
        <v>270930.98</v>
      </c>
      <c r="E9" s="1">
        <f>'Master Expend Table'!E36</f>
        <v>181849.07</v>
      </c>
      <c r="G9" s="1">
        <f>'Master Expend Table'!G36</f>
        <v>3332901.65</v>
      </c>
      <c r="H9" s="1">
        <f>'Master Expend Table'!H36</f>
        <v>3004937.57</v>
      </c>
      <c r="I9" s="1">
        <f>'Master Expend Table'!I36</f>
        <v>3955081.76</v>
      </c>
      <c r="J9" s="1">
        <f>'Master Expend Table'!J36</f>
        <v>2615015.25</v>
      </c>
      <c r="K9" s="1">
        <f>SUM(B9:J9)</f>
        <v>26258947.899999999</v>
      </c>
    </row>
    <row r="11" spans="1:11" x14ac:dyDescent="0.2">
      <c r="A11" t="s">
        <v>3</v>
      </c>
      <c r="B11" s="1">
        <f>(B9/($K9-$J9))*-$J$11</f>
        <v>1423940.8321384587</v>
      </c>
      <c r="C11" s="1">
        <f t="shared" ref="C11:I11" si="0">(C9/($K9-$J9))*-$J$11</f>
        <v>2601.5660159450044</v>
      </c>
      <c r="D11" s="1">
        <f t="shared" si="0"/>
        <v>29964.923977967981</v>
      </c>
      <c r="E11" s="1">
        <f t="shared" si="0"/>
        <v>20112.478676355793</v>
      </c>
      <c r="G11" s="1">
        <f t="shared" si="0"/>
        <v>368618.40077607235</v>
      </c>
      <c r="H11" s="1">
        <f t="shared" si="0"/>
        <v>332345.62486574939</v>
      </c>
      <c r="I11" s="1">
        <f t="shared" si="0"/>
        <v>437431.42354945088</v>
      </c>
      <c r="J11" s="1">
        <f>-J9</f>
        <v>-2615015.25</v>
      </c>
      <c r="K11" s="1">
        <v>0</v>
      </c>
    </row>
    <row r="12" spans="1:11" x14ac:dyDescent="0.2">
      <c r="A12" t="s">
        <v>4</v>
      </c>
      <c r="B12" s="1">
        <f>+B9+B11</f>
        <v>14298650.122138457</v>
      </c>
      <c r="C12" s="1">
        <f t="shared" ref="C12:J12" si="1">+C9+C11</f>
        <v>26123.896015945007</v>
      </c>
      <c r="D12" s="1">
        <f t="shared" si="1"/>
        <v>300895.90397796797</v>
      </c>
      <c r="E12" s="1">
        <f t="shared" si="1"/>
        <v>201961.5486763558</v>
      </c>
      <c r="G12" s="1">
        <f t="shared" si="1"/>
        <v>3701520.0507760723</v>
      </c>
      <c r="H12" s="1">
        <f t="shared" si="1"/>
        <v>3337283.1948657492</v>
      </c>
      <c r="I12" s="1">
        <f t="shared" si="1"/>
        <v>4392513.1835494507</v>
      </c>
      <c r="J12" s="1">
        <f t="shared" si="1"/>
        <v>0</v>
      </c>
      <c r="K12" s="1">
        <f>SUM(B12:J12)</f>
        <v>26258947.899999999</v>
      </c>
    </row>
    <row r="14" spans="1:11" x14ac:dyDescent="0.2">
      <c r="A14" t="s">
        <v>5</v>
      </c>
      <c r="B14" s="1">
        <f>B$9/($K$9-$J$9-$I$9)*-I14</f>
        <v>2872302.228639184</v>
      </c>
      <c r="C14" s="1">
        <f t="shared" ref="C14:H14" si="2">C$9/($K$9-$J$9-$I$9)*-$I$14</f>
        <v>5247.7488508625074</v>
      </c>
      <c r="D14" s="1">
        <f t="shared" si="2"/>
        <v>60443.745962158202</v>
      </c>
      <c r="E14" s="1">
        <f t="shared" si="2"/>
        <v>40569.886066682833</v>
      </c>
      <c r="G14" s="1">
        <f t="shared" si="2"/>
        <v>743558.60171272373</v>
      </c>
      <c r="H14" s="1">
        <f t="shared" si="2"/>
        <v>670390.97231783892</v>
      </c>
      <c r="I14" s="1">
        <f>-I12</f>
        <v>-4392513.1835494507</v>
      </c>
      <c r="K14" s="1">
        <v>0</v>
      </c>
    </row>
    <row r="15" spans="1:11" x14ac:dyDescent="0.2">
      <c r="A15" t="s">
        <v>4</v>
      </c>
      <c r="B15" s="1">
        <f>+B12+B14</f>
        <v>17170952.350777641</v>
      </c>
      <c r="C15" s="1">
        <f>+C12+C14</f>
        <v>31371.644866807514</v>
      </c>
      <c r="D15" s="1">
        <f>+D12+D14</f>
        <v>361339.64994012617</v>
      </c>
      <c r="E15" s="1">
        <f>+E12+E14</f>
        <v>242531.43474303864</v>
      </c>
      <c r="G15" s="1">
        <f>+G12+G14</f>
        <v>4445078.652488796</v>
      </c>
      <c r="H15" s="1">
        <f>+H12+H14</f>
        <v>4007674.1671835883</v>
      </c>
      <c r="I15" s="1">
        <f>+I12+I14</f>
        <v>0</v>
      </c>
      <c r="J15" s="1">
        <f>+J12+J14</f>
        <v>0</v>
      </c>
      <c r="K15" s="1">
        <f>SUM(B15:J15)</f>
        <v>26258947.900000002</v>
      </c>
    </row>
    <row r="17" spans="1:11" x14ac:dyDescent="0.2">
      <c r="A17" t="s">
        <v>6</v>
      </c>
      <c r="B17" s="1">
        <f>B$9/($K$9-$J$9-$I$9-$H$9)*-$H$17</f>
        <v>3092658.109754046</v>
      </c>
      <c r="C17" s="1">
        <f>C$9/($K$9-$J$9-$I$9-$H$9)*-$H$17</f>
        <v>5650.3430870718248</v>
      </c>
      <c r="D17" s="1">
        <f>D$9/($K$9-$J$9-$I$9-$H$9)*-$H$17</f>
        <v>65080.839777207213</v>
      </c>
      <c r="E17" s="1">
        <f>E$9/($K$9-$J$9-$I$9-$H$9)*-$H$17</f>
        <v>43682.306793797223</v>
      </c>
      <c r="G17" s="1">
        <f>G$9/($K$9-$J$9-$I$9-$H$9)*-$H$17</f>
        <v>800602.56777146552</v>
      </c>
      <c r="H17" s="1">
        <f>-H15</f>
        <v>-4007674.1671835883</v>
      </c>
      <c r="K17" s="1">
        <v>0</v>
      </c>
    </row>
    <row r="18" spans="1:11" x14ac:dyDescent="0.2">
      <c r="A18" t="s">
        <v>4</v>
      </c>
      <c r="B18" s="1">
        <f>+B15+B17</f>
        <v>20263610.460531686</v>
      </c>
      <c r="C18" s="1">
        <f>+C15+C17</f>
        <v>37021.987953879339</v>
      </c>
      <c r="D18" s="1">
        <f>+D15+D17</f>
        <v>426420.4897173334</v>
      </c>
      <c r="E18" s="1">
        <f>+E15+E17</f>
        <v>286213.74153683585</v>
      </c>
      <c r="G18" s="1">
        <f>+G15+G17</f>
        <v>5245681.2202602616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26258947.899999999</v>
      </c>
    </row>
    <row r="20" spans="1:11" x14ac:dyDescent="0.2">
      <c r="A20" t="s">
        <v>7</v>
      </c>
      <c r="B20" s="1">
        <f>B$9/($K$9-$J$9-$I$9-$H$9-$G$9)*-$G$20</f>
        <v>5058539.563007012</v>
      </c>
      <c r="C20" s="1">
        <f>C$9/($K$9-$J$9-$I$9-$H$9-$G$9)*-$G$20</f>
        <v>9242.0445571945602</v>
      </c>
      <c r="D20" s="1">
        <f>D$9/($K$9-$J$9-$I$9-$H$9-$G$9)*-$G$20</f>
        <v>106450.17687807237</v>
      </c>
      <c r="E20" s="1">
        <f>E$9/($K$9-$J$9-$I$9-$H$9-$G$9)*-$G$20</f>
        <v>71449.435817982012</v>
      </c>
      <c r="G20" s="1">
        <f>-G18</f>
        <v>-5245681.2202602616</v>
      </c>
      <c r="K20" s="1">
        <f>SUM(B20:J20)</f>
        <v>0</v>
      </c>
    </row>
    <row r="22" spans="1:11" x14ac:dyDescent="0.2">
      <c r="A22" t="s">
        <v>8</v>
      </c>
      <c r="B22" s="1">
        <f>+B20+B18</f>
        <v>25322150.023538698</v>
      </c>
      <c r="C22" s="1">
        <f t="shared" ref="C22:K22" si="3">+C20+C18</f>
        <v>46264.0325110739</v>
      </c>
      <c r="D22" s="1">
        <f t="shared" si="3"/>
        <v>532870.66659540578</v>
      </c>
      <c r="E22" s="1">
        <f t="shared" si="3"/>
        <v>357663.17735481786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26258947.899999999</v>
      </c>
    </row>
    <row r="27" spans="1:11" x14ac:dyDescent="0.2">
      <c r="A27" t="s">
        <v>9</v>
      </c>
      <c r="B27" s="1">
        <f>B9</f>
        <v>12874709.289999999</v>
      </c>
    </row>
    <row r="28" spans="1:11" x14ac:dyDescent="0.2">
      <c r="A28" t="s">
        <v>10</v>
      </c>
      <c r="B28" s="1">
        <f>+B22-B27</f>
        <v>12447440.733538698</v>
      </c>
    </row>
    <row r="29" spans="1:11" x14ac:dyDescent="0.2">
      <c r="A29" s="28" t="s">
        <v>169</v>
      </c>
      <c r="B29" s="1">
        <v>1763</v>
      </c>
    </row>
    <row r="30" spans="1:11" x14ac:dyDescent="0.2">
      <c r="A30" t="s">
        <v>11</v>
      </c>
      <c r="B30" s="1">
        <f>+B28/B29</f>
        <v>7060.3747779572877</v>
      </c>
    </row>
  </sheetData>
  <phoneticPr fontId="0" type="noConversion"/>
  <pageMargins left="0.51" right="0.55000000000000004" top="1" bottom="0.62" header="0.5" footer="0.5"/>
  <pageSetup scale="10" orientation="landscape" horizontalDpi="4294967294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Table'!B37</f>
        <v>3804318.62</v>
      </c>
      <c r="C9" s="1">
        <f>'Master Expend Table'!C37</f>
        <v>0</v>
      </c>
      <c r="D9" s="1">
        <f>'Master Expend Table'!D37</f>
        <v>1418971.87</v>
      </c>
      <c r="E9" s="1">
        <f>'Master Expend Table'!E37</f>
        <v>0</v>
      </c>
      <c r="G9" s="1">
        <f>'Master Expend Table'!G37</f>
        <v>1079298.05</v>
      </c>
      <c r="H9" s="1">
        <f>'Master Expend Table'!H37</f>
        <v>1285775.9099999999</v>
      </c>
      <c r="I9" s="1">
        <f>'Master Expend Table'!I37</f>
        <v>4585374.47</v>
      </c>
      <c r="J9" s="1">
        <f>'Master Expend Table'!J37</f>
        <v>1133321.97</v>
      </c>
      <c r="K9" s="1">
        <f>SUM(B9:J9)</f>
        <v>13307060.890000001</v>
      </c>
    </row>
    <row r="11" spans="1:11" x14ac:dyDescent="0.2">
      <c r="A11" t="s">
        <v>3</v>
      </c>
      <c r="B11" s="1">
        <f>(B9/($K9-$J9))*-$J$11</f>
        <v>354165.46233325015</v>
      </c>
      <c r="C11" s="1">
        <f t="shared" ref="C11:I11" si="0">(C9/($K9-$J9))*-$J$11</f>
        <v>0</v>
      </c>
      <c r="D11" s="1">
        <f t="shared" si="0"/>
        <v>132100.08902367557</v>
      </c>
      <c r="E11" s="1">
        <f t="shared" si="0"/>
        <v>0</v>
      </c>
      <c r="G11" s="1">
        <f t="shared" si="0"/>
        <v>100477.93864164442</v>
      </c>
      <c r="H11" s="1">
        <f t="shared" si="0"/>
        <v>119700.12638481511</v>
      </c>
      <c r="I11" s="1">
        <f t="shared" si="0"/>
        <v>426878.35361661471</v>
      </c>
      <c r="J11" s="1">
        <f>-J9</f>
        <v>-1133321.97</v>
      </c>
      <c r="K11" s="1">
        <v>0</v>
      </c>
    </row>
    <row r="12" spans="1:11" x14ac:dyDescent="0.2">
      <c r="A12" t="s">
        <v>4</v>
      </c>
      <c r="B12" s="1">
        <f>+B9+B11</f>
        <v>4158484.0823332504</v>
      </c>
      <c r="C12" s="1">
        <f t="shared" ref="C12:J12" si="1">+C9+C11</f>
        <v>0</v>
      </c>
      <c r="D12" s="1">
        <f t="shared" si="1"/>
        <v>1551071.9590236756</v>
      </c>
      <c r="E12" s="1">
        <f t="shared" si="1"/>
        <v>0</v>
      </c>
      <c r="G12" s="1">
        <f t="shared" si="1"/>
        <v>1179775.9886416444</v>
      </c>
      <c r="H12" s="1">
        <f t="shared" si="1"/>
        <v>1405476.0363848151</v>
      </c>
      <c r="I12" s="1">
        <f t="shared" si="1"/>
        <v>5012252.8236166146</v>
      </c>
      <c r="J12" s="1">
        <f t="shared" si="1"/>
        <v>0</v>
      </c>
      <c r="K12" s="1">
        <f>SUM(B12:J12)</f>
        <v>13307060.890000001</v>
      </c>
    </row>
    <row r="14" spans="1:11" x14ac:dyDescent="0.2">
      <c r="A14" t="s">
        <v>5</v>
      </c>
      <c r="B14" s="1">
        <f>B$9/($K$9-$J$9-$I$9)*-I14</f>
        <v>2512821.685183065</v>
      </c>
      <c r="C14" s="1">
        <f t="shared" ref="C14:H14" si="2">C$9/($K$9-$J$9-$I$9)*-$I$14</f>
        <v>0</v>
      </c>
      <c r="D14" s="1">
        <f t="shared" si="2"/>
        <v>937256.74470472324</v>
      </c>
      <c r="E14" s="1">
        <f t="shared" si="2"/>
        <v>0</v>
      </c>
      <c r="G14" s="1">
        <f t="shared" si="2"/>
        <v>712896.00470314862</v>
      </c>
      <c r="H14" s="1">
        <f t="shared" si="2"/>
        <v>849278.38902567746</v>
      </c>
      <c r="I14" s="1">
        <f>-I12</f>
        <v>-5012252.8236166146</v>
      </c>
      <c r="K14" s="1">
        <v>0</v>
      </c>
    </row>
    <row r="15" spans="1:11" x14ac:dyDescent="0.2">
      <c r="A15" t="s">
        <v>4</v>
      </c>
      <c r="B15" s="1">
        <f>+B12+B14</f>
        <v>6671305.767516315</v>
      </c>
      <c r="C15" s="1">
        <f>+C12+C14</f>
        <v>0</v>
      </c>
      <c r="D15" s="1">
        <f>+D12+D14</f>
        <v>2488328.7037283988</v>
      </c>
      <c r="E15" s="1">
        <f>+E12+E14</f>
        <v>0</v>
      </c>
      <c r="G15" s="1">
        <f>+G12+G14</f>
        <v>1892671.9933447931</v>
      </c>
      <c r="H15" s="1">
        <f>+H12+H14</f>
        <v>2254754.4254104923</v>
      </c>
      <c r="I15" s="1">
        <f>+I12+I14</f>
        <v>0</v>
      </c>
      <c r="J15" s="1">
        <f>+J12+J14</f>
        <v>0</v>
      </c>
      <c r="K15" s="1">
        <f>SUM(B15:J15)</f>
        <v>13307060.889999999</v>
      </c>
    </row>
    <row r="17" spans="1:11" x14ac:dyDescent="0.2">
      <c r="A17" t="s">
        <v>6</v>
      </c>
      <c r="B17" s="1">
        <f>B$9/($K$9-$J$9-$I$9-$H$9)*-$H$17</f>
        <v>1360997.0236319024</v>
      </c>
      <c r="C17" s="1">
        <f>C$9/($K$9-$J$9-$I$9-$H$9)*-$H$17</f>
        <v>0</v>
      </c>
      <c r="D17" s="1">
        <f>D$9/($K$9-$J$9-$I$9-$H$9)*-$H$17</f>
        <v>507637.9463945622</v>
      </c>
      <c r="E17" s="1">
        <f>E$9/($K$9-$J$9-$I$9-$H$9)*-$H$17</f>
        <v>0</v>
      </c>
      <c r="G17" s="1">
        <f>G$9/($K$9-$J$9-$I$9-$H$9)*-$H$17</f>
        <v>386119.45538402779</v>
      </c>
      <c r="H17" s="1">
        <f>-H15</f>
        <v>-2254754.4254104923</v>
      </c>
      <c r="K17" s="1">
        <v>0</v>
      </c>
    </row>
    <row r="18" spans="1:11" x14ac:dyDescent="0.2">
      <c r="A18" t="s">
        <v>4</v>
      </c>
      <c r="B18" s="1">
        <f>+B15+B17</f>
        <v>8032302.7911482174</v>
      </c>
      <c r="C18" s="1">
        <f>+C15+C17</f>
        <v>0</v>
      </c>
      <c r="D18" s="1">
        <f>+D15+D17</f>
        <v>2995966.650122961</v>
      </c>
      <c r="E18" s="1">
        <f>+E15+E17</f>
        <v>0</v>
      </c>
      <c r="G18" s="1">
        <f>+G15+G17</f>
        <v>2278791.4487288208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13307060.889999999</v>
      </c>
    </row>
    <row r="20" spans="1:11" x14ac:dyDescent="0.2">
      <c r="A20" t="s">
        <v>7</v>
      </c>
      <c r="B20" s="1">
        <f>B$9/($K$9-$J$9-$I$9-$H$9-$G$9)*-$G$20</f>
        <v>1659729.3901407784</v>
      </c>
      <c r="C20" s="1">
        <f>C$9/($K$9-$J$9-$I$9-$H$9-$G$9)*-$G$20</f>
        <v>0</v>
      </c>
      <c r="D20" s="1">
        <f>D$9/($K$9-$J$9-$I$9-$H$9-$G$9)*-$G$20</f>
        <v>619062.05858804227</v>
      </c>
      <c r="E20" s="1">
        <f>E$9/($K$9-$J$9-$I$9-$H$9-$G$9)*-$G$20</f>
        <v>0</v>
      </c>
      <c r="G20" s="1">
        <f>-G18</f>
        <v>-2278791.4487288208</v>
      </c>
      <c r="K20" s="1">
        <f>SUM(B20:J20)</f>
        <v>0</v>
      </c>
    </row>
    <row r="22" spans="1:11" x14ac:dyDescent="0.2">
      <c r="A22" t="s">
        <v>8</v>
      </c>
      <c r="B22" s="1">
        <f>+B20+B18</f>
        <v>9692032.1812889948</v>
      </c>
      <c r="C22" s="1">
        <f t="shared" ref="C22:K22" si="3">+C20+C18</f>
        <v>0</v>
      </c>
      <c r="D22" s="1">
        <f t="shared" si="3"/>
        <v>3615028.7087110034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13307060.889999999</v>
      </c>
    </row>
    <row r="27" spans="1:11" x14ac:dyDescent="0.2">
      <c r="A27" t="s">
        <v>9</v>
      </c>
      <c r="B27" s="1">
        <f>+B9</f>
        <v>3804318.62</v>
      </c>
    </row>
    <row r="28" spans="1:11" x14ac:dyDescent="0.2">
      <c r="A28" t="s">
        <v>10</v>
      </c>
      <c r="B28" s="1">
        <f>+B22-B27</f>
        <v>5887713.5612889947</v>
      </c>
    </row>
    <row r="29" spans="1:11" x14ac:dyDescent="0.2">
      <c r="A29" s="28" t="s">
        <v>169</v>
      </c>
      <c r="B29" s="1">
        <v>735</v>
      </c>
    </row>
    <row r="30" spans="1:11" x14ac:dyDescent="0.2">
      <c r="A30" t="s">
        <v>11</v>
      </c>
      <c r="B30" s="1">
        <f>+B28/B29</f>
        <v>8010.4946412095169</v>
      </c>
    </row>
  </sheetData>
  <phoneticPr fontId="0" type="noConversion"/>
  <pageMargins left="0.56000000000000005" right="0.55000000000000004" top="1" bottom="0.55000000000000004" header="0.5" footer="0.5"/>
  <pageSetup scale="10" orientation="landscape" horizontalDpi="4294967294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42578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Table'!B38</f>
        <v>16746698.23</v>
      </c>
      <c r="C9" s="1">
        <f>'Master Expend Table'!C38</f>
        <v>0</v>
      </c>
      <c r="D9" s="1">
        <f>'Master Expend Table'!D38</f>
        <v>1994816.35</v>
      </c>
      <c r="E9" s="1">
        <f>'Master Expend Table'!E38</f>
        <v>77.650000000000006</v>
      </c>
      <c r="G9" s="1">
        <f>'Master Expend Table'!G38</f>
        <v>2896088.54</v>
      </c>
      <c r="H9" s="1">
        <f>'Master Expend Table'!H38</f>
        <v>3722816.13</v>
      </c>
      <c r="I9" s="1">
        <f>'Master Expend Table'!I38</f>
        <v>4876628.6100000003</v>
      </c>
      <c r="J9" s="1">
        <f>'Master Expend Table'!J38</f>
        <v>2899693.49</v>
      </c>
      <c r="K9" s="1">
        <f>SUM(B9:J9)</f>
        <v>33136819</v>
      </c>
    </row>
    <row r="11" spans="1:11" x14ac:dyDescent="0.2">
      <c r="A11" t="s">
        <v>3</v>
      </c>
      <c r="B11" s="1">
        <f>(B9/($K9-$J9))*-$J$11</f>
        <v>1605982.4145805696</v>
      </c>
      <c r="C11" s="1">
        <f t="shared" ref="C11:I11" si="0">(C9/($K9-$J9))*-$J$11</f>
        <v>0</v>
      </c>
      <c r="D11" s="1">
        <f t="shared" si="0"/>
        <v>191299.79739402028</v>
      </c>
      <c r="E11" s="1">
        <f t="shared" si="0"/>
        <v>7.4465146967768119</v>
      </c>
      <c r="G11" s="1">
        <f t="shared" si="0"/>
        <v>277730.4040731088</v>
      </c>
      <c r="H11" s="1">
        <f t="shared" si="0"/>
        <v>357012.29910422111</v>
      </c>
      <c r="I11" s="1">
        <f t="shared" si="0"/>
        <v>467661.12833338405</v>
      </c>
      <c r="J11" s="1">
        <f>-J9</f>
        <v>-2899693.49</v>
      </c>
      <c r="K11" s="1">
        <v>0</v>
      </c>
    </row>
    <row r="12" spans="1:11" x14ac:dyDescent="0.2">
      <c r="A12" t="s">
        <v>4</v>
      </c>
      <c r="B12" s="1">
        <f>+B9+B11</f>
        <v>18352680.644580569</v>
      </c>
      <c r="C12" s="1">
        <f t="shared" ref="C12:J12" si="1">+C9+C11</f>
        <v>0</v>
      </c>
      <c r="D12" s="1">
        <f t="shared" si="1"/>
        <v>2186116.1473940206</v>
      </c>
      <c r="E12" s="1">
        <f t="shared" si="1"/>
        <v>85.096514696776822</v>
      </c>
      <c r="G12" s="1">
        <f t="shared" si="1"/>
        <v>3173818.944073109</v>
      </c>
      <c r="H12" s="1">
        <f t="shared" si="1"/>
        <v>4079828.4291042211</v>
      </c>
      <c r="I12" s="1">
        <f t="shared" si="1"/>
        <v>5344289.7383333845</v>
      </c>
      <c r="J12" s="1">
        <f t="shared" si="1"/>
        <v>0</v>
      </c>
      <c r="K12" s="1">
        <f>SUM(B12:J12)</f>
        <v>33136819</v>
      </c>
    </row>
    <row r="14" spans="1:11" x14ac:dyDescent="0.2">
      <c r="A14" t="s">
        <v>5</v>
      </c>
      <c r="B14" s="1">
        <f>B$9/($K$9-$J$9-$I$9)*-I14</f>
        <v>3529079.412539226</v>
      </c>
      <c r="C14" s="1">
        <f t="shared" ref="C14:H14" si="2">C$9/($K$9-$J$9-$I$9)*-$I$14</f>
        <v>0</v>
      </c>
      <c r="D14" s="1">
        <f t="shared" si="2"/>
        <v>420373.33066469443</v>
      </c>
      <c r="E14" s="1">
        <f t="shared" si="2"/>
        <v>16.363405646897533</v>
      </c>
      <c r="G14" s="1">
        <f t="shared" si="2"/>
        <v>610300.98608308088</v>
      </c>
      <c r="H14" s="1">
        <f t="shared" si="2"/>
        <v>784519.6456407368</v>
      </c>
      <c r="I14" s="1">
        <f>-I12</f>
        <v>-5344289.7383333845</v>
      </c>
      <c r="K14" s="1">
        <v>0</v>
      </c>
    </row>
    <row r="15" spans="1:11" x14ac:dyDescent="0.2">
      <c r="A15" t="s">
        <v>4</v>
      </c>
      <c r="B15" s="1">
        <f>+B12+B14</f>
        <v>21881760.057119794</v>
      </c>
      <c r="C15" s="1">
        <f>+C12+C14</f>
        <v>0</v>
      </c>
      <c r="D15" s="1">
        <f>+D12+D14</f>
        <v>2606489.4780587149</v>
      </c>
      <c r="E15" s="1">
        <f>+E12+E14</f>
        <v>101.45992034367436</v>
      </c>
      <c r="G15" s="1">
        <f>+G12+G14</f>
        <v>3784119.9301561899</v>
      </c>
      <c r="H15" s="1">
        <f>+H12+H14</f>
        <v>4864348.0747449575</v>
      </c>
      <c r="I15" s="1">
        <f>+I12+I14</f>
        <v>0</v>
      </c>
      <c r="J15" s="1">
        <f>+J12+J14</f>
        <v>0</v>
      </c>
      <c r="K15" s="1">
        <f>SUM(B15:J15)</f>
        <v>33136819</v>
      </c>
    </row>
    <row r="17" spans="1:11" x14ac:dyDescent="0.2">
      <c r="A17" t="s">
        <v>6</v>
      </c>
      <c r="B17" s="1">
        <f>B$9/($K$9-$J$9-$I$9-$H$9)*-$H$17</f>
        <v>3764810.5709360312</v>
      </c>
      <c r="C17" s="1">
        <f>C$9/($K$9-$J$9-$I$9-$H$9)*-$H$17</f>
        <v>0</v>
      </c>
      <c r="D17" s="1">
        <f>D$9/($K$9-$J$9-$I$9-$H$9)*-$H$17</f>
        <v>448452.91760870465</v>
      </c>
      <c r="E17" s="1">
        <f>E$9/($K$9-$J$9-$I$9-$H$9)*-$H$17</f>
        <v>17.456428534043209</v>
      </c>
      <c r="G17" s="1">
        <f>G$9/($K$9-$J$9-$I$9-$H$9)*-$H$17</f>
        <v>651067.12977168744</v>
      </c>
      <c r="H17" s="1">
        <f>-H15</f>
        <v>-4864348.0747449575</v>
      </c>
      <c r="K17" s="1">
        <v>0</v>
      </c>
    </row>
    <row r="18" spans="1:11" x14ac:dyDescent="0.2">
      <c r="A18" t="s">
        <v>4</v>
      </c>
      <c r="B18" s="1">
        <f>+B15+B17</f>
        <v>25646570.628055826</v>
      </c>
      <c r="C18" s="1">
        <f>+C15+C17</f>
        <v>0</v>
      </c>
      <c r="D18" s="1">
        <f>+D15+D17</f>
        <v>3054942.3956674198</v>
      </c>
      <c r="E18" s="1">
        <f>+E15+E17</f>
        <v>118.91634887771757</v>
      </c>
      <c r="G18" s="1">
        <f>+G15+G17</f>
        <v>4435187.059927877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33136819</v>
      </c>
    </row>
    <row r="20" spans="1:11" x14ac:dyDescent="0.2">
      <c r="A20" t="s">
        <v>7</v>
      </c>
      <c r="B20" s="1">
        <f>B$9/($K$9-$J$9-$I$9-$H$9-$G$9)*-$G$20</f>
        <v>3963096.5381543296</v>
      </c>
      <c r="C20" s="1">
        <f>C$9/($K$9-$J$9-$I$9-$H$9-$G$9)*-$G$20</f>
        <v>0</v>
      </c>
      <c r="D20" s="1">
        <f>D$9/($K$9-$J$9-$I$9-$H$9-$G$9)*-$G$20</f>
        <v>472072.14594555076</v>
      </c>
      <c r="E20" s="1">
        <f>E$9/($K$9-$J$9-$I$9-$H$9-$G$9)*-$G$20</f>
        <v>18.375827996733641</v>
      </c>
      <c r="G20" s="1">
        <f>-G18</f>
        <v>-4435187.059927877</v>
      </c>
      <c r="K20" s="1">
        <f>SUM(B20:J20)</f>
        <v>0</v>
      </c>
    </row>
    <row r="22" spans="1:11" x14ac:dyDescent="0.2">
      <c r="A22" t="s">
        <v>8</v>
      </c>
      <c r="B22" s="1">
        <f>+B20+B18</f>
        <v>29609667.166210156</v>
      </c>
      <c r="C22" s="1">
        <f t="shared" ref="C22:K22" si="3">+C20+C18</f>
        <v>0</v>
      </c>
      <c r="D22" s="1">
        <f t="shared" si="3"/>
        <v>3527014.5416129706</v>
      </c>
      <c r="E22" s="1">
        <f t="shared" si="3"/>
        <v>137.2921768744512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33136819</v>
      </c>
    </row>
    <row r="27" spans="1:11" x14ac:dyDescent="0.2">
      <c r="A27" t="s">
        <v>9</v>
      </c>
      <c r="B27" s="1">
        <f>+B9</f>
        <v>16746698.23</v>
      </c>
    </row>
    <row r="28" spans="1:11" x14ac:dyDescent="0.2">
      <c r="A28" t="s">
        <v>10</v>
      </c>
      <c r="B28" s="1">
        <f>+B22-B27</f>
        <v>12862968.936210155</v>
      </c>
    </row>
    <row r="29" spans="1:11" x14ac:dyDescent="0.2">
      <c r="A29" s="28" t="s">
        <v>169</v>
      </c>
      <c r="B29" s="1">
        <v>2356</v>
      </c>
    </row>
    <row r="30" spans="1:11" x14ac:dyDescent="0.2">
      <c r="A30" t="s">
        <v>11</v>
      </c>
      <c r="B30" s="1">
        <f>+B28/B29</f>
        <v>5459.6642343846161</v>
      </c>
    </row>
  </sheetData>
  <phoneticPr fontId="0" type="noConversion"/>
  <pageMargins left="0.59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5.285156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Table'!B39</f>
        <v>11018820.189999999</v>
      </c>
      <c r="C9" s="1">
        <f>'Master Expend Table'!C39</f>
        <v>0</v>
      </c>
      <c r="D9" s="1">
        <f>'Master Expend Table'!D39</f>
        <v>570633.94999999995</v>
      </c>
      <c r="E9" s="1">
        <f>'Master Expend Table'!E39</f>
        <v>54461.31</v>
      </c>
      <c r="G9" s="1">
        <f>'Master Expend Table'!G39</f>
        <v>3076788.25</v>
      </c>
      <c r="H9" s="1">
        <f>'Master Expend Table'!H39</f>
        <v>3844189.7</v>
      </c>
      <c r="I9" s="1">
        <f>'Master Expend Table'!I39</f>
        <v>4972306.2</v>
      </c>
      <c r="J9" s="1">
        <f>'Master Expend Table'!J39</f>
        <v>2817584.32</v>
      </c>
      <c r="K9" s="1">
        <f>SUM(B9:J9)</f>
        <v>26354783.919999998</v>
      </c>
    </row>
    <row r="11" spans="1:11" x14ac:dyDescent="0.2">
      <c r="A11" t="s">
        <v>3</v>
      </c>
      <c r="B11" s="1">
        <f>(B9/($K9-$J9))*-$J$11</f>
        <v>1319037.7580960575</v>
      </c>
      <c r="C11" s="1">
        <f t="shared" ref="C11:I11" si="0">(C9/($K9-$J9))*-$J$11</f>
        <v>0</v>
      </c>
      <c r="D11" s="1">
        <f t="shared" si="0"/>
        <v>68309.284762137293</v>
      </c>
      <c r="E11" s="1">
        <f t="shared" si="0"/>
        <v>6519.4388334396081</v>
      </c>
      <c r="G11" s="1">
        <f t="shared" si="0"/>
        <v>368315.28289203276</v>
      </c>
      <c r="H11" s="1">
        <f t="shared" si="0"/>
        <v>460179.15495034104</v>
      </c>
      <c r="I11" s="1">
        <f t="shared" si="0"/>
        <v>595223.40046599193</v>
      </c>
      <c r="J11" s="1">
        <f>-J9</f>
        <v>-2817584.32</v>
      </c>
      <c r="K11" s="1">
        <v>0</v>
      </c>
    </row>
    <row r="12" spans="1:11" x14ac:dyDescent="0.2">
      <c r="A12" t="s">
        <v>4</v>
      </c>
      <c r="B12" s="1">
        <f>+B9+B11</f>
        <v>12337857.948096057</v>
      </c>
      <c r="C12" s="1">
        <f t="shared" ref="C12:J12" si="1">+C9+C11</f>
        <v>0</v>
      </c>
      <c r="D12" s="1">
        <f t="shared" si="1"/>
        <v>638943.23476213729</v>
      </c>
      <c r="E12" s="1">
        <f t="shared" si="1"/>
        <v>60980.748833439604</v>
      </c>
      <c r="G12" s="1">
        <f t="shared" si="1"/>
        <v>3445103.5328920325</v>
      </c>
      <c r="H12" s="1">
        <f t="shared" si="1"/>
        <v>4304368.8549503414</v>
      </c>
      <c r="I12" s="1">
        <f t="shared" si="1"/>
        <v>5567529.6004659925</v>
      </c>
      <c r="J12" s="1">
        <f t="shared" si="1"/>
        <v>0</v>
      </c>
      <c r="K12" s="1">
        <f>SUM(B12:J12)</f>
        <v>26354783.920000002</v>
      </c>
    </row>
    <row r="14" spans="1:11" x14ac:dyDescent="0.2">
      <c r="A14" t="s">
        <v>5</v>
      </c>
      <c r="B14" s="1">
        <f>B$9/($K$9-$J$9-$I$9)*-I14</f>
        <v>3304495.5469573187</v>
      </c>
      <c r="C14" s="1">
        <f t="shared" ref="C14:H14" si="2">C$9/($K$9-$J$9-$I$9)*-$I$14</f>
        <v>0</v>
      </c>
      <c r="D14" s="1">
        <f t="shared" si="2"/>
        <v>171130.60329534838</v>
      </c>
      <c r="E14" s="1">
        <f t="shared" si="2"/>
        <v>16332.706521501199</v>
      </c>
      <c r="G14" s="1">
        <f t="shared" si="2"/>
        <v>922715.21775831806</v>
      </c>
      <c r="H14" s="1">
        <f t="shared" si="2"/>
        <v>1152855.5259335067</v>
      </c>
      <c r="I14" s="1">
        <f>-I12</f>
        <v>-5567529.6004659925</v>
      </c>
      <c r="K14" s="1">
        <v>0</v>
      </c>
    </row>
    <row r="15" spans="1:11" x14ac:dyDescent="0.2">
      <c r="A15" t="s">
        <v>4</v>
      </c>
      <c r="B15" s="1">
        <f>+B12+B14</f>
        <v>15642353.495053377</v>
      </c>
      <c r="C15" s="1">
        <f>+C12+C14</f>
        <v>0</v>
      </c>
      <c r="D15" s="1">
        <f>+D12+D14</f>
        <v>810073.83805748564</v>
      </c>
      <c r="E15" s="1">
        <f>+E12+E14</f>
        <v>77313.455354940801</v>
      </c>
      <c r="G15" s="1">
        <f>+G12+G14</f>
        <v>4367818.7506503509</v>
      </c>
      <c r="H15" s="1">
        <f>+H12+H14</f>
        <v>5457224.3808838483</v>
      </c>
      <c r="I15" s="1">
        <f>+I12+I14</f>
        <v>0</v>
      </c>
      <c r="J15" s="1">
        <f>+J12+J14</f>
        <v>0</v>
      </c>
      <c r="K15" s="1">
        <f>SUM(B15:J15)</f>
        <v>26354783.920000002</v>
      </c>
    </row>
    <row r="17" spans="1:11" x14ac:dyDescent="0.2">
      <c r="A17" t="s">
        <v>6</v>
      </c>
      <c r="B17" s="1">
        <f>B$9/($K$9-$J$9-$I$9-$H$9)*-$H$17</f>
        <v>4084870.9012085609</v>
      </c>
      <c r="C17" s="1">
        <f>C$9/($K$9-$J$9-$I$9-$H$9)*-$H$17</f>
        <v>0</v>
      </c>
      <c r="D17" s="1">
        <f>D$9/($K$9-$J$9-$I$9-$H$9)*-$H$17</f>
        <v>211544.06528133943</v>
      </c>
      <c r="E17" s="1">
        <f>E$9/($K$9-$J$9-$I$9-$H$9)*-$H$17</f>
        <v>20189.767745061898</v>
      </c>
      <c r="G17" s="1">
        <f>G$9/($K$9-$J$9-$I$9-$H$9)*-$H$17</f>
        <v>1140619.6466488861</v>
      </c>
      <c r="H17" s="1">
        <f>-H15</f>
        <v>-5457224.3808838483</v>
      </c>
      <c r="K17" s="1">
        <v>0</v>
      </c>
    </row>
    <row r="18" spans="1:11" x14ac:dyDescent="0.2">
      <c r="A18" t="s">
        <v>4</v>
      </c>
      <c r="B18" s="1">
        <f>+B15+B17</f>
        <v>19727224.396261938</v>
      </c>
      <c r="C18" s="1">
        <f>+C15+C17</f>
        <v>0</v>
      </c>
      <c r="D18" s="1">
        <f>+D15+D17</f>
        <v>1021617.9033388251</v>
      </c>
      <c r="E18" s="1">
        <f>+E15+E17</f>
        <v>97503.223100002695</v>
      </c>
      <c r="G18" s="1">
        <f>+G15+G17</f>
        <v>5508438.3972992375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26354783.920000002</v>
      </c>
    </row>
    <row r="20" spans="1:11" x14ac:dyDescent="0.2">
      <c r="A20" t="s">
        <v>7</v>
      </c>
      <c r="B20" s="1">
        <f>B$9/($K$9-$J$9-$I$9-$H$9-$G$9)*-$G$20</f>
        <v>5212721.8278222792</v>
      </c>
      <c r="C20" s="1">
        <f>C$9/($K$9-$J$9-$I$9-$H$9-$G$9)*-$G$20</f>
        <v>0</v>
      </c>
      <c r="D20" s="1">
        <f>D$9/($K$9-$J$9-$I$9-$H$9-$G$9)*-$G$20</f>
        <v>269952.31754130719</v>
      </c>
      <c r="E20" s="1">
        <f>E$9/($K$9-$J$9-$I$9-$H$9-$G$9)*-$G$20</f>
        <v>25764.251935650816</v>
      </c>
      <c r="G20" s="1">
        <f>-G18</f>
        <v>-5508438.3972992375</v>
      </c>
      <c r="K20" s="1">
        <f>SUM(B20:J20)</f>
        <v>0</v>
      </c>
    </row>
    <row r="22" spans="1:11" x14ac:dyDescent="0.2">
      <c r="A22" t="s">
        <v>8</v>
      </c>
      <c r="B22" s="1">
        <f>+B20+B18</f>
        <v>24939946.224084217</v>
      </c>
      <c r="C22" s="1">
        <f t="shared" ref="C22:K22" si="3">+C20+C18</f>
        <v>0</v>
      </c>
      <c r="D22" s="1">
        <f t="shared" si="3"/>
        <v>1291570.2208801322</v>
      </c>
      <c r="E22" s="1">
        <f t="shared" si="3"/>
        <v>123267.47503565351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26354783.920000002</v>
      </c>
    </row>
    <row r="27" spans="1:11" x14ac:dyDescent="0.2">
      <c r="A27" t="s">
        <v>9</v>
      </c>
      <c r="B27" s="1">
        <f>+B9</f>
        <v>11018820.189999999</v>
      </c>
    </row>
    <row r="28" spans="1:11" x14ac:dyDescent="0.2">
      <c r="A28" t="s">
        <v>10</v>
      </c>
      <c r="B28" s="1">
        <f>+B22-B27</f>
        <v>13921126.034084218</v>
      </c>
    </row>
    <row r="29" spans="1:11" x14ac:dyDescent="0.2">
      <c r="A29" s="28" t="s">
        <v>169</v>
      </c>
      <c r="B29" s="1">
        <v>2098</v>
      </c>
    </row>
    <row r="30" spans="1:11" x14ac:dyDescent="0.2">
      <c r="A30" t="s">
        <v>11</v>
      </c>
      <c r="B30" s="1">
        <f>+B28/B29</f>
        <v>6635.4270896492935</v>
      </c>
    </row>
  </sheetData>
  <phoneticPr fontId="0" type="noConversion"/>
  <pageMargins left="0.51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Table'!B40</f>
        <v>19081211.91</v>
      </c>
      <c r="C9" s="1">
        <f>'Master Expend Table'!C40</f>
        <v>0</v>
      </c>
      <c r="D9" s="1">
        <f>'Master Expend Table'!D40</f>
        <v>970530.64</v>
      </c>
      <c r="E9" s="1">
        <f>'Master Expend Table'!E40</f>
        <v>159880.04999999999</v>
      </c>
      <c r="G9" s="1">
        <f>'Master Expend Table'!G40</f>
        <v>6569148.3499999996</v>
      </c>
      <c r="H9" s="1">
        <f>'Master Expend Table'!H40</f>
        <v>3351451.24</v>
      </c>
      <c r="I9" s="1">
        <f>'Master Expend Table'!I40</f>
        <v>8781276.5199999996</v>
      </c>
      <c r="J9" s="1">
        <f>'Master Expend Table'!J40</f>
        <v>5421542.5700000003</v>
      </c>
      <c r="K9" s="1">
        <f>SUM(B9:J9)</f>
        <v>44335041.280000009</v>
      </c>
    </row>
    <row r="11" spans="1:11" x14ac:dyDescent="0.2">
      <c r="A11" t="s">
        <v>3</v>
      </c>
      <c r="B11" s="1">
        <f>(B9/($K9-$J9))*-$J$11</f>
        <v>2658450.3086758298</v>
      </c>
      <c r="C11" s="1">
        <f t="shared" ref="C11:I11" si="0">(C9/($K9-$J9))*-$J$11</f>
        <v>0</v>
      </c>
      <c r="D11" s="1">
        <f t="shared" si="0"/>
        <v>135217.17025401193</v>
      </c>
      <c r="E11" s="1">
        <f t="shared" si="0"/>
        <v>22274.956657803137</v>
      </c>
      <c r="G11" s="1">
        <f t="shared" si="0"/>
        <v>915232.98106880113</v>
      </c>
      <c r="H11" s="1">
        <f t="shared" si="0"/>
        <v>466933.99903077714</v>
      </c>
      <c r="I11" s="1">
        <f t="shared" si="0"/>
        <v>1223433.1543127762</v>
      </c>
      <c r="J11" s="1">
        <f>-J9</f>
        <v>-5421542.5700000003</v>
      </c>
      <c r="K11" s="1">
        <v>0</v>
      </c>
    </row>
    <row r="12" spans="1:11" x14ac:dyDescent="0.2">
      <c r="A12" t="s">
        <v>4</v>
      </c>
      <c r="B12" s="1">
        <f>+B9+B11</f>
        <v>21739662.218675829</v>
      </c>
      <c r="C12" s="1">
        <f t="shared" ref="C12:J12" si="1">+C9+C11</f>
        <v>0</v>
      </c>
      <c r="D12" s="1">
        <f t="shared" si="1"/>
        <v>1105747.810254012</v>
      </c>
      <c r="E12" s="1">
        <f t="shared" si="1"/>
        <v>182155.00665780314</v>
      </c>
      <c r="G12" s="1">
        <f t="shared" si="1"/>
        <v>7484381.3310688008</v>
      </c>
      <c r="H12" s="1">
        <f t="shared" si="1"/>
        <v>3818385.2390307775</v>
      </c>
      <c r="I12" s="1">
        <f t="shared" si="1"/>
        <v>10004709.674312776</v>
      </c>
      <c r="J12" s="1">
        <f t="shared" si="1"/>
        <v>0</v>
      </c>
      <c r="K12" s="1">
        <f>SUM(B12:J12)</f>
        <v>44335041.280000001</v>
      </c>
    </row>
    <row r="14" spans="1:11" x14ac:dyDescent="0.2">
      <c r="A14" t="s">
        <v>5</v>
      </c>
      <c r="B14" s="1">
        <f>B$9/($K$9-$J$9-$I$9)*-I14</f>
        <v>6335476.4938957561</v>
      </c>
      <c r="C14" s="1">
        <f t="shared" ref="C14:H14" si="2">C$9/($K$9-$J$9-$I$9)*-$I$14</f>
        <v>0</v>
      </c>
      <c r="D14" s="1">
        <f t="shared" si="2"/>
        <v>322242.32325113378</v>
      </c>
      <c r="E14" s="1">
        <f t="shared" si="2"/>
        <v>53084.484538795637</v>
      </c>
      <c r="G14" s="1">
        <f t="shared" si="2"/>
        <v>2181134.2567045097</v>
      </c>
      <c r="H14" s="1">
        <f t="shared" si="2"/>
        <v>1112772.1159225774</v>
      </c>
      <c r="I14" s="1">
        <f>-I12</f>
        <v>-10004709.674312776</v>
      </c>
      <c r="K14" s="1">
        <v>0</v>
      </c>
    </row>
    <row r="15" spans="1:11" x14ac:dyDescent="0.2">
      <c r="A15" t="s">
        <v>4</v>
      </c>
      <c r="B15" s="1">
        <f>+B12+B14</f>
        <v>28075138.712571584</v>
      </c>
      <c r="C15" s="1">
        <f>+C12+C14</f>
        <v>0</v>
      </c>
      <c r="D15" s="1">
        <f>+D12+D14</f>
        <v>1427990.1335051458</v>
      </c>
      <c r="E15" s="1">
        <f>+E12+E14</f>
        <v>235239.49119659877</v>
      </c>
      <c r="G15" s="1">
        <f>+G12+G14</f>
        <v>9665515.58777331</v>
      </c>
      <c r="H15" s="1">
        <f>+H12+H14</f>
        <v>4931157.3549533552</v>
      </c>
      <c r="I15" s="1">
        <f>+I12+I14</f>
        <v>0</v>
      </c>
      <c r="J15" s="1">
        <f>+J12+J14</f>
        <v>0</v>
      </c>
      <c r="K15" s="1">
        <f>SUM(B15:J15)</f>
        <v>44335041.279999994</v>
      </c>
    </row>
    <row r="17" spans="1:11" x14ac:dyDescent="0.2">
      <c r="A17" t="s">
        <v>6</v>
      </c>
      <c r="B17" s="1">
        <f>B$9/($K$9-$J$9-$I$9-$H$9)*-$H$17</f>
        <v>3513433.523892635</v>
      </c>
      <c r="C17" s="1">
        <f>C$9/($K$9-$J$9-$I$9-$H$9)*-$H$17</f>
        <v>0</v>
      </c>
      <c r="D17" s="1">
        <f>D$9/($K$9-$J$9-$I$9-$H$9)*-$H$17</f>
        <v>178704.31409830585</v>
      </c>
      <c r="E17" s="1">
        <f>E$9/($K$9-$J$9-$I$9-$H$9)*-$H$17</f>
        <v>29438.797185478703</v>
      </c>
      <c r="G17" s="1">
        <f>G$9/($K$9-$J$9-$I$9-$H$9)*-$H$17</f>
        <v>1209580.7197769331</v>
      </c>
      <c r="H17" s="1">
        <f>-H15</f>
        <v>-4931157.3549533552</v>
      </c>
      <c r="K17" s="1">
        <v>0</v>
      </c>
    </row>
    <row r="18" spans="1:11" x14ac:dyDescent="0.2">
      <c r="A18" t="s">
        <v>4</v>
      </c>
      <c r="B18" s="1">
        <f>+B15+B17</f>
        <v>31588572.236464217</v>
      </c>
      <c r="C18" s="1">
        <f>+C15+C17</f>
        <v>0</v>
      </c>
      <c r="D18" s="1">
        <f>+D15+D17</f>
        <v>1606694.4476034516</v>
      </c>
      <c r="E18" s="1">
        <f>+E15+E17</f>
        <v>264678.28838207747</v>
      </c>
      <c r="G18" s="1">
        <f>+G15+G17</f>
        <v>10875096.307550244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44335041.279999986</v>
      </c>
    </row>
    <row r="20" spans="1:11" x14ac:dyDescent="0.2">
      <c r="A20" t="s">
        <v>7</v>
      </c>
      <c r="B20" s="1">
        <f>B$9/($K$9-$J$9-$I$9-$H$9-$G$9)*-$G$20</f>
        <v>10266865.817394821</v>
      </c>
      <c r="C20" s="1">
        <f>C$9/($K$9-$J$9-$I$9-$H$9-$G$9)*-$G$20</f>
        <v>0</v>
      </c>
      <c r="D20" s="1">
        <f>D$9/($K$9-$J$9-$I$9-$H$9-$G$9)*-$G$20</f>
        <v>522205.18799061538</v>
      </c>
      <c r="E20" s="1">
        <f>E$9/($K$9-$J$9-$I$9-$H$9-$G$9)*-$G$20</f>
        <v>86025.302164802328</v>
      </c>
      <c r="G20" s="1">
        <f>-G18</f>
        <v>-10875096.307550244</v>
      </c>
      <c r="K20" s="1">
        <f>SUM(B20:J20)</f>
        <v>0</v>
      </c>
    </row>
    <row r="22" spans="1:11" x14ac:dyDescent="0.2">
      <c r="A22" t="s">
        <v>8</v>
      </c>
      <c r="B22" s="1">
        <f>+B20+B18</f>
        <v>41855438.05385904</v>
      </c>
      <c r="C22" s="1">
        <f t="shared" ref="C22:K22" si="3">+C20+C18</f>
        <v>0</v>
      </c>
      <c r="D22" s="1">
        <f t="shared" si="3"/>
        <v>2128899.6355940672</v>
      </c>
      <c r="E22" s="1">
        <f t="shared" si="3"/>
        <v>350703.5905468798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44335041.279999986</v>
      </c>
    </row>
    <row r="27" spans="1:11" x14ac:dyDescent="0.2">
      <c r="A27" t="s">
        <v>9</v>
      </c>
      <c r="B27" s="1">
        <f>+B9</f>
        <v>19081211.91</v>
      </c>
    </row>
    <row r="28" spans="1:11" x14ac:dyDescent="0.2">
      <c r="A28" t="s">
        <v>10</v>
      </c>
      <c r="B28" s="1">
        <f>+B22-B27</f>
        <v>22774226.14385904</v>
      </c>
    </row>
    <row r="29" spans="1:11" x14ac:dyDescent="0.2">
      <c r="A29" s="28" t="s">
        <v>169</v>
      </c>
      <c r="B29" s="1">
        <v>2819</v>
      </c>
    </row>
    <row r="30" spans="1:11" x14ac:dyDescent="0.2">
      <c r="A30" t="s">
        <v>11</v>
      </c>
      <c r="B30" s="1">
        <f>+B28/B29</f>
        <v>8078.8315515640443</v>
      </c>
    </row>
  </sheetData>
  <phoneticPr fontId="0" type="noConversion"/>
  <pageMargins left="0.63" right="0.55000000000000004" top="1" bottom="0.53" header="0.5" footer="0.5"/>
  <pageSetup scale="10" orientation="landscape" horizontalDpi="4294967294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285156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Table'!B41</f>
        <v>21056221.91</v>
      </c>
      <c r="C9" s="1">
        <f>'Master Expend Table'!C41</f>
        <v>0</v>
      </c>
      <c r="D9" s="1">
        <f>'Master Expend Table'!D41</f>
        <v>655704.02</v>
      </c>
      <c r="E9" s="1">
        <f>'Master Expend Table'!E41</f>
        <v>0</v>
      </c>
      <c r="G9" s="1">
        <f>'Master Expend Table'!G41</f>
        <v>4478159</v>
      </c>
      <c r="H9" s="1">
        <f>'Master Expend Table'!H41</f>
        <v>6025995.71</v>
      </c>
      <c r="I9" s="1">
        <f>'Master Expend Table'!I41</f>
        <v>5652164.7699999996</v>
      </c>
      <c r="J9" s="1">
        <f>'Master Expend Table'!J41</f>
        <v>5177500.63</v>
      </c>
      <c r="K9" s="1">
        <f>SUM(B9:J9)</f>
        <v>43045746.039999999</v>
      </c>
    </row>
    <row r="11" spans="1:11" x14ac:dyDescent="0.2">
      <c r="A11" t="s">
        <v>3</v>
      </c>
      <c r="B11" s="1">
        <f>(B9/($K9-$J9))*-$J$11</f>
        <v>2878892.3549031368</v>
      </c>
      <c r="C11" s="1">
        <f t="shared" ref="C11:I11" si="0">(C9/($K9-$J9))*-$J$11</f>
        <v>0</v>
      </c>
      <c r="D11" s="1">
        <f t="shared" si="0"/>
        <v>89650.522222163156</v>
      </c>
      <c r="E11" s="1">
        <f t="shared" si="0"/>
        <v>0</v>
      </c>
      <c r="G11" s="1">
        <f t="shared" si="0"/>
        <v>612272.12385228311</v>
      </c>
      <c r="H11" s="1">
        <f t="shared" si="0"/>
        <v>823898.65828489943</v>
      </c>
      <c r="I11" s="1">
        <f t="shared" si="0"/>
        <v>772786.97073751758</v>
      </c>
      <c r="J11" s="1">
        <f>-J9</f>
        <v>-5177500.63</v>
      </c>
      <c r="K11" s="1">
        <v>0</v>
      </c>
    </row>
    <row r="12" spans="1:11" x14ac:dyDescent="0.2">
      <c r="A12" t="s">
        <v>4</v>
      </c>
      <c r="B12" s="1">
        <f>+B9+B11</f>
        <v>23935114.264903136</v>
      </c>
      <c r="C12" s="1">
        <f t="shared" ref="C12:J12" si="1">+C9+C11</f>
        <v>0</v>
      </c>
      <c r="D12" s="1">
        <f t="shared" si="1"/>
        <v>745354.54222216317</v>
      </c>
      <c r="E12" s="1">
        <f t="shared" si="1"/>
        <v>0</v>
      </c>
      <c r="G12" s="1">
        <f t="shared" si="1"/>
        <v>5090431.1238522828</v>
      </c>
      <c r="H12" s="1">
        <f t="shared" si="1"/>
        <v>6849894.3682848997</v>
      </c>
      <c r="I12" s="1">
        <f t="shared" si="1"/>
        <v>6424951.7407375174</v>
      </c>
      <c r="J12" s="1">
        <f t="shared" si="1"/>
        <v>0</v>
      </c>
      <c r="K12" s="1">
        <f>SUM(B12:J12)</f>
        <v>43045746.039999999</v>
      </c>
    </row>
    <row r="14" spans="1:11" x14ac:dyDescent="0.2">
      <c r="A14" t="s">
        <v>5</v>
      </c>
      <c r="B14" s="1">
        <f>B$9/($K$9-$J$9-$I$9)*-I14</f>
        <v>4199306.8966321647</v>
      </c>
      <c r="C14" s="1">
        <f t="shared" ref="C14:H14" si="2">C$9/($K$9-$J$9-$I$9)*-$I$14</f>
        <v>0</v>
      </c>
      <c r="D14" s="1">
        <f t="shared" si="2"/>
        <v>130769.06318259044</v>
      </c>
      <c r="E14" s="1">
        <f t="shared" si="2"/>
        <v>0</v>
      </c>
      <c r="G14" s="1">
        <f t="shared" si="2"/>
        <v>893092.97998918162</v>
      </c>
      <c r="H14" s="1">
        <f t="shared" si="2"/>
        <v>1201782.8009335811</v>
      </c>
      <c r="I14" s="1">
        <f>-I12</f>
        <v>-6424951.7407375174</v>
      </c>
      <c r="K14" s="1">
        <v>0</v>
      </c>
    </row>
    <row r="15" spans="1:11" x14ac:dyDescent="0.2">
      <c r="A15" t="s">
        <v>4</v>
      </c>
      <c r="B15" s="1">
        <f>+B12+B14</f>
        <v>28134421.1615353</v>
      </c>
      <c r="C15" s="1">
        <f>+C12+C14</f>
        <v>0</v>
      </c>
      <c r="D15" s="1">
        <f>+D12+D14</f>
        <v>876123.60540475359</v>
      </c>
      <c r="E15" s="1">
        <f>+E12+E14</f>
        <v>0</v>
      </c>
      <c r="G15" s="1">
        <f>+G12+G14</f>
        <v>5983524.103841464</v>
      </c>
      <c r="H15" s="1">
        <f>+H12+H14</f>
        <v>8051677.1692184806</v>
      </c>
      <c r="I15" s="1">
        <f>+I12+I14</f>
        <v>0</v>
      </c>
      <c r="J15" s="1">
        <f>+J12+J14</f>
        <v>0</v>
      </c>
      <c r="K15" s="1">
        <f>SUM(B15:J15)</f>
        <v>43045746.039999999</v>
      </c>
    </row>
    <row r="17" spans="1:11" x14ac:dyDescent="0.2">
      <c r="A17" t="s">
        <v>6</v>
      </c>
      <c r="B17" s="1">
        <f>B$9/($K$9-$J$9-$I$9-$H$9)*-$H$17</f>
        <v>6473362.0252045887</v>
      </c>
      <c r="C17" s="1">
        <f>C$9/($K$9-$J$9-$I$9-$H$9)*-$H$17</f>
        <v>0</v>
      </c>
      <c r="D17" s="1">
        <f>D$9/($K$9-$J$9-$I$9-$H$9)*-$H$17</f>
        <v>201584.5730057653</v>
      </c>
      <c r="E17" s="1">
        <f>E$9/($K$9-$J$9-$I$9-$H$9)*-$H$17</f>
        <v>0</v>
      </c>
      <c r="G17" s="1">
        <f>G$9/($K$9-$J$9-$I$9-$H$9)*-$H$17</f>
        <v>1376730.5710081281</v>
      </c>
      <c r="H17" s="1">
        <f>-H15</f>
        <v>-8051677.1692184806</v>
      </c>
      <c r="K17" s="1">
        <v>0</v>
      </c>
    </row>
    <row r="18" spans="1:11" x14ac:dyDescent="0.2">
      <c r="A18" t="s">
        <v>4</v>
      </c>
      <c r="B18" s="1">
        <f>+B15+B17</f>
        <v>34607783.186739892</v>
      </c>
      <c r="C18" s="1">
        <f>+C15+C17</f>
        <v>0</v>
      </c>
      <c r="D18" s="1">
        <f>+D15+D17</f>
        <v>1077708.1784105189</v>
      </c>
      <c r="E18" s="1">
        <f>+E15+E17</f>
        <v>0</v>
      </c>
      <c r="G18" s="1">
        <f>+G15+G17</f>
        <v>7360254.6748495921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43045746.039999999</v>
      </c>
    </row>
    <row r="20" spans="1:11" x14ac:dyDescent="0.2">
      <c r="A20" t="s">
        <v>7</v>
      </c>
      <c r="B20" s="1">
        <f>B$9/($K$9-$J$9-$I$9-$H$9-$G$9)*-$G$20</f>
        <v>7137973.6761909602</v>
      </c>
      <c r="C20" s="1">
        <f>C$9/($K$9-$J$9-$I$9-$H$9-$G$9)*-$G$20</f>
        <v>0</v>
      </c>
      <c r="D20" s="1">
        <f>D$9/($K$9-$J$9-$I$9-$H$9-$G$9)*-$G$20</f>
        <v>222280.99865863309</v>
      </c>
      <c r="E20" s="1">
        <f>E$9/($K$9-$J$9-$I$9-$H$9-$G$9)*-$G$20</f>
        <v>0</v>
      </c>
      <c r="G20" s="1">
        <f>-G18</f>
        <v>-7360254.6748495921</v>
      </c>
      <c r="K20" s="1">
        <f>SUM(B20:J20)</f>
        <v>0</v>
      </c>
    </row>
    <row r="22" spans="1:11" x14ac:dyDescent="0.2">
      <c r="A22" t="s">
        <v>8</v>
      </c>
      <c r="B22" s="1">
        <f>+B20+B18</f>
        <v>41745756.862930849</v>
      </c>
      <c r="C22" s="1">
        <f t="shared" ref="C22:K22" si="3">+C20+C18</f>
        <v>0</v>
      </c>
      <c r="D22" s="1">
        <f t="shared" si="3"/>
        <v>1299989.177069152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43045746.039999999</v>
      </c>
    </row>
    <row r="27" spans="1:11" x14ac:dyDescent="0.2">
      <c r="A27" t="s">
        <v>9</v>
      </c>
      <c r="B27" s="1">
        <f>+B9</f>
        <v>21056221.91</v>
      </c>
    </row>
    <row r="28" spans="1:11" x14ac:dyDescent="0.2">
      <c r="A28" t="s">
        <v>10</v>
      </c>
      <c r="B28" s="1">
        <f>+B22-B27</f>
        <v>20689534.952930849</v>
      </c>
    </row>
    <row r="29" spans="1:11" x14ac:dyDescent="0.2">
      <c r="A29" s="28" t="s">
        <v>169</v>
      </c>
      <c r="B29" s="1">
        <v>3683</v>
      </c>
    </row>
    <row r="30" spans="1:11" x14ac:dyDescent="0.2">
      <c r="A30" t="s">
        <v>11</v>
      </c>
      <c r="B30" s="1">
        <f>+B28/B29</f>
        <v>5617.5766909939857</v>
      </c>
    </row>
  </sheetData>
  <phoneticPr fontId="0" type="noConversion"/>
  <pageMargins left="0.56000000000000005" right="0.55000000000000004" top="1" bottom="0.53" header="0.5" footer="0.5"/>
  <pageSetup scale="10" orientation="landscape" horizontalDpi="4294967294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Table'!B42</f>
        <v>13073268.029999999</v>
      </c>
      <c r="C9" s="1">
        <f>'Master Expend Table'!C42</f>
        <v>0</v>
      </c>
      <c r="D9" s="1">
        <f>'Master Expend Table'!D42</f>
        <v>1617711.34</v>
      </c>
      <c r="E9" s="1">
        <f>'Master Expend Table'!E42</f>
        <v>165588.20000000001</v>
      </c>
      <c r="G9" s="1">
        <f>'Master Expend Table'!G42</f>
        <v>3795188.2</v>
      </c>
      <c r="H9" s="1">
        <f>'Master Expend Table'!H42</f>
        <v>3743836.2</v>
      </c>
      <c r="I9" s="1">
        <f>'Master Expend Table'!I42</f>
        <v>5107343.53</v>
      </c>
      <c r="J9" s="1">
        <f>'Master Expend Table'!J42</f>
        <v>2557541.4300000002</v>
      </c>
      <c r="K9" s="1">
        <f>SUM(B9:J9)</f>
        <v>30060476.93</v>
      </c>
    </row>
    <row r="11" spans="1:11" x14ac:dyDescent="0.2">
      <c r="A11" t="s">
        <v>3</v>
      </c>
      <c r="B11" s="1">
        <f>(B9/($K9-$J9))*-$J$11</f>
        <v>1215703.851402316</v>
      </c>
      <c r="C11" s="1">
        <f t="shared" ref="C11:I11" si="0">(C9/($K9-$J9))*-$J$11</f>
        <v>0</v>
      </c>
      <c r="D11" s="1">
        <f t="shared" si="0"/>
        <v>150433.53367973454</v>
      </c>
      <c r="E11" s="1">
        <f t="shared" si="0"/>
        <v>15398.308366724201</v>
      </c>
      <c r="G11" s="1">
        <f t="shared" si="0"/>
        <v>352920.54755926429</v>
      </c>
      <c r="H11" s="1">
        <f t="shared" si="0"/>
        <v>348145.24393709778</v>
      </c>
      <c r="I11" s="1">
        <f t="shared" si="0"/>
        <v>474939.94505486329</v>
      </c>
      <c r="J11" s="1">
        <f>-J9</f>
        <v>-2557541.4300000002</v>
      </c>
      <c r="K11" s="1">
        <v>0</v>
      </c>
    </row>
    <row r="12" spans="1:11" x14ac:dyDescent="0.2">
      <c r="A12" t="s">
        <v>4</v>
      </c>
      <c r="B12" s="1">
        <f>+B9+B11</f>
        <v>14288971.881402316</v>
      </c>
      <c r="C12" s="1">
        <f t="shared" ref="C12:J12" si="1">+C9+C11</f>
        <v>0</v>
      </c>
      <c r="D12" s="1">
        <f t="shared" si="1"/>
        <v>1768144.8736797345</v>
      </c>
      <c r="E12" s="1">
        <f t="shared" si="1"/>
        <v>180986.50836672421</v>
      </c>
      <c r="G12" s="1">
        <f t="shared" si="1"/>
        <v>4148108.7475592643</v>
      </c>
      <c r="H12" s="1">
        <f t="shared" si="1"/>
        <v>4091981.4439370981</v>
      </c>
      <c r="I12" s="1">
        <f t="shared" si="1"/>
        <v>5582283.4750548638</v>
      </c>
      <c r="J12" s="1">
        <f t="shared" si="1"/>
        <v>0</v>
      </c>
      <c r="K12" s="1">
        <f>SUM(B12:J12)</f>
        <v>30060476.93</v>
      </c>
    </row>
    <row r="14" spans="1:11" x14ac:dyDescent="0.2">
      <c r="A14" t="s">
        <v>5</v>
      </c>
      <c r="B14" s="1">
        <f>B$9/($K$9-$J$9-$I$9)*-I14</f>
        <v>3258618.4007366542</v>
      </c>
      <c r="C14" s="1">
        <f t="shared" ref="C14:H14" si="2">C$9/($K$9-$J$9-$I$9)*-$I$14</f>
        <v>0</v>
      </c>
      <c r="D14" s="1">
        <f t="shared" si="2"/>
        <v>403227.71073824225</v>
      </c>
      <c r="E14" s="1">
        <f t="shared" si="2"/>
        <v>41274.205824177639</v>
      </c>
      <c r="G14" s="1">
        <f t="shared" si="2"/>
        <v>945981.53073884628</v>
      </c>
      <c r="H14" s="1">
        <f t="shared" si="2"/>
        <v>933181.62701694365</v>
      </c>
      <c r="I14" s="1">
        <f>-I12</f>
        <v>-5582283.4750548638</v>
      </c>
      <c r="K14" s="1">
        <v>0</v>
      </c>
    </row>
    <row r="15" spans="1:11" x14ac:dyDescent="0.2">
      <c r="A15" t="s">
        <v>4</v>
      </c>
      <c r="B15" s="1">
        <f>+B12+B14</f>
        <v>17547590.28213897</v>
      </c>
      <c r="C15" s="1">
        <f>+C12+C14</f>
        <v>0</v>
      </c>
      <c r="D15" s="1">
        <f>+D12+D14</f>
        <v>2171372.5844179769</v>
      </c>
      <c r="E15" s="1">
        <f>+E12+E14</f>
        <v>222260.71419090184</v>
      </c>
      <c r="G15" s="1">
        <f>+G12+G14</f>
        <v>5094090.2782981107</v>
      </c>
      <c r="H15" s="1">
        <f>+H12+H14</f>
        <v>5025163.0709540416</v>
      </c>
      <c r="I15" s="1">
        <f>+I12+I14</f>
        <v>0</v>
      </c>
      <c r="J15" s="1">
        <f>+J12+J14</f>
        <v>0</v>
      </c>
      <c r="K15" s="1">
        <f>SUM(B15:J15)</f>
        <v>30060476.93</v>
      </c>
    </row>
    <row r="17" spans="1:11" x14ac:dyDescent="0.2">
      <c r="A17" t="s">
        <v>6</v>
      </c>
      <c r="B17" s="1">
        <f>B$9/($K$9-$J$9-$I$9-$H$9)*-$H$17</f>
        <v>3522204.8010464641</v>
      </c>
      <c r="C17" s="1">
        <f>C$9/($K$9-$J$9-$I$9-$H$9)*-$H$17</f>
        <v>0</v>
      </c>
      <c r="D17" s="1">
        <f>D$9/($K$9-$J$9-$I$9-$H$9)*-$H$17</f>
        <v>435844.39907297684</v>
      </c>
      <c r="E17" s="1">
        <f>E$9/($K$9-$J$9-$I$9-$H$9)*-$H$17</f>
        <v>44612.835267987866</v>
      </c>
      <c r="G17" s="1">
        <f>G$9/($K$9-$J$9-$I$9-$H$9)*-$H$17</f>
        <v>1022501.0355666126</v>
      </c>
      <c r="H17" s="1">
        <f>-H15</f>
        <v>-5025163.0709540416</v>
      </c>
      <c r="K17" s="1">
        <v>0</v>
      </c>
    </row>
    <row r="18" spans="1:11" x14ac:dyDescent="0.2">
      <c r="A18" t="s">
        <v>4</v>
      </c>
      <c r="B18" s="1">
        <f>+B15+B17</f>
        <v>21069795.083185434</v>
      </c>
      <c r="C18" s="1">
        <f>+C15+C17</f>
        <v>0</v>
      </c>
      <c r="D18" s="1">
        <f>+D15+D17</f>
        <v>2607216.9834909537</v>
      </c>
      <c r="E18" s="1">
        <f>+E15+E17</f>
        <v>266873.5494588897</v>
      </c>
      <c r="G18" s="1">
        <f>+G15+G17</f>
        <v>6116591.3138647228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30060476.930000003</v>
      </c>
    </row>
    <row r="20" spans="1:11" x14ac:dyDescent="0.2">
      <c r="A20" t="s">
        <v>7</v>
      </c>
      <c r="B20" s="1">
        <f>B$9/($K$9-$J$9-$I$9-$H$9-$G$9)*-$G$20</f>
        <v>5382389.7949076118</v>
      </c>
      <c r="C20" s="1">
        <f>C$9/($K$9-$J$9-$I$9-$H$9-$G$9)*-$G$20</f>
        <v>0</v>
      </c>
      <c r="D20" s="1">
        <f>D$9/($K$9-$J$9-$I$9-$H$9-$G$9)*-$G$20</f>
        <v>666027.26935158821</v>
      </c>
      <c r="E20" s="1">
        <f>E$9/($K$9-$J$9-$I$9-$H$9-$G$9)*-$G$20</f>
        <v>68174.249605522738</v>
      </c>
      <c r="G20" s="1">
        <f>-G18</f>
        <v>-6116591.3138647228</v>
      </c>
      <c r="K20" s="1">
        <f>SUM(B20:J20)</f>
        <v>0</v>
      </c>
    </row>
    <row r="22" spans="1:11" x14ac:dyDescent="0.2">
      <c r="A22" t="s">
        <v>8</v>
      </c>
      <c r="B22" s="1">
        <f>+B20+B18</f>
        <v>26452184.878093045</v>
      </c>
      <c r="C22" s="1">
        <f t="shared" ref="C22:K22" si="3">+C20+C18</f>
        <v>0</v>
      </c>
      <c r="D22" s="1">
        <f t="shared" si="3"/>
        <v>3273244.2528425418</v>
      </c>
      <c r="E22" s="1">
        <f t="shared" si="3"/>
        <v>335047.79906441242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30060476.930000003</v>
      </c>
    </row>
    <row r="27" spans="1:11" x14ac:dyDescent="0.2">
      <c r="A27" t="s">
        <v>9</v>
      </c>
      <c r="B27" s="1">
        <f>+B9</f>
        <v>13073268.029999999</v>
      </c>
    </row>
    <row r="28" spans="1:11" x14ac:dyDescent="0.2">
      <c r="A28" t="s">
        <v>10</v>
      </c>
      <c r="B28" s="1">
        <f>+B22-B27</f>
        <v>13378916.848093046</v>
      </c>
    </row>
    <row r="29" spans="1:11" x14ac:dyDescent="0.2">
      <c r="A29" s="28" t="s">
        <v>169</v>
      </c>
      <c r="B29" s="1">
        <v>1929</v>
      </c>
    </row>
    <row r="30" spans="1:11" x14ac:dyDescent="0.2">
      <c r="A30" t="s">
        <v>11</v>
      </c>
      <c r="B30" s="1">
        <f>+B28/B29</f>
        <v>6935.6748823706821</v>
      </c>
    </row>
  </sheetData>
  <phoneticPr fontId="0" type="noConversion"/>
  <pageMargins left="0.61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0"/>
  <sheetViews>
    <sheetView workbookViewId="0">
      <selection activeCell="B29" sqref="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7" width="11.28515625" style="1" bestFit="1" customWidth="1"/>
    <col min="8" max="8" width="10.28515625" style="1" customWidth="1"/>
    <col min="9" max="9" width="11.28515625" style="1" bestFit="1" customWidth="1"/>
    <col min="10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Table'!B7</f>
        <v>32890784.309999999</v>
      </c>
      <c r="C9" s="1">
        <f>'Master Expend Table'!C7</f>
        <v>0</v>
      </c>
      <c r="D9" s="1">
        <f>'Master Expend Table'!D7</f>
        <v>1062802.76</v>
      </c>
      <c r="E9" s="1">
        <f>'Master Expend Table'!E7</f>
        <v>5662.8899999999994</v>
      </c>
      <c r="G9" s="1">
        <f>'Master Expend Table'!G7</f>
        <v>8331573.71</v>
      </c>
      <c r="H9" s="1">
        <f>'Master Expend Table'!H7</f>
        <v>7215832.2700000005</v>
      </c>
      <c r="I9" s="1">
        <f>'Master Expend Table'!I7</f>
        <v>11828632.039999999</v>
      </c>
      <c r="J9" s="1">
        <f>'Master Expend Table'!J7</f>
        <v>6912260.3199999994</v>
      </c>
      <c r="K9" s="1">
        <f>SUM(B9:J9)</f>
        <v>68247548.299999997</v>
      </c>
    </row>
    <row r="11" spans="1:11" x14ac:dyDescent="0.2">
      <c r="A11" t="s">
        <v>3</v>
      </c>
      <c r="B11" s="1">
        <f>(B9/($K9-$J9))*-$J$11</f>
        <v>3706669.8595077107</v>
      </c>
      <c r="C11" s="1">
        <f t="shared" ref="C11:I11" si="0">(C9/($K9-$J9))*-$J$11</f>
        <v>0</v>
      </c>
      <c r="D11" s="1">
        <f t="shared" si="0"/>
        <v>119773.94397055675</v>
      </c>
      <c r="E11" s="1">
        <f t="shared" si="0"/>
        <v>638.18677848693767</v>
      </c>
      <c r="G11" s="1">
        <f t="shared" si="0"/>
        <v>938937.57175423938</v>
      </c>
      <c r="H11" s="1">
        <f t="shared" si="0"/>
        <v>813197.63415736274</v>
      </c>
      <c r="I11" s="1">
        <f t="shared" si="0"/>
        <v>1333043.1238316433</v>
      </c>
      <c r="J11" s="1">
        <f>-J9</f>
        <v>-6912260.3199999994</v>
      </c>
      <c r="K11" s="1">
        <v>0</v>
      </c>
    </row>
    <row r="12" spans="1:11" x14ac:dyDescent="0.2">
      <c r="A12" t="s">
        <v>4</v>
      </c>
      <c r="B12" s="1">
        <f>+B9+B11</f>
        <v>36597454.169507712</v>
      </c>
      <c r="C12" s="1">
        <f t="shared" ref="C12:J12" si="1">+C9+C11</f>
        <v>0</v>
      </c>
      <c r="D12" s="1">
        <f t="shared" si="1"/>
        <v>1182576.7039705568</v>
      </c>
      <c r="E12" s="1">
        <f t="shared" si="1"/>
        <v>6301.0767784869367</v>
      </c>
      <c r="G12" s="1">
        <f t="shared" si="1"/>
        <v>9270511.2817542385</v>
      </c>
      <c r="H12" s="1">
        <f t="shared" si="1"/>
        <v>8029029.9041573629</v>
      </c>
      <c r="I12" s="1">
        <f t="shared" si="1"/>
        <v>13161675.163831642</v>
      </c>
      <c r="J12" s="1">
        <f t="shared" si="1"/>
        <v>0</v>
      </c>
      <c r="K12" s="1">
        <f>SUM(B12:J12)</f>
        <v>68247548.299999997</v>
      </c>
    </row>
    <row r="14" spans="1:11" x14ac:dyDescent="0.2">
      <c r="A14" t="s">
        <v>5</v>
      </c>
      <c r="B14" s="1">
        <f>B$9/($K$9-$J$9-$I$9)*-I14</f>
        <v>8744234.7044511456</v>
      </c>
      <c r="C14" s="1">
        <f t="shared" ref="C14:H14" si="2">C$9/($K$9-$J$9-$I$9)*-$I$14</f>
        <v>0</v>
      </c>
      <c r="D14" s="1">
        <f t="shared" si="2"/>
        <v>282553.21279015316</v>
      </c>
      <c r="E14" s="1">
        <f t="shared" si="2"/>
        <v>1505.5171320567802</v>
      </c>
      <c r="G14" s="1">
        <f t="shared" si="2"/>
        <v>2215004.5219664993</v>
      </c>
      <c r="H14" s="1">
        <f t="shared" si="2"/>
        <v>1918377.2074917872</v>
      </c>
      <c r="I14" s="1">
        <f>-I12</f>
        <v>-13161675.163831642</v>
      </c>
      <c r="K14" s="1">
        <v>0</v>
      </c>
    </row>
    <row r="15" spans="1:11" x14ac:dyDescent="0.2">
      <c r="A15" t="s">
        <v>4</v>
      </c>
      <c r="B15" s="1">
        <f>+B12+B14</f>
        <v>45341688.873958856</v>
      </c>
      <c r="C15" s="1">
        <f>+C12+C14</f>
        <v>0</v>
      </c>
      <c r="D15" s="1">
        <f>+D12+D14</f>
        <v>1465129.9167607101</v>
      </c>
      <c r="E15" s="1">
        <f>+E12+E14</f>
        <v>7806.5939105437174</v>
      </c>
      <c r="G15" s="1">
        <f>+G12+G14</f>
        <v>11485515.803720739</v>
      </c>
      <c r="H15" s="1">
        <f>+H12+H14</f>
        <v>9947407.11164915</v>
      </c>
      <c r="I15" s="1">
        <f>+I12+I14</f>
        <v>0</v>
      </c>
      <c r="J15" s="1">
        <f>+J12+J14</f>
        <v>0</v>
      </c>
      <c r="K15" s="1">
        <f>SUM(B15:J15)</f>
        <v>68247548.300000012</v>
      </c>
    </row>
    <row r="17" spans="1:11" x14ac:dyDescent="0.2">
      <c r="A17" t="s">
        <v>6</v>
      </c>
      <c r="B17" s="1">
        <f>B$9/($K$9-$J$9-$I$9-$H$9)*-$H$17</f>
        <v>7736383.2945420686</v>
      </c>
      <c r="C17" s="1">
        <f>C$9/($K$9-$J$9-$I$9-$H$9)*-$H$17</f>
        <v>0</v>
      </c>
      <c r="D17" s="1">
        <f>D$9/($K$9-$J$9-$I$9-$H$9)*-$H$17</f>
        <v>249986.42295548241</v>
      </c>
      <c r="E17" s="1">
        <f>E$9/($K$9-$J$9-$I$9-$H$9)*-$H$17</f>
        <v>1331.9927911086454</v>
      </c>
      <c r="G17" s="1">
        <f>G$9/($K$9-$J$9-$I$9-$H$9)*-$H$17</f>
        <v>1959705.4013604911</v>
      </c>
      <c r="H17" s="1">
        <f>-H15</f>
        <v>-9947407.11164915</v>
      </c>
      <c r="K17" s="1">
        <v>0</v>
      </c>
    </row>
    <row r="18" spans="1:11" x14ac:dyDescent="0.2">
      <c r="A18" t="s">
        <v>4</v>
      </c>
      <c r="B18" s="1">
        <f>+B15+B17</f>
        <v>53078072.168500923</v>
      </c>
      <c r="C18" s="1">
        <f>+C15+C17</f>
        <v>0</v>
      </c>
      <c r="D18" s="1">
        <f>+D15+D17</f>
        <v>1715116.3397161926</v>
      </c>
      <c r="E18" s="1">
        <f>+E15+E17</f>
        <v>9138.5867016523625</v>
      </c>
      <c r="G18" s="1">
        <f>+G15+G17</f>
        <v>13445221.20508123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68247548.299999997</v>
      </c>
    </row>
    <row r="20" spans="1:11" x14ac:dyDescent="0.2">
      <c r="A20" t="s">
        <v>7</v>
      </c>
      <c r="B20" s="1">
        <f>B$9/($K$9-$J$9-$I$9-$H$9-$G$9)*-$G$20</f>
        <v>13022191.926425135</v>
      </c>
      <c r="C20" s="1">
        <f>C$9/($K$9-$J$9-$I$9-$H$9-$G$9)*-$G$20</f>
        <v>0</v>
      </c>
      <c r="D20" s="1">
        <f>D$9/($K$9-$J$9-$I$9-$H$9-$G$9)*-$G$20</f>
        <v>420787.21474715578</v>
      </c>
      <c r="E20" s="1">
        <f>E$9/($K$9-$J$9-$I$9-$H$9-$G$9)*-$G$20</f>
        <v>2242.0639089415995</v>
      </c>
      <c r="G20" s="1">
        <f>-G18</f>
        <v>-13445221.20508123</v>
      </c>
      <c r="K20" s="1">
        <f>SUM(B20:J20)</f>
        <v>0</v>
      </c>
    </row>
    <row r="22" spans="1:11" x14ac:dyDescent="0.2">
      <c r="A22" t="s">
        <v>8</v>
      </c>
      <c r="B22" s="1">
        <f>+B20+B18</f>
        <v>66100264.094926059</v>
      </c>
      <c r="C22" s="1">
        <f t="shared" ref="C22:K22" si="3">+C20+C18</f>
        <v>0</v>
      </c>
      <c r="D22" s="1">
        <f t="shared" si="3"/>
        <v>2135903.5544633484</v>
      </c>
      <c r="E22" s="1">
        <f t="shared" si="3"/>
        <v>11380.650610593962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68247548.299999997</v>
      </c>
    </row>
    <row r="27" spans="1:11" x14ac:dyDescent="0.2">
      <c r="A27" t="s">
        <v>9</v>
      </c>
      <c r="B27" s="1">
        <f>+B9</f>
        <v>32890784.309999999</v>
      </c>
    </row>
    <row r="28" spans="1:11" x14ac:dyDescent="0.2">
      <c r="A28" t="s">
        <v>10</v>
      </c>
      <c r="B28" s="1">
        <f>+B22-B27</f>
        <v>33209479.784926061</v>
      </c>
    </row>
    <row r="29" spans="1:11" x14ac:dyDescent="0.2">
      <c r="A29" s="28" t="s">
        <v>169</v>
      </c>
      <c r="B29" s="1">
        <f>'ANOKARAM CC'!B29+'ANOKA TC'!B29</f>
        <v>6313</v>
      </c>
    </row>
    <row r="30" spans="1:11" x14ac:dyDescent="0.2">
      <c r="A30" t="s">
        <v>11</v>
      </c>
      <c r="B30" s="1">
        <f>+B28/B29</f>
        <v>5260.4910161454236</v>
      </c>
    </row>
  </sheetData>
  <pageMargins left="0.7" right="0.7" top="0.75" bottom="0.75" header="0.3" footer="0.3"/>
  <pageSetup scale="9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Table'!B43</f>
        <v>17465931.359999999</v>
      </c>
      <c r="C9" s="1">
        <f>'Master Expend Table'!C43</f>
        <v>130184.45</v>
      </c>
      <c r="D9" s="1">
        <f>'Master Expend Table'!D43</f>
        <v>136855.62</v>
      </c>
      <c r="E9" s="1">
        <f>'Master Expend Table'!E43</f>
        <v>3317649.17</v>
      </c>
      <c r="G9" s="1">
        <f>'Master Expend Table'!G43</f>
        <v>5099766.26</v>
      </c>
      <c r="H9" s="1">
        <f>'Master Expend Table'!H43</f>
        <v>6093208.8099999996</v>
      </c>
      <c r="I9" s="1">
        <f>'Master Expend Table'!I43</f>
        <v>7103550.3600000003</v>
      </c>
      <c r="J9" s="1">
        <f>'Master Expend Table'!J43</f>
        <v>4268888.25</v>
      </c>
      <c r="K9" s="1">
        <f>SUM(B9:J9)</f>
        <v>43616034.280000001</v>
      </c>
    </row>
    <row r="11" spans="1:11" x14ac:dyDescent="0.2">
      <c r="A11" t="s">
        <v>3</v>
      </c>
      <c r="B11" s="1">
        <f>(B9/($K9-$J9))*-$J$11</f>
        <v>1894930.5522988276</v>
      </c>
      <c r="C11" s="1">
        <f t="shared" ref="C11:I11" si="0">(C9/($K9-$J9))*-$J$11</f>
        <v>14124.096027548976</v>
      </c>
      <c r="D11" s="1">
        <f t="shared" si="0"/>
        <v>14847.87099219417</v>
      </c>
      <c r="E11" s="1">
        <f t="shared" si="0"/>
        <v>359941.57107702305</v>
      </c>
      <c r="G11" s="1">
        <f t="shared" si="0"/>
        <v>553288.72514570132</v>
      </c>
      <c r="H11" s="1">
        <f t="shared" si="0"/>
        <v>661070.24570405623</v>
      </c>
      <c r="I11" s="1">
        <f t="shared" si="0"/>
        <v>770685.18875464855</v>
      </c>
      <c r="J11" s="1">
        <f>-J9</f>
        <v>-4268888.25</v>
      </c>
      <c r="K11" s="1">
        <v>0</v>
      </c>
    </row>
    <row r="12" spans="1:11" x14ac:dyDescent="0.2">
      <c r="A12" t="s">
        <v>4</v>
      </c>
      <c r="B12" s="1">
        <f>+B9+B11</f>
        <v>19360861.912298828</v>
      </c>
      <c r="C12" s="1">
        <f t="shared" ref="C12:J12" si="1">+C9+C11</f>
        <v>144308.54602754896</v>
      </c>
      <c r="D12" s="1">
        <f t="shared" si="1"/>
        <v>151703.49099219416</v>
      </c>
      <c r="E12" s="1">
        <f t="shared" si="1"/>
        <v>3677590.7410770231</v>
      </c>
      <c r="G12" s="1">
        <f t="shared" si="1"/>
        <v>5653054.9851457011</v>
      </c>
      <c r="H12" s="1">
        <f t="shared" si="1"/>
        <v>6754279.0557040554</v>
      </c>
      <c r="I12" s="1">
        <f t="shared" si="1"/>
        <v>7874235.5487546492</v>
      </c>
      <c r="J12" s="1">
        <f t="shared" si="1"/>
        <v>0</v>
      </c>
      <c r="K12" s="1">
        <f>SUM(B12:J12)</f>
        <v>43616034.280000001</v>
      </c>
    </row>
    <row r="14" spans="1:11" x14ac:dyDescent="0.2">
      <c r="A14" t="s">
        <v>5</v>
      </c>
      <c r="B14" s="1">
        <f>B$9/($K$9-$J$9-$I$9)*-I14</f>
        <v>4265369.7501541907</v>
      </c>
      <c r="C14" s="1">
        <f t="shared" ref="C14:H14" si="2">C$9/($K$9-$J$9-$I$9)*-$I$14</f>
        <v>31792.453750399985</v>
      </c>
      <c r="D14" s="1">
        <f t="shared" si="2"/>
        <v>33421.625772757921</v>
      </c>
      <c r="E14" s="1">
        <f t="shared" si="2"/>
        <v>810205.88708772731</v>
      </c>
      <c r="G14" s="1">
        <f t="shared" si="2"/>
        <v>1245418.1967116678</v>
      </c>
      <c r="H14" s="1">
        <f t="shared" si="2"/>
        <v>1488027.6352779053</v>
      </c>
      <c r="I14" s="1">
        <f>-I12</f>
        <v>-7874235.5487546492</v>
      </c>
      <c r="K14" s="1">
        <v>0</v>
      </c>
    </row>
    <row r="15" spans="1:11" x14ac:dyDescent="0.2">
      <c r="A15" t="s">
        <v>4</v>
      </c>
      <c r="B15" s="1">
        <f>+B12+B14</f>
        <v>23626231.662453018</v>
      </c>
      <c r="C15" s="1">
        <f>+C12+C14</f>
        <v>176100.99977794895</v>
      </c>
      <c r="D15" s="1">
        <f>+D12+D14</f>
        <v>185125.11676495208</v>
      </c>
      <c r="E15" s="1">
        <f>+E12+E14</f>
        <v>4487796.6281647505</v>
      </c>
      <c r="G15" s="1">
        <f>+G12+G14</f>
        <v>6898473.1818573689</v>
      </c>
      <c r="H15" s="1">
        <f>+H12+H14</f>
        <v>8242306.6909819609</v>
      </c>
      <c r="I15" s="1">
        <f>+I12+I14</f>
        <v>0</v>
      </c>
      <c r="J15" s="1">
        <f>+J12+J14</f>
        <v>0</v>
      </c>
      <c r="K15" s="1">
        <f>SUM(B15:J15)</f>
        <v>43616034.280000001</v>
      </c>
    </row>
    <row r="17" spans="1:11" x14ac:dyDescent="0.2">
      <c r="A17" t="s">
        <v>6</v>
      </c>
      <c r="B17" s="1">
        <f>B$9/($K$9-$J$9-$I$9-$H$9)*-$H$17</f>
        <v>5505064.3680136986</v>
      </c>
      <c r="C17" s="1">
        <f>C$9/($K$9-$J$9-$I$9-$H$9)*-$H$17</f>
        <v>41032.668810652016</v>
      </c>
      <c r="D17" s="1">
        <f>D$9/($K$9-$J$9-$I$9-$H$9)*-$H$17</f>
        <v>43135.346274738993</v>
      </c>
      <c r="E17" s="1">
        <f>E$9/($K$9-$J$9-$I$9-$H$9)*-$H$17</f>
        <v>1045685.5609294701</v>
      </c>
      <c r="G17" s="1">
        <f>G$9/($K$9-$J$9-$I$9-$H$9)*-$H$17</f>
        <v>1607388.7469533994</v>
      </c>
      <c r="H17" s="1">
        <f>-H15</f>
        <v>-8242306.6909819609</v>
      </c>
      <c r="K17" s="1">
        <v>0</v>
      </c>
    </row>
    <row r="18" spans="1:11" x14ac:dyDescent="0.2">
      <c r="A18" t="s">
        <v>4</v>
      </c>
      <c r="B18" s="1">
        <f>+B15+B17</f>
        <v>29131296.030466717</v>
      </c>
      <c r="C18" s="1">
        <f>+C15+C17</f>
        <v>217133.66858860097</v>
      </c>
      <c r="D18" s="1">
        <f>+D15+D17</f>
        <v>228260.46303969107</v>
      </c>
      <c r="E18" s="1">
        <f>+E15+E17</f>
        <v>5533482.1890942203</v>
      </c>
      <c r="G18" s="1">
        <f>+G15+G17</f>
        <v>8505861.9288107678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43616034.280000001</v>
      </c>
    </row>
    <row r="20" spans="1:11" x14ac:dyDescent="0.2">
      <c r="A20" t="s">
        <v>7</v>
      </c>
      <c r="B20" s="1">
        <f>B$9/($K$9-$J$9-$I$9-$H$9-$G$9)*-$G$20</f>
        <v>7057407.1629150007</v>
      </c>
      <c r="C20" s="1">
        <f>C$9/($K$9-$J$9-$I$9-$H$9-$G$9)*-$G$20</f>
        <v>52603.245197349141</v>
      </c>
      <c r="D20" s="1">
        <f>D$9/($K$9-$J$9-$I$9-$H$9-$G$9)*-$G$20</f>
        <v>55298.845103967782</v>
      </c>
      <c r="E20" s="1">
        <f>E$9/($K$9-$J$9-$I$9-$H$9-$G$9)*-$G$20</f>
        <v>1340552.6755944497</v>
      </c>
      <c r="G20" s="1">
        <f>-G18</f>
        <v>-8505861.9288107678</v>
      </c>
      <c r="K20" s="1">
        <f>SUM(B20:J20)</f>
        <v>0</v>
      </c>
    </row>
    <row r="22" spans="1:11" x14ac:dyDescent="0.2">
      <c r="A22" t="s">
        <v>8</v>
      </c>
      <c r="B22" s="1">
        <f>+B20+B18</f>
        <v>36188703.193381719</v>
      </c>
      <c r="C22" s="1">
        <f t="shared" ref="C22:K22" si="3">+C20+C18</f>
        <v>269736.91378595011</v>
      </c>
      <c r="D22" s="1">
        <f t="shared" si="3"/>
        <v>283559.30814365885</v>
      </c>
      <c r="E22" s="1">
        <f t="shared" si="3"/>
        <v>6874034.8646886703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43616034.280000001</v>
      </c>
    </row>
    <row r="27" spans="1:11" x14ac:dyDescent="0.2">
      <c r="A27" t="s">
        <v>9</v>
      </c>
      <c r="B27" s="1">
        <f>+B9</f>
        <v>17465931.359999999</v>
      </c>
    </row>
    <row r="28" spans="1:11" x14ac:dyDescent="0.2">
      <c r="A28" t="s">
        <v>10</v>
      </c>
      <c r="B28" s="1">
        <f>+B22-B27</f>
        <v>18722771.83338172</v>
      </c>
    </row>
    <row r="29" spans="1:11" x14ac:dyDescent="0.2">
      <c r="A29" s="28" t="s">
        <v>169</v>
      </c>
      <c r="B29" s="1">
        <v>3409</v>
      </c>
    </row>
    <row r="30" spans="1:11" x14ac:dyDescent="0.2">
      <c r="A30" t="s">
        <v>11</v>
      </c>
      <c r="B30" s="1">
        <f>+B28/B29</f>
        <v>5492.1595287127366</v>
      </c>
    </row>
  </sheetData>
  <phoneticPr fontId="0" type="noConversion"/>
  <pageMargins left="0.64" right="0.55000000000000004" top="1" bottom="0.51" header="0.5" footer="0.5"/>
  <pageSetup scale="10" orientation="landscape" horizontalDpi="4294967294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9">
    <pageSetUpPr fitToPage="1"/>
  </sheetPr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2.140625" style="1" customWidth="1"/>
    <col min="9" max="10" width="11" style="1" customWidth="1"/>
    <col min="11" max="11" width="14.42578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Table'!B44</f>
        <v>65896037.890000001</v>
      </c>
      <c r="C9" s="1">
        <f>'Master Expend Table'!C44</f>
        <v>987583.29</v>
      </c>
      <c r="D9" s="1">
        <f>'Master Expend Table'!D44</f>
        <v>1505603.94</v>
      </c>
      <c r="E9" s="1">
        <f>'Master Expend Table'!E44</f>
        <v>6627614.8899999997</v>
      </c>
      <c r="G9" s="1">
        <f>'Master Expend Table'!G44</f>
        <v>21392367.120000001</v>
      </c>
      <c r="H9" s="1">
        <f>'Master Expend Table'!H44</f>
        <v>11488022.33</v>
      </c>
      <c r="I9" s="1">
        <f>'Master Expend Table'!I44</f>
        <v>23177203.059999999</v>
      </c>
      <c r="J9" s="1">
        <f>'Master Expend Table'!J44</f>
        <v>14381549.1</v>
      </c>
      <c r="K9" s="1">
        <f>SUM(B9:J9)</f>
        <v>145455981.62</v>
      </c>
    </row>
    <row r="11" spans="1:11" x14ac:dyDescent="0.2">
      <c r="A11" t="s">
        <v>3</v>
      </c>
      <c r="B11" s="1">
        <f>(B9/($K9-$J9))*-$J$11</f>
        <v>7230144.6299673459</v>
      </c>
      <c r="C11" s="1">
        <f t="shared" ref="C11:I11" si="0">(C9/($K9-$J9))*-$J$11</f>
        <v>108358.10846106372</v>
      </c>
      <c r="D11" s="1">
        <f t="shared" si="0"/>
        <v>165195.58064811412</v>
      </c>
      <c r="E11" s="1">
        <f t="shared" si="0"/>
        <v>727185.05908375676</v>
      </c>
      <c r="G11" s="1">
        <f t="shared" si="0"/>
        <v>2347180.6986809727</v>
      </c>
      <c r="H11" s="1">
        <f t="shared" si="0"/>
        <v>1260471.2759338627</v>
      </c>
      <c r="I11" s="1">
        <f t="shared" si="0"/>
        <v>2543013.7472248822</v>
      </c>
      <c r="J11" s="1">
        <f>-J9</f>
        <v>-14381549.1</v>
      </c>
      <c r="K11" s="1">
        <v>0</v>
      </c>
    </row>
    <row r="12" spans="1:11" x14ac:dyDescent="0.2">
      <c r="A12" t="s">
        <v>4</v>
      </c>
      <c r="B12" s="1">
        <f>+B9+B11</f>
        <v>73126182.519967347</v>
      </c>
      <c r="C12" s="1">
        <f t="shared" ref="C12:J12" si="1">+C9+C11</f>
        <v>1095941.3984610639</v>
      </c>
      <c r="D12" s="1">
        <f t="shared" si="1"/>
        <v>1670799.5206481142</v>
      </c>
      <c r="E12" s="1">
        <f t="shared" si="1"/>
        <v>7354799.9490837567</v>
      </c>
      <c r="G12" s="1">
        <f t="shared" si="1"/>
        <v>23739547.818680972</v>
      </c>
      <c r="H12" s="1">
        <f t="shared" si="1"/>
        <v>12748493.605933864</v>
      </c>
      <c r="I12" s="1">
        <f t="shared" si="1"/>
        <v>25720216.807224881</v>
      </c>
      <c r="J12" s="1">
        <f t="shared" si="1"/>
        <v>0</v>
      </c>
      <c r="K12" s="1">
        <f>SUM(B12:J12)</f>
        <v>145455981.61999997</v>
      </c>
    </row>
    <row r="14" spans="1:11" x14ac:dyDescent="0.2">
      <c r="A14" t="s">
        <v>5</v>
      </c>
      <c r="B14" s="1">
        <f>B$9/($K$9-$J$9-$I$9)*-I14</f>
        <v>15708099.176876729</v>
      </c>
      <c r="C14" s="1">
        <f t="shared" ref="C14:H14" si="2">C$9/($K$9-$J$9-$I$9)*-$I$14</f>
        <v>235417.13222033312</v>
      </c>
      <c r="D14" s="1">
        <f t="shared" si="2"/>
        <v>358901.33561740851</v>
      </c>
      <c r="E14" s="1">
        <f t="shared" si="2"/>
        <v>1579870.8895374064</v>
      </c>
      <c r="G14" s="1">
        <f t="shared" si="2"/>
        <v>5099448.086849411</v>
      </c>
      <c r="H14" s="1">
        <f t="shared" si="2"/>
        <v>2738480.1861235918</v>
      </c>
      <c r="I14" s="1">
        <f>-I12</f>
        <v>-25720216.807224881</v>
      </c>
      <c r="K14" s="1">
        <v>0</v>
      </c>
    </row>
    <row r="15" spans="1:11" x14ac:dyDescent="0.2">
      <c r="A15" t="s">
        <v>4</v>
      </c>
      <c r="B15" s="1">
        <f>+B12+B14</f>
        <v>88834281.696844071</v>
      </c>
      <c r="C15" s="1">
        <f>+C12+C14</f>
        <v>1331358.5306813971</v>
      </c>
      <c r="D15" s="1">
        <f>+D12+D14</f>
        <v>2029700.8562655225</v>
      </c>
      <c r="E15" s="1">
        <f>+E12+E14</f>
        <v>8934670.8386211637</v>
      </c>
      <c r="G15" s="1">
        <f>+G12+G14</f>
        <v>28838995.905530382</v>
      </c>
      <c r="H15" s="1">
        <f>+H12+H14</f>
        <v>15486973.792057455</v>
      </c>
      <c r="I15" s="1">
        <f>+I12+I14</f>
        <v>0</v>
      </c>
      <c r="J15" s="1">
        <f>+J12+J14</f>
        <v>0</v>
      </c>
      <c r="K15" s="1">
        <f>SUM(B15:J15)</f>
        <v>145455981.62</v>
      </c>
    </row>
    <row r="17" spans="1:11" x14ac:dyDescent="0.2">
      <c r="A17" t="s">
        <v>6</v>
      </c>
      <c r="B17" s="1">
        <f>B$9/($K$9-$J$9-$I$9-$H$9)*-$H$17</f>
        <v>10585401.977497363</v>
      </c>
      <c r="C17" s="1">
        <f>C$9/($K$9-$J$9-$I$9-$H$9)*-$H$17</f>
        <v>158643.31825777018</v>
      </c>
      <c r="D17" s="1">
        <f>D$9/($K$9-$J$9-$I$9-$H$9)*-$H$17</f>
        <v>241857.07417505281</v>
      </c>
      <c r="E17" s="1">
        <f>E$9/($K$9-$J$9-$I$9-$H$9)*-$H$17</f>
        <v>1064646.2216712947</v>
      </c>
      <c r="G17" s="1">
        <f>G$9/($K$9-$J$9-$I$9-$H$9)*-$H$17</f>
        <v>3436425.200455972</v>
      </c>
      <c r="H17" s="1">
        <f>-H15</f>
        <v>-15486973.792057455</v>
      </c>
      <c r="K17" s="1">
        <v>0</v>
      </c>
    </row>
    <row r="18" spans="1:11" x14ac:dyDescent="0.2">
      <c r="A18" t="s">
        <v>4</v>
      </c>
      <c r="B18" s="1">
        <f>+B15+B17</f>
        <v>99419683.67434144</v>
      </c>
      <c r="C18" s="1">
        <f>+C15+C17</f>
        <v>1490001.8489391673</v>
      </c>
      <c r="D18" s="1">
        <f>+D15+D17</f>
        <v>2271557.9304405754</v>
      </c>
      <c r="E18" s="1">
        <f>+E15+E17</f>
        <v>9999317.0602924582</v>
      </c>
      <c r="G18" s="1">
        <f>+G15+G17</f>
        <v>32275421.105986353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145455981.61999997</v>
      </c>
    </row>
    <row r="20" spans="1:11" x14ac:dyDescent="0.2">
      <c r="A20" t="s">
        <v>7</v>
      </c>
      <c r="B20" s="1">
        <f>B$9/($K$9-$J$9-$I$9-$H$9-$G$9)*-$G$20</f>
        <v>28351265.820211433</v>
      </c>
      <c r="C20" s="1">
        <f>C$9/($K$9-$J$9-$I$9-$H$9-$G$9)*-$G$20</f>
        <v>424900.14985617145</v>
      </c>
      <c r="D20" s="1">
        <f>D$9/($K$9-$J$9-$I$9-$H$9-$G$9)*-$G$20</f>
        <v>647774.56869490189</v>
      </c>
      <c r="E20" s="1">
        <f>E$9/($K$9-$J$9-$I$9-$H$9-$G$9)*-$G$20</f>
        <v>2851480.5672238469</v>
      </c>
      <c r="G20" s="1">
        <f>-G18</f>
        <v>-32275421.105986353</v>
      </c>
      <c r="K20" s="1">
        <f>SUM(B20:J20)</f>
        <v>0</v>
      </c>
    </row>
    <row r="22" spans="1:11" x14ac:dyDescent="0.2">
      <c r="A22" t="s">
        <v>8</v>
      </c>
      <c r="B22" s="1">
        <f>+B20+B18</f>
        <v>127770949.49455288</v>
      </c>
      <c r="C22" s="1">
        <f t="shared" ref="C22:K22" si="3">+C20+C18</f>
        <v>1914901.9987953389</v>
      </c>
      <c r="D22" s="1">
        <f t="shared" si="3"/>
        <v>2919332.4991354775</v>
      </c>
      <c r="E22" s="1">
        <f t="shared" si="3"/>
        <v>12850797.627516305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145455981.61999997</v>
      </c>
    </row>
    <row r="27" spans="1:11" x14ac:dyDescent="0.2">
      <c r="A27" t="s">
        <v>9</v>
      </c>
      <c r="B27" s="1">
        <f>+B9</f>
        <v>65896037.890000001</v>
      </c>
    </row>
    <row r="28" spans="1:11" x14ac:dyDescent="0.2">
      <c r="A28" t="s">
        <v>10</v>
      </c>
      <c r="B28" s="1">
        <f>+B22-B27</f>
        <v>61874911.60455288</v>
      </c>
    </row>
    <row r="29" spans="1:11" x14ac:dyDescent="0.2">
      <c r="A29" s="28" t="s">
        <v>169</v>
      </c>
      <c r="B29" s="1">
        <v>8439</v>
      </c>
    </row>
    <row r="30" spans="1:11" x14ac:dyDescent="0.2">
      <c r="A30" t="s">
        <v>11</v>
      </c>
      <c r="B30" s="1">
        <f>+B28/B29</f>
        <v>7332.0193867227017</v>
      </c>
    </row>
  </sheetData>
  <phoneticPr fontId="0" type="noConversion"/>
  <pageMargins left="0.59" right="0.55000000000000004" top="1" bottom="0.56000000000000005" header="0.5" footer="0.5"/>
  <pageSetup scale="10" orientation="landscape" horizontalDpi="4294967294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0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Table'!B45</f>
        <v>16715889.220000001</v>
      </c>
      <c r="C9" s="1">
        <f>'Master Expend Table'!C45</f>
        <v>0</v>
      </c>
      <c r="D9" s="1">
        <f>'Master Expend Table'!D45</f>
        <v>528923.18000000005</v>
      </c>
      <c r="E9" s="1">
        <f>'Master Expend Table'!E45</f>
        <v>1055189.69</v>
      </c>
      <c r="G9" s="1">
        <f>'Master Expend Table'!G45</f>
        <v>3664965.33</v>
      </c>
      <c r="H9" s="1">
        <f>'Master Expend Table'!H45</f>
        <v>3505365.12</v>
      </c>
      <c r="I9" s="1">
        <f>'Master Expend Table'!I45</f>
        <v>4757791.43</v>
      </c>
      <c r="J9" s="1">
        <f>'Master Expend Table'!J45</f>
        <v>3158442.09</v>
      </c>
      <c r="K9" s="1">
        <f>SUM(B9:J9)</f>
        <v>33386566.060000002</v>
      </c>
    </row>
    <row r="11" spans="1:11" x14ac:dyDescent="0.2">
      <c r="A11" t="s">
        <v>3</v>
      </c>
      <c r="B11" s="1">
        <f>(B9/($K9-$J9))*-$J$11</f>
        <v>1746590.9606769842</v>
      </c>
      <c r="C11" s="1">
        <f t="shared" ref="C11:I11" si="0">(C9/($K9-$J9))*-$J$11</f>
        <v>0</v>
      </c>
      <c r="D11" s="1">
        <f t="shared" si="0"/>
        <v>55265.528080624914</v>
      </c>
      <c r="E11" s="1">
        <f t="shared" si="0"/>
        <v>110253.46902565491</v>
      </c>
      <c r="G11" s="1">
        <f t="shared" si="0"/>
        <v>382940.75967635174</v>
      </c>
      <c r="H11" s="1">
        <f t="shared" si="0"/>
        <v>366264.63312158699</v>
      </c>
      <c r="I11" s="1">
        <f t="shared" si="0"/>
        <v>497126.73941879714</v>
      </c>
      <c r="J11" s="1">
        <f>-J9</f>
        <v>-3158442.09</v>
      </c>
      <c r="K11" s="1">
        <v>0</v>
      </c>
    </row>
    <row r="12" spans="1:11" x14ac:dyDescent="0.2">
      <c r="A12" t="s">
        <v>4</v>
      </c>
      <c r="B12" s="1">
        <f>+B9+B11</f>
        <v>18462480.180676986</v>
      </c>
      <c r="C12" s="1">
        <f t="shared" ref="C12:J12" si="1">+C9+C11</f>
        <v>0</v>
      </c>
      <c r="D12" s="1">
        <f t="shared" si="1"/>
        <v>584188.70808062493</v>
      </c>
      <c r="E12" s="1">
        <f t="shared" si="1"/>
        <v>1165443.1590256549</v>
      </c>
      <c r="G12" s="1">
        <f t="shared" si="1"/>
        <v>4047906.0896763518</v>
      </c>
      <c r="H12" s="1">
        <f t="shared" si="1"/>
        <v>3871629.753121587</v>
      </c>
      <c r="I12" s="1">
        <f t="shared" si="1"/>
        <v>5254918.1694187969</v>
      </c>
      <c r="J12" s="1">
        <f t="shared" si="1"/>
        <v>0</v>
      </c>
      <c r="K12" s="1">
        <f>SUM(B12:J12)</f>
        <v>33386566.059999999</v>
      </c>
    </row>
    <row r="14" spans="1:11" x14ac:dyDescent="0.2">
      <c r="A14" t="s">
        <v>5</v>
      </c>
      <c r="B14" s="1">
        <f>B$9/($K$9-$J$9-$I$9)*-I14</f>
        <v>3448742.9578008088</v>
      </c>
      <c r="C14" s="1">
        <f t="shared" ref="C14:H14" si="2">C$9/($K$9-$J$9-$I$9)*-$I$14</f>
        <v>0</v>
      </c>
      <c r="D14" s="1">
        <f t="shared" si="2"/>
        <v>109124.92109962726</v>
      </c>
      <c r="E14" s="1">
        <f t="shared" si="2"/>
        <v>217701.73064903324</v>
      </c>
      <c r="G14" s="1">
        <f t="shared" si="2"/>
        <v>756138.25899844163</v>
      </c>
      <c r="H14" s="1">
        <f t="shared" si="2"/>
        <v>723210.30087088526</v>
      </c>
      <c r="I14" s="1">
        <f>-I12</f>
        <v>-5254918.1694187969</v>
      </c>
      <c r="K14" s="1">
        <v>0</v>
      </c>
    </row>
    <row r="15" spans="1:11" x14ac:dyDescent="0.2">
      <c r="A15" t="s">
        <v>4</v>
      </c>
      <c r="B15" s="1">
        <f>+B12+B14</f>
        <v>21911223.138477795</v>
      </c>
      <c r="C15" s="1">
        <f>+C12+C14</f>
        <v>0</v>
      </c>
      <c r="D15" s="1">
        <f>+D12+D14</f>
        <v>693313.6291802522</v>
      </c>
      <c r="E15" s="1">
        <f>+E12+E14</f>
        <v>1383144.8896746882</v>
      </c>
      <c r="G15" s="1">
        <f>+G12+G14</f>
        <v>4804044.3486747937</v>
      </c>
      <c r="H15" s="1">
        <f>+H12+H14</f>
        <v>4594840.0539924726</v>
      </c>
      <c r="I15" s="1">
        <f>+I12+I14</f>
        <v>0</v>
      </c>
      <c r="J15" s="1">
        <f>+J12+J14</f>
        <v>0</v>
      </c>
      <c r="K15" s="1">
        <f>SUM(B15:J15)</f>
        <v>33386566.060000002</v>
      </c>
    </row>
    <row r="17" spans="1:11" x14ac:dyDescent="0.2">
      <c r="A17" t="s">
        <v>6</v>
      </c>
      <c r="B17" s="1">
        <f>B$9/($K$9-$J$9-$I$9-$H$9)*-$H$17</f>
        <v>3496788.1289102766</v>
      </c>
      <c r="C17" s="1">
        <f>C$9/($K$9-$J$9-$I$9-$H$9)*-$H$17</f>
        <v>0</v>
      </c>
      <c r="D17" s="1">
        <f>D$9/($K$9-$J$9-$I$9-$H$9)*-$H$17</f>
        <v>110645.16356788069</v>
      </c>
      <c r="E17" s="1">
        <f>E$9/($K$9-$J$9-$I$9-$H$9)*-$H$17</f>
        <v>220734.57972704337</v>
      </c>
      <c r="G17" s="1">
        <f>G$9/($K$9-$J$9-$I$9-$H$9)*-$H$17</f>
        <v>766672.18178727163</v>
      </c>
      <c r="H17" s="1">
        <f>-H15</f>
        <v>-4594840.0539924726</v>
      </c>
      <c r="K17" s="1">
        <v>0</v>
      </c>
    </row>
    <row r="18" spans="1:11" x14ac:dyDescent="0.2">
      <c r="A18" t="s">
        <v>4</v>
      </c>
      <c r="B18" s="1">
        <f>+B15+B17</f>
        <v>25408011.267388072</v>
      </c>
      <c r="C18" s="1">
        <f>+C15+C17</f>
        <v>0</v>
      </c>
      <c r="D18" s="1">
        <f>+D15+D17</f>
        <v>803958.79274813295</v>
      </c>
      <c r="E18" s="1">
        <f>+E15+E17</f>
        <v>1603879.4694017316</v>
      </c>
      <c r="G18" s="1">
        <f>+G15+G17</f>
        <v>5570716.5304620657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33386566.060000002</v>
      </c>
    </row>
    <row r="20" spans="1:11" x14ac:dyDescent="0.2">
      <c r="A20" t="s">
        <v>7</v>
      </c>
      <c r="B20" s="1">
        <f>B$9/($K$9-$J$9-$I$9-$H$9-$G$9)*-$G$20</f>
        <v>5088495.6155339228</v>
      </c>
      <c r="C20" s="1">
        <f>C$9/($K$9-$J$9-$I$9-$H$9-$G$9)*-$G$20</f>
        <v>0</v>
      </c>
      <c r="D20" s="1">
        <f>D$9/($K$9-$J$9-$I$9-$H$9-$G$9)*-$G$20</f>
        <v>161009.87790491353</v>
      </c>
      <c r="E20" s="1">
        <f>E$9/($K$9-$J$9-$I$9-$H$9-$G$9)*-$G$20</f>
        <v>321211.03702322807</v>
      </c>
      <c r="G20" s="1">
        <f>-G18</f>
        <v>-5570716.5304620657</v>
      </c>
      <c r="K20" s="1">
        <f>SUM(B20:J20)</f>
        <v>0</v>
      </c>
    </row>
    <row r="22" spans="1:11" x14ac:dyDescent="0.2">
      <c r="A22" t="s">
        <v>8</v>
      </c>
      <c r="B22" s="1">
        <f>+B20+B18</f>
        <v>30496506.882921994</v>
      </c>
      <c r="C22" s="1">
        <f t="shared" ref="C22:K22" si="3">+C20+C18</f>
        <v>0</v>
      </c>
      <c r="D22" s="1">
        <f t="shared" si="3"/>
        <v>964968.67065304646</v>
      </c>
      <c r="E22" s="1">
        <f t="shared" si="3"/>
        <v>1925090.5064249597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33386566.060000002</v>
      </c>
    </row>
    <row r="27" spans="1:11" x14ac:dyDescent="0.2">
      <c r="A27" t="s">
        <v>9</v>
      </c>
      <c r="B27" s="1">
        <f>+B9</f>
        <v>16715889.220000001</v>
      </c>
    </row>
    <row r="28" spans="1:11" x14ac:dyDescent="0.2">
      <c r="A28" t="s">
        <v>10</v>
      </c>
      <c r="B28" s="1">
        <f>+B22-B27</f>
        <v>13780617.662921993</v>
      </c>
    </row>
    <row r="29" spans="1:11" x14ac:dyDescent="0.2">
      <c r="A29" s="28" t="s">
        <v>169</v>
      </c>
      <c r="B29" s="1">
        <v>2819</v>
      </c>
    </row>
    <row r="30" spans="1:11" x14ac:dyDescent="0.2">
      <c r="A30" t="s">
        <v>11</v>
      </c>
      <c r="B30" s="1">
        <f>+B28/B29</f>
        <v>4888.4773547080504</v>
      </c>
    </row>
  </sheetData>
  <phoneticPr fontId="0" type="noConversion"/>
  <pageMargins left="0.57999999999999996" right="0.55000000000000004" top="1" bottom="0.5" header="0.5" footer="0.5"/>
  <pageSetup scale="10" orientation="landscape" horizontalDpi="4294967294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1">
    <pageSetUpPr fitToPage="1"/>
  </sheetPr>
  <dimension ref="A1:K30"/>
  <sheetViews>
    <sheetView zoomScale="75" workbookViewId="0">
      <selection activeCell="B30" sqref="B30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0.5703125" style="1" customWidth="1"/>
    <col min="9" max="9" width="11" style="1" customWidth="1"/>
    <col min="10" max="10" width="10.28515625" style="1" customWidth="1"/>
    <col min="11" max="11" width="13.570312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Table'!B46</f>
        <v>48208970.890000001</v>
      </c>
      <c r="C9" s="1">
        <f>'Master Expend Table'!C46</f>
        <v>49592.58</v>
      </c>
      <c r="D9" s="1">
        <f>'Master Expend Table'!D46</f>
        <v>208257.7</v>
      </c>
      <c r="E9" s="1">
        <f>'Master Expend Table'!E46</f>
        <v>3248616.07</v>
      </c>
      <c r="G9" s="1">
        <f>'Master Expend Table'!G46</f>
        <v>14104026.720000001</v>
      </c>
      <c r="H9" s="1">
        <f>'Master Expend Table'!H46</f>
        <v>6349322.1500000004</v>
      </c>
      <c r="I9" s="1">
        <f>'Master Expend Table'!I46</f>
        <v>16659216.460000001</v>
      </c>
      <c r="J9" s="1">
        <f>'Master Expend Table'!J46</f>
        <v>10063069.27</v>
      </c>
      <c r="K9" s="1">
        <f>SUM(B9:J9)</f>
        <v>98891071.839999989</v>
      </c>
    </row>
    <row r="11" spans="1:11" x14ac:dyDescent="0.2">
      <c r="A11" t="s">
        <v>3</v>
      </c>
      <c r="B11" s="1">
        <f>(B9/($K9-$J9))*-$J$11</f>
        <v>5461455.8412385965</v>
      </c>
      <c r="C11" s="1">
        <f t="shared" ref="C11:I11" si="0">(C9/($K9-$J9))*-$J$11</f>
        <v>5618.2009431625193</v>
      </c>
      <c r="D11" s="1">
        <f t="shared" si="0"/>
        <v>23592.916653274682</v>
      </c>
      <c r="E11" s="1">
        <f t="shared" si="0"/>
        <v>368026.38355267892</v>
      </c>
      <c r="G11" s="1">
        <f t="shared" si="0"/>
        <v>1597804.6760360799</v>
      </c>
      <c r="H11" s="1">
        <f t="shared" si="0"/>
        <v>719296.46918092726</v>
      </c>
      <c r="I11" s="1">
        <f t="shared" si="0"/>
        <v>1887274.7823952807</v>
      </c>
      <c r="J11" s="1">
        <f>-J9</f>
        <v>-10063069.27</v>
      </c>
      <c r="K11" s="1">
        <v>0</v>
      </c>
    </row>
    <row r="12" spans="1:11" x14ac:dyDescent="0.2">
      <c r="A12" t="s">
        <v>4</v>
      </c>
      <c r="B12" s="1">
        <f>+B9+B11</f>
        <v>53670426.731238596</v>
      </c>
      <c r="C12" s="1">
        <f t="shared" ref="C12:J12" si="1">+C9+C11</f>
        <v>55210.780943162521</v>
      </c>
      <c r="D12" s="1">
        <f t="shared" si="1"/>
        <v>231850.61665327469</v>
      </c>
      <c r="E12" s="1">
        <f t="shared" si="1"/>
        <v>3616642.4535526787</v>
      </c>
      <c r="G12" s="1">
        <f t="shared" si="1"/>
        <v>15701831.396036081</v>
      </c>
      <c r="H12" s="1">
        <f t="shared" si="1"/>
        <v>7068618.619180928</v>
      </c>
      <c r="I12" s="1">
        <f t="shared" si="1"/>
        <v>18546491.242395282</v>
      </c>
      <c r="J12" s="1">
        <f t="shared" si="1"/>
        <v>0</v>
      </c>
      <c r="K12" s="1">
        <f>SUM(B12:J12)</f>
        <v>98891071.840000004</v>
      </c>
    </row>
    <row r="14" spans="1:11" x14ac:dyDescent="0.2">
      <c r="A14" t="s">
        <v>5</v>
      </c>
      <c r="B14" s="1">
        <f>B$9/($K$9-$J$9-$I$9)*-I14</f>
        <v>12389113.141704669</v>
      </c>
      <c r="C14" s="1">
        <f t="shared" ref="C14:H14" si="2">C$9/($K$9-$J$9-$I$9)*-$I$14</f>
        <v>12744.683681610944</v>
      </c>
      <c r="D14" s="1">
        <f t="shared" si="2"/>
        <v>53519.669893355574</v>
      </c>
      <c r="E14" s="1">
        <f t="shared" si="2"/>
        <v>834854.4119936506</v>
      </c>
      <c r="G14" s="1">
        <f t="shared" si="2"/>
        <v>3624561.5610921783</v>
      </c>
      <c r="H14" s="1">
        <f t="shared" si="2"/>
        <v>1631697.7740298233</v>
      </c>
      <c r="I14" s="1">
        <f>-I12</f>
        <v>-18546491.242395282</v>
      </c>
      <c r="K14" s="1">
        <v>0</v>
      </c>
    </row>
    <row r="15" spans="1:11" x14ac:dyDescent="0.2">
      <c r="A15" t="s">
        <v>4</v>
      </c>
      <c r="B15" s="1">
        <f>+B12+B14</f>
        <v>66059539.872943267</v>
      </c>
      <c r="C15" s="1">
        <f>+C12+C14</f>
        <v>67955.464624773464</v>
      </c>
      <c r="D15" s="1">
        <f>+D12+D14</f>
        <v>285370.28654663026</v>
      </c>
      <c r="E15" s="1">
        <f>+E12+E14</f>
        <v>4451496.8655463289</v>
      </c>
      <c r="G15" s="1">
        <f>+G12+G14</f>
        <v>19326392.95712826</v>
      </c>
      <c r="H15" s="1">
        <f>+H12+H14</f>
        <v>8700316.3932107519</v>
      </c>
      <c r="I15" s="1">
        <f>+I12+I14</f>
        <v>0</v>
      </c>
      <c r="J15" s="1">
        <f>+J12+J14</f>
        <v>0</v>
      </c>
      <c r="K15" s="1">
        <f>SUM(B15:J15)</f>
        <v>98891071.840000004</v>
      </c>
    </row>
    <row r="17" spans="1:11" x14ac:dyDescent="0.2">
      <c r="A17" t="s">
        <v>6</v>
      </c>
      <c r="B17" s="1">
        <f>B$9/($K$9-$J$9-$I$9-$H$9)*-$H$17</f>
        <v>6372481.2464134656</v>
      </c>
      <c r="C17" s="1">
        <f>C$9/($K$9-$J$9-$I$9-$H$9)*-$H$17</f>
        <v>6555.3729975350561</v>
      </c>
      <c r="D17" s="1">
        <f>D$9/($K$9-$J$9-$I$9-$H$9)*-$H$17</f>
        <v>27528.450891418765</v>
      </c>
      <c r="E17" s="1">
        <f>E$9/($K$9-$J$9-$I$9-$H$9)*-$H$17</f>
        <v>429416.86164818308</v>
      </c>
      <c r="G17" s="1">
        <f>G$9/($K$9-$J$9-$I$9-$H$9)*-$H$17</f>
        <v>1864334.4612601507</v>
      </c>
      <c r="H17" s="1">
        <f>-H15</f>
        <v>-8700316.3932107519</v>
      </c>
      <c r="K17" s="1">
        <v>0</v>
      </c>
    </row>
    <row r="18" spans="1:11" x14ac:dyDescent="0.2">
      <c r="A18" t="s">
        <v>4</v>
      </c>
      <c r="B18" s="1">
        <f>+B15+B17</f>
        <v>72432021.119356737</v>
      </c>
      <c r="C18" s="1">
        <f>+C15+C17</f>
        <v>74510.837622308522</v>
      </c>
      <c r="D18" s="1">
        <f>+D15+D17</f>
        <v>312898.73743804905</v>
      </c>
      <c r="E18" s="1">
        <f>+E15+E17</f>
        <v>4880913.7271945123</v>
      </c>
      <c r="G18" s="1">
        <f>+G15+G17</f>
        <v>21190727.418388411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98891071.840000033</v>
      </c>
    </row>
    <row r="20" spans="1:11" x14ac:dyDescent="0.2">
      <c r="A20" t="s">
        <v>7</v>
      </c>
      <c r="B20" s="1">
        <f>B$9/($K$9-$J$9-$I$9-$H$9-$G$9)*-$G$20</f>
        <v>19753930.65923563</v>
      </c>
      <c r="C20" s="1">
        <f>C$9/($K$9-$J$9-$I$9-$H$9-$G$9)*-$G$20</f>
        <v>20320.873240955334</v>
      </c>
      <c r="D20" s="1">
        <f>D$9/($K$9-$J$9-$I$9-$H$9-$G$9)*-$G$20</f>
        <v>85334.909439131909</v>
      </c>
      <c r="E20" s="1">
        <f>E$9/($K$9-$J$9-$I$9-$H$9-$G$9)*-$G$20</f>
        <v>1331140.9764726995</v>
      </c>
      <c r="G20" s="1">
        <f>-G18</f>
        <v>-21190727.418388411</v>
      </c>
      <c r="K20" s="1">
        <f>SUM(B20:J20)</f>
        <v>0</v>
      </c>
    </row>
    <row r="22" spans="1:11" x14ac:dyDescent="0.2">
      <c r="A22" t="s">
        <v>8</v>
      </c>
      <c r="B22" s="1">
        <f>+B20+B18</f>
        <v>92185951.778592363</v>
      </c>
      <c r="C22" s="1">
        <f t="shared" ref="C22:K22" si="3">+C20+C18</f>
        <v>94831.710863263856</v>
      </c>
      <c r="D22" s="1">
        <f t="shared" si="3"/>
        <v>398233.64687718096</v>
      </c>
      <c r="E22" s="1">
        <f t="shared" si="3"/>
        <v>6212054.7036672123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98891071.840000033</v>
      </c>
    </row>
    <row r="27" spans="1:11" x14ac:dyDescent="0.2">
      <c r="A27" t="s">
        <v>9</v>
      </c>
      <c r="B27" s="1">
        <f>+B9</f>
        <v>48208970.890000001</v>
      </c>
    </row>
    <row r="28" spans="1:11" x14ac:dyDescent="0.2">
      <c r="A28" t="s">
        <v>10</v>
      </c>
      <c r="B28" s="1">
        <f>+B22-B27</f>
        <v>43976980.888592362</v>
      </c>
    </row>
    <row r="29" spans="1:11" x14ac:dyDescent="0.2">
      <c r="A29" s="28" t="s">
        <v>169</v>
      </c>
      <c r="B29" s="1">
        <v>6610</v>
      </c>
    </row>
    <row r="30" spans="1:11" x14ac:dyDescent="0.2">
      <c r="A30" t="s">
        <v>11</v>
      </c>
      <c r="B30" s="1">
        <f>+B28/B29</f>
        <v>6653.0984702862879</v>
      </c>
    </row>
  </sheetData>
  <phoneticPr fontId="0" type="noConversion"/>
  <pageMargins left="0.61" right="0.55000000000000004" top="1" bottom="0.57999999999999996" header="0.5" footer="0.5"/>
  <pageSetup scale="10" orientation="landscape" horizontalDpi="4294967294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D51"/>
  <sheetViews>
    <sheetView workbookViewId="0">
      <selection activeCell="C6" sqref="C6:D46"/>
    </sheetView>
  </sheetViews>
  <sheetFormatPr defaultColWidth="9.140625" defaultRowHeight="12" x14ac:dyDescent="0.2"/>
  <cols>
    <col min="1" max="1" width="9.140625" style="26"/>
    <col min="2" max="2" width="34.140625" style="12" customWidth="1"/>
    <col min="3" max="3" width="10.5703125" style="27" bestFit="1" customWidth="1"/>
    <col min="4" max="16384" width="9.140625" style="12"/>
  </cols>
  <sheetData>
    <row r="1" spans="1:4" x14ac:dyDescent="0.2">
      <c r="B1" s="14" t="s">
        <v>68</v>
      </c>
    </row>
    <row r="2" spans="1:4" x14ac:dyDescent="0.2">
      <c r="B2" s="14" t="s">
        <v>170</v>
      </c>
    </row>
    <row r="5" spans="1:4" x14ac:dyDescent="0.2">
      <c r="A5" s="41" t="s">
        <v>120</v>
      </c>
      <c r="B5" s="13" t="s">
        <v>35</v>
      </c>
      <c r="C5" s="31" t="s">
        <v>10</v>
      </c>
      <c r="D5" s="32" t="s">
        <v>11</v>
      </c>
    </row>
    <row r="6" spans="1:4" x14ac:dyDescent="0.2">
      <c r="A6" s="41" t="s">
        <v>121</v>
      </c>
      <c r="B6" s="33" t="s">
        <v>109</v>
      </c>
      <c r="C6" s="31">
        <f>'ALEX TC'!B28</f>
        <v>10000419.038330782</v>
      </c>
      <c r="D6" s="31">
        <f>'ALEX TC'!B30</f>
        <v>5917.4077149886289</v>
      </c>
    </row>
    <row r="7" spans="1:4" x14ac:dyDescent="0.2">
      <c r="A7" s="41" t="s">
        <v>122</v>
      </c>
      <c r="B7" s="15" t="s">
        <v>110</v>
      </c>
      <c r="C7" s="31">
        <f>ARCCATC!B28</f>
        <v>33209479.784926061</v>
      </c>
      <c r="D7" s="31">
        <f>ARCCATC!B30</f>
        <v>5260.4910161454236</v>
      </c>
    </row>
    <row r="8" spans="1:4" x14ac:dyDescent="0.2">
      <c r="A8" s="41" t="s">
        <v>122</v>
      </c>
      <c r="B8" s="33" t="s">
        <v>70</v>
      </c>
      <c r="C8" s="31">
        <f>'ANOKARAM CC'!B28</f>
        <v>25036376.107484538</v>
      </c>
      <c r="D8" s="31">
        <f>'ANOKARAM CC'!B30</f>
        <v>4909.0933544087329</v>
      </c>
    </row>
    <row r="9" spans="1:4" x14ac:dyDescent="0.2">
      <c r="A9" s="41" t="s">
        <v>126</v>
      </c>
      <c r="B9" s="33" t="s">
        <v>71</v>
      </c>
      <c r="C9" s="34">
        <f>'ANOKA TC'!B28</f>
        <v>8118079.7200000025</v>
      </c>
      <c r="D9" s="34">
        <f>'ANOKA TC'!B30</f>
        <v>6692.5636603462508</v>
      </c>
    </row>
    <row r="10" spans="1:4" ht="24" x14ac:dyDescent="0.2">
      <c r="A10" s="41" t="s">
        <v>127</v>
      </c>
      <c r="B10" s="35" t="s">
        <v>76</v>
      </c>
      <c r="C10" s="31">
        <f>C11+C12</f>
        <v>30239279.721817318</v>
      </c>
      <c r="D10" s="34">
        <f>'BSU &amp; TC'!B30</f>
        <v>7075.1050432677666</v>
      </c>
    </row>
    <row r="11" spans="1:4" x14ac:dyDescent="0.2">
      <c r="A11" s="41" t="s">
        <v>127</v>
      </c>
      <c r="B11" s="35" t="s">
        <v>74</v>
      </c>
      <c r="C11" s="34">
        <f>'BEMIDJI SU'!B28</f>
        <v>25646791.190048169</v>
      </c>
      <c r="D11" s="34">
        <f>'BEMIDJI SU'!B30</f>
        <v>6826.4017008379478</v>
      </c>
    </row>
    <row r="12" spans="1:4" x14ac:dyDescent="0.2">
      <c r="A12" s="41" t="s">
        <v>128</v>
      </c>
      <c r="B12" s="35" t="s">
        <v>75</v>
      </c>
      <c r="C12" s="34">
        <f>'NTC-Bemidji'!B28</f>
        <v>4592488.5317691481</v>
      </c>
      <c r="D12" s="34">
        <f>'NTC-Bemidji'!B30</f>
        <v>9040.3317554510795</v>
      </c>
    </row>
    <row r="13" spans="1:4" x14ac:dyDescent="0.2">
      <c r="A13" s="41" t="s">
        <v>129</v>
      </c>
      <c r="B13" s="33" t="s">
        <v>39</v>
      </c>
      <c r="C13" s="34">
        <f>'CENTRAL LAKES'!B28</f>
        <v>12487736.431151368</v>
      </c>
      <c r="D13" s="34">
        <f>'CENTRAL LAKES'!B30</f>
        <v>4902.9196824308474</v>
      </c>
    </row>
    <row r="14" spans="1:4" ht="10.5" customHeight="1" x14ac:dyDescent="0.2">
      <c r="A14" s="41" t="s">
        <v>130</v>
      </c>
      <c r="B14" s="33" t="s">
        <v>40</v>
      </c>
      <c r="C14" s="34">
        <f>CENTURY!B28</f>
        <v>30886890.796050675</v>
      </c>
      <c r="D14" s="34">
        <f>CENTURY!B30</f>
        <v>5557.1951774110603</v>
      </c>
    </row>
    <row r="15" spans="1:4" ht="24" x14ac:dyDescent="0.2">
      <c r="A15" s="41" t="s">
        <v>131</v>
      </c>
      <c r="B15" s="33" t="s">
        <v>158</v>
      </c>
      <c r="C15" s="34">
        <f>Sheet2!B28</f>
        <v>25814552.678145159</v>
      </c>
      <c r="D15" s="34">
        <f>Sheet2!B30</f>
        <v>5815.3982153965217</v>
      </c>
    </row>
    <row r="16" spans="1:4" x14ac:dyDescent="0.2">
      <c r="A16" s="41" t="s">
        <v>131</v>
      </c>
      <c r="B16" s="35" t="s">
        <v>77</v>
      </c>
      <c r="C16" s="34">
        <f>'DAKCTY TC'!B28</f>
        <v>11142537.907181177</v>
      </c>
      <c r="D16" s="34">
        <f>'DAKCTY TC'!B30</f>
        <v>6129.0087498246303</v>
      </c>
    </row>
    <row r="17" spans="1:4" x14ac:dyDescent="0.2">
      <c r="A17" s="41" t="s">
        <v>132</v>
      </c>
      <c r="B17" s="35" t="s">
        <v>78</v>
      </c>
      <c r="C17" s="34">
        <f>'FDL CC'!B28</f>
        <v>4733363.120000001</v>
      </c>
      <c r="D17" s="34">
        <f>'FDL CC'!B30</f>
        <v>6022.0904834605608</v>
      </c>
    </row>
    <row r="18" spans="1:4" x14ac:dyDescent="0.2">
      <c r="A18" s="41" t="s">
        <v>133</v>
      </c>
      <c r="B18" s="35" t="s">
        <v>79</v>
      </c>
      <c r="C18" s="34">
        <f>'HENN TC'!B28</f>
        <v>20902547.698926404</v>
      </c>
      <c r="D18" s="34">
        <f>'HENN TC'!B30</f>
        <v>7707.429092524485</v>
      </c>
    </row>
    <row r="19" spans="1:4" x14ac:dyDescent="0.2">
      <c r="A19" s="41" t="s">
        <v>125</v>
      </c>
      <c r="B19" s="35" t="s">
        <v>80</v>
      </c>
      <c r="C19" s="34">
        <f>'INVER HILLS'!B28</f>
        <v>14793400.012002271</v>
      </c>
      <c r="D19" s="34">
        <f>'INVER HILLS'!B30</f>
        <v>5644.1816146517631</v>
      </c>
    </row>
    <row r="20" spans="1:4" x14ac:dyDescent="0.2">
      <c r="A20" s="41" t="s">
        <v>134</v>
      </c>
      <c r="B20" s="33" t="s">
        <v>41</v>
      </c>
      <c r="C20" s="34">
        <f>'LAKE SUPERIOR'!B28</f>
        <v>13667869.811602809</v>
      </c>
      <c r="D20" s="34">
        <f>'LAKE SUPERIOR'!B30</f>
        <v>4925.3584906676788</v>
      </c>
    </row>
    <row r="21" spans="1:4" x14ac:dyDescent="0.2">
      <c r="A21" s="41" t="s">
        <v>135</v>
      </c>
      <c r="B21" s="36" t="s">
        <v>81</v>
      </c>
      <c r="C21" s="34">
        <f>'METRO SU'!B28</f>
        <v>51376958.862320855</v>
      </c>
      <c r="D21" s="34">
        <f>'METRO SU'!B30</f>
        <v>8924.2589651417147</v>
      </c>
    </row>
    <row r="22" spans="1:4" x14ac:dyDescent="0.2">
      <c r="A22" s="41" t="s">
        <v>136</v>
      </c>
      <c r="B22" s="36" t="s">
        <v>82</v>
      </c>
      <c r="C22" s="34">
        <f>'MPLS COLLEGE'!B28</f>
        <v>25344804.081914965</v>
      </c>
      <c r="D22" s="34">
        <f>'MPLS COLLEGE'!B30</f>
        <v>6007.3012756375838</v>
      </c>
    </row>
    <row r="23" spans="1:4" x14ac:dyDescent="0.2">
      <c r="A23" s="41" t="s">
        <v>137</v>
      </c>
      <c r="B23" s="36" t="s">
        <v>83</v>
      </c>
      <c r="C23" s="34">
        <f>'MN SC-SOUTHEAST'!B28</f>
        <v>7486236.564610132</v>
      </c>
      <c r="D23" s="34">
        <f>'MN SC-SOUTHEAST'!B30</f>
        <v>6744.3572654145337</v>
      </c>
    </row>
    <row r="24" spans="1:4" x14ac:dyDescent="0.2">
      <c r="A24" s="41" t="s">
        <v>138</v>
      </c>
      <c r="B24" s="36" t="s">
        <v>84</v>
      </c>
      <c r="C24" s="34">
        <f>'MINNESOTA STATE COLLEGE'!B28</f>
        <v>18959958.740222797</v>
      </c>
      <c r="D24" s="34">
        <f>'MINNESOTA STATE COLLEGE'!B30</f>
        <v>5522.8542791211175</v>
      </c>
    </row>
    <row r="25" spans="1:4" x14ac:dyDescent="0.2">
      <c r="A25" s="41" t="s">
        <v>139</v>
      </c>
      <c r="B25" s="36" t="s">
        <v>111</v>
      </c>
      <c r="C25" s="34">
        <f>'MSU MOORHEAD'!B28</f>
        <v>33564186.273224205</v>
      </c>
      <c r="D25" s="34">
        <f>'MSU MOORHEAD'!B30</f>
        <v>6859.6334096105056</v>
      </c>
    </row>
    <row r="26" spans="1:4" x14ac:dyDescent="0.2">
      <c r="A26" s="41" t="s">
        <v>140</v>
      </c>
      <c r="B26" s="36" t="s">
        <v>112</v>
      </c>
      <c r="C26" s="34">
        <f>'MSU MANKATO'!B28</f>
        <v>83605663.515453279</v>
      </c>
      <c r="D26" s="34">
        <f>'MSU MANKATO'!B30</f>
        <v>6229.4660245475952</v>
      </c>
    </row>
    <row r="27" spans="1:4" x14ac:dyDescent="0.2">
      <c r="A27" s="41" t="s">
        <v>141</v>
      </c>
      <c r="B27" s="36" t="s">
        <v>113</v>
      </c>
      <c r="C27" s="34">
        <f>'MN WEST'!B28</f>
        <v>10635772.262605205</v>
      </c>
      <c r="D27" s="34">
        <f>'MN WEST'!B30</f>
        <v>5789.7508234105635</v>
      </c>
    </row>
    <row r="28" spans="1:4" x14ac:dyDescent="0.2">
      <c r="A28" s="41" t="s">
        <v>142</v>
      </c>
      <c r="B28" s="36" t="s">
        <v>85</v>
      </c>
      <c r="C28" s="34">
        <f>NORMANDALE!B28</f>
        <v>35754780.697213687</v>
      </c>
      <c r="D28" s="34">
        <f>NORMANDALE!B30</f>
        <v>5446.2727642366617</v>
      </c>
    </row>
    <row r="29" spans="1:4" x14ac:dyDescent="0.2">
      <c r="A29" s="41" t="s">
        <v>123</v>
      </c>
      <c r="B29" s="36" t="s">
        <v>86</v>
      </c>
      <c r="C29" s="34">
        <f>'NO HENN CC'!B28</f>
        <v>23342105.060000002</v>
      </c>
      <c r="D29" s="34">
        <f>'NO HENN CC'!B30</f>
        <v>6551.2503676676961</v>
      </c>
    </row>
    <row r="30" spans="1:4" x14ac:dyDescent="0.2">
      <c r="A30" s="41" t="s">
        <v>143</v>
      </c>
      <c r="B30" s="33" t="s">
        <v>45</v>
      </c>
      <c r="C30" s="31">
        <f>SUM(C31:C35)</f>
        <v>23106880.145434204</v>
      </c>
      <c r="D30" s="34">
        <f>NHED!B30</f>
        <v>8631.9508128292218</v>
      </c>
    </row>
    <row r="31" spans="1:4" x14ac:dyDescent="0.2">
      <c r="A31" s="41" t="s">
        <v>144</v>
      </c>
      <c r="B31" s="35" t="s">
        <v>87</v>
      </c>
      <c r="C31" s="34">
        <f>HIBBING!B28</f>
        <v>5503962.7499834718</v>
      </c>
      <c r="D31" s="34">
        <f>HIBBING!B30</f>
        <v>7942.2261904523402</v>
      </c>
    </row>
    <row r="32" spans="1:4" x14ac:dyDescent="0.2">
      <c r="A32" s="41" t="s">
        <v>145</v>
      </c>
      <c r="B32" s="35" t="s">
        <v>88</v>
      </c>
      <c r="C32" s="34">
        <f>'ITASCA CC'!B28</f>
        <v>8059327.2113956753</v>
      </c>
      <c r="D32" s="34">
        <f>'ITASCA CC'!B30</f>
        <v>10890.982718102265</v>
      </c>
    </row>
    <row r="33" spans="1:4" x14ac:dyDescent="0.2">
      <c r="A33" s="41" t="s">
        <v>143</v>
      </c>
      <c r="B33" s="35" t="s">
        <v>46</v>
      </c>
      <c r="C33" s="34">
        <f>'MESABI RANGE'!B28</f>
        <v>5183869.2905502953</v>
      </c>
      <c r="D33" s="34">
        <f>'MESABI RANGE'!B30</f>
        <v>7950.7197707826617</v>
      </c>
    </row>
    <row r="34" spans="1:4" x14ac:dyDescent="0.2">
      <c r="A34" s="41" t="s">
        <v>124</v>
      </c>
      <c r="B34" s="35" t="s">
        <v>89</v>
      </c>
      <c r="C34" s="34">
        <f>'RAINY RIVER'!B28</f>
        <v>1399228.3306637623</v>
      </c>
      <c r="D34" s="34">
        <f>'RAINY RIVER'!B30</f>
        <v>9205.4495438405411</v>
      </c>
    </row>
    <row r="35" spans="1:4" x14ac:dyDescent="0.2">
      <c r="A35" s="41" t="s">
        <v>146</v>
      </c>
      <c r="B35" s="35" t="s">
        <v>90</v>
      </c>
      <c r="C35" s="34">
        <f>VERMILION!B28</f>
        <v>2960492.5628409991</v>
      </c>
      <c r="D35" s="34">
        <f>VERMILION!B30</f>
        <v>6837.1652721501132</v>
      </c>
    </row>
    <row r="36" spans="1:4" x14ac:dyDescent="0.2">
      <c r="A36" s="41" t="s">
        <v>147</v>
      </c>
      <c r="B36" s="36" t="s">
        <v>91</v>
      </c>
      <c r="C36" s="34">
        <f>NORTHLAND!B28</f>
        <v>12447440.733538698</v>
      </c>
      <c r="D36" s="34">
        <f>NORTHLAND!B30</f>
        <v>7060.3747779572877</v>
      </c>
    </row>
    <row r="37" spans="1:4" x14ac:dyDescent="0.2">
      <c r="A37" s="41" t="s">
        <v>148</v>
      </c>
      <c r="B37" s="36" t="s">
        <v>92</v>
      </c>
      <c r="C37" s="34">
        <f>'PINE TC'!B28</f>
        <v>5887713.5612889947</v>
      </c>
      <c r="D37" s="34">
        <f>'PINE TC'!B30</f>
        <v>8010.4946412095169</v>
      </c>
    </row>
    <row r="38" spans="1:4" x14ac:dyDescent="0.2">
      <c r="A38" s="41" t="s">
        <v>149</v>
      </c>
      <c r="B38" s="36" t="s">
        <v>47</v>
      </c>
      <c r="C38" s="34">
        <f>RIDGEWATER!B28</f>
        <v>12862968.936210155</v>
      </c>
      <c r="D38" s="34">
        <f>RIDGEWATER!B30</f>
        <v>5459.6642343846161</v>
      </c>
    </row>
    <row r="39" spans="1:4" x14ac:dyDescent="0.2">
      <c r="A39" s="41" t="s">
        <v>150</v>
      </c>
      <c r="B39" s="36" t="s">
        <v>93</v>
      </c>
      <c r="C39" s="34">
        <f>RIVERLAND!B28</f>
        <v>13921126.034084218</v>
      </c>
      <c r="D39" s="34">
        <f>RIVERLAND!B30</f>
        <v>6635.4270896492935</v>
      </c>
    </row>
    <row r="40" spans="1:4" x14ac:dyDescent="0.2">
      <c r="A40" s="41" t="s">
        <v>151</v>
      </c>
      <c r="B40" s="36" t="s">
        <v>94</v>
      </c>
      <c r="C40" s="34">
        <f>ROCHESTER!B28</f>
        <v>22774226.14385904</v>
      </c>
      <c r="D40" s="34">
        <f>ROCHESTER!B30</f>
        <v>8078.8315515640443</v>
      </c>
    </row>
    <row r="41" spans="1:4" x14ac:dyDescent="0.2">
      <c r="A41" s="41" t="s">
        <v>152</v>
      </c>
      <c r="B41" s="36" t="s">
        <v>50</v>
      </c>
      <c r="C41" s="34">
        <f>'SAINT PAUL'!B28</f>
        <v>20689534.952930849</v>
      </c>
      <c r="D41" s="34">
        <f>'SAINT PAUL'!B30</f>
        <v>5617.5766909939857</v>
      </c>
    </row>
    <row r="42" spans="1:4" x14ac:dyDescent="0.2">
      <c r="A42" s="41" t="s">
        <v>153</v>
      </c>
      <c r="B42" s="36" t="s">
        <v>64</v>
      </c>
      <c r="C42" s="34">
        <f>'SOUTH CENTRAL'!B28</f>
        <v>13378916.848093046</v>
      </c>
      <c r="D42" s="34">
        <f>'SOUTH CENTRAL'!B30</f>
        <v>6935.6748823706821</v>
      </c>
    </row>
    <row r="43" spans="1:4" x14ac:dyDescent="0.2">
      <c r="A43" s="41" t="s">
        <v>154</v>
      </c>
      <c r="B43" s="36" t="s">
        <v>95</v>
      </c>
      <c r="C43" s="34">
        <f>'SOUTHWEST MN SU'!B28</f>
        <v>18722771.83338172</v>
      </c>
      <c r="D43" s="34">
        <f>'SOUTHWEST MN SU'!B30</f>
        <v>5492.1595287127366</v>
      </c>
    </row>
    <row r="44" spans="1:4" x14ac:dyDescent="0.2">
      <c r="A44" s="41" t="s">
        <v>155</v>
      </c>
      <c r="B44" s="36" t="s">
        <v>96</v>
      </c>
      <c r="C44" s="34">
        <f>'ST CLOUD SU'!B28</f>
        <v>61874911.60455288</v>
      </c>
      <c r="D44" s="34">
        <f>'ST CLOUD SU'!B30</f>
        <v>7332.0193867227017</v>
      </c>
    </row>
    <row r="45" spans="1:4" x14ac:dyDescent="0.2">
      <c r="A45" s="41" t="s">
        <v>156</v>
      </c>
      <c r="B45" s="36" t="s">
        <v>97</v>
      </c>
      <c r="C45" s="34">
        <f>'ST CLOUD TCC'!B28</f>
        <v>13780617.662921993</v>
      </c>
      <c r="D45" s="34">
        <f>'ST CLOUD TCC'!B30</f>
        <v>4888.4773547080504</v>
      </c>
    </row>
    <row r="46" spans="1:4" x14ac:dyDescent="0.2">
      <c r="A46" s="41" t="s">
        <v>157</v>
      </c>
      <c r="B46" s="36" t="s">
        <v>98</v>
      </c>
      <c r="C46" s="34">
        <f>'WINONA SU'!B28</f>
        <v>43976980.888592362</v>
      </c>
      <c r="D46" s="34">
        <f>'WINONA SU'!B30</f>
        <v>6653.0984702862879</v>
      </c>
    </row>
    <row r="48" spans="1:4" x14ac:dyDescent="0.2">
      <c r="D48" s="27"/>
    </row>
    <row r="50" spans="2:3" x14ac:dyDescent="0.2">
      <c r="B50" s="26" t="s">
        <v>49</v>
      </c>
      <c r="C50" s="12"/>
    </row>
    <row r="51" spans="2:3" x14ac:dyDescent="0.2">
      <c r="B51" s="26" t="s">
        <v>119</v>
      </c>
      <c r="C51" s="12"/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D31"/>
  <sheetViews>
    <sheetView workbookViewId="0">
      <selection activeCell="F1" sqref="F1:K1048576"/>
    </sheetView>
  </sheetViews>
  <sheetFormatPr defaultColWidth="9.140625" defaultRowHeight="12" x14ac:dyDescent="0.2"/>
  <cols>
    <col min="1" max="1" width="9.140625" style="26"/>
    <col min="2" max="2" width="34.140625" style="12" customWidth="1"/>
    <col min="3" max="3" width="13.5703125" style="43" bestFit="1" customWidth="1"/>
    <col min="4" max="4" width="9.28515625" style="43" bestFit="1" customWidth="1"/>
    <col min="5" max="16384" width="9.140625" style="12"/>
  </cols>
  <sheetData>
    <row r="1" spans="1:4" x14ac:dyDescent="0.2">
      <c r="A1" s="41" t="s">
        <v>120</v>
      </c>
      <c r="B1" s="13" t="s">
        <v>35</v>
      </c>
      <c r="C1" s="42" t="s">
        <v>10</v>
      </c>
      <c r="D1" s="42" t="s">
        <v>11</v>
      </c>
    </row>
    <row r="2" spans="1:4" x14ac:dyDescent="0.2">
      <c r="A2" s="41" t="s">
        <v>121</v>
      </c>
      <c r="B2" s="33" t="s">
        <v>109</v>
      </c>
      <c r="C2" s="31">
        <v>10000419.038330782</v>
      </c>
      <c r="D2" s="31">
        <v>5917.4077149886289</v>
      </c>
    </row>
    <row r="3" spans="1:4" x14ac:dyDescent="0.2">
      <c r="A3" s="41" t="s">
        <v>122</v>
      </c>
      <c r="B3" s="35" t="s">
        <v>110</v>
      </c>
      <c r="C3" s="31">
        <v>33209479.784926061</v>
      </c>
      <c r="D3" s="31">
        <v>5260.4910161454236</v>
      </c>
    </row>
    <row r="4" spans="1:4" ht="24" x14ac:dyDescent="0.2">
      <c r="A4" s="41" t="s">
        <v>127</v>
      </c>
      <c r="B4" s="35" t="s">
        <v>76</v>
      </c>
      <c r="C4" s="31">
        <v>30239279.721817318</v>
      </c>
      <c r="D4" s="34">
        <v>7075.1050432677666</v>
      </c>
    </row>
    <row r="5" spans="1:4" x14ac:dyDescent="0.2">
      <c r="A5" s="41" t="s">
        <v>129</v>
      </c>
      <c r="B5" s="36" t="s">
        <v>39</v>
      </c>
      <c r="C5" s="34">
        <v>12487736.431151368</v>
      </c>
      <c r="D5" s="34">
        <v>4902.9196824308474</v>
      </c>
    </row>
    <row r="6" spans="1:4" x14ac:dyDescent="0.2">
      <c r="A6" s="41" t="s">
        <v>130</v>
      </c>
      <c r="B6" s="36" t="s">
        <v>40</v>
      </c>
      <c r="C6" s="34">
        <v>30886890.796050675</v>
      </c>
      <c r="D6" s="34">
        <v>5557.1951774110603</v>
      </c>
    </row>
    <row r="7" spans="1:4" x14ac:dyDescent="0.2">
      <c r="A7" s="41" t="s">
        <v>131</v>
      </c>
      <c r="B7" s="36" t="s">
        <v>158</v>
      </c>
      <c r="C7" s="34">
        <v>25814552.678145159</v>
      </c>
      <c r="D7" s="34">
        <v>5815.3982153965217</v>
      </c>
    </row>
    <row r="8" spans="1:4" x14ac:dyDescent="0.2">
      <c r="A8" s="41" t="s">
        <v>132</v>
      </c>
      <c r="B8" s="36" t="s">
        <v>78</v>
      </c>
      <c r="C8" s="34">
        <v>4733363.120000001</v>
      </c>
      <c r="D8" s="34">
        <v>6022.0904834605608</v>
      </c>
    </row>
    <row r="9" spans="1:4" x14ac:dyDescent="0.2">
      <c r="A9" s="41" t="s">
        <v>133</v>
      </c>
      <c r="B9" s="36" t="s">
        <v>79</v>
      </c>
      <c r="C9" s="34">
        <v>20902547.698926404</v>
      </c>
      <c r="D9" s="34">
        <v>7707.429092524485</v>
      </c>
    </row>
    <row r="10" spans="1:4" x14ac:dyDescent="0.2">
      <c r="A10" s="41" t="s">
        <v>134</v>
      </c>
      <c r="B10" s="36" t="s">
        <v>41</v>
      </c>
      <c r="C10" s="34">
        <v>13667869.811602809</v>
      </c>
      <c r="D10" s="34">
        <v>4925.3584906676788</v>
      </c>
    </row>
    <row r="11" spans="1:4" x14ac:dyDescent="0.2">
      <c r="A11" s="41" t="s">
        <v>135</v>
      </c>
      <c r="B11" s="33" t="s">
        <v>81</v>
      </c>
      <c r="C11" s="34">
        <v>51376958.862320855</v>
      </c>
      <c r="D11" s="34">
        <v>8924.2589651417147</v>
      </c>
    </row>
    <row r="12" spans="1:4" x14ac:dyDescent="0.2">
      <c r="A12" s="41" t="s">
        <v>136</v>
      </c>
      <c r="B12" s="36" t="s">
        <v>82</v>
      </c>
      <c r="C12" s="34">
        <v>25344804.081914965</v>
      </c>
      <c r="D12" s="34">
        <v>6007.3012756375838</v>
      </c>
    </row>
    <row r="13" spans="1:4" x14ac:dyDescent="0.2">
      <c r="A13" s="41" t="s">
        <v>137</v>
      </c>
      <c r="B13" s="36" t="s">
        <v>83</v>
      </c>
      <c r="C13" s="34">
        <v>7486236.564610132</v>
      </c>
      <c r="D13" s="34">
        <v>6744.3572654145337</v>
      </c>
    </row>
    <row r="14" spans="1:4" x14ac:dyDescent="0.2">
      <c r="A14" s="41" t="s">
        <v>138</v>
      </c>
      <c r="B14" s="36" t="s">
        <v>84</v>
      </c>
      <c r="C14" s="34">
        <v>18959958.740222797</v>
      </c>
      <c r="D14" s="34">
        <v>5522.8542791211175</v>
      </c>
    </row>
    <row r="15" spans="1:4" x14ac:dyDescent="0.2">
      <c r="A15" s="41" t="s">
        <v>139</v>
      </c>
      <c r="B15" s="36" t="s">
        <v>111</v>
      </c>
      <c r="C15" s="34">
        <v>33564186.273224205</v>
      </c>
      <c r="D15" s="34">
        <v>6859.6334096105056</v>
      </c>
    </row>
    <row r="16" spans="1:4" x14ac:dyDescent="0.2">
      <c r="A16" s="41" t="s">
        <v>140</v>
      </c>
      <c r="B16" s="36" t="s">
        <v>112</v>
      </c>
      <c r="C16" s="34">
        <v>83605663.515453279</v>
      </c>
      <c r="D16" s="34">
        <v>6229.4660245475952</v>
      </c>
    </row>
    <row r="17" spans="1:4" x14ac:dyDescent="0.2">
      <c r="A17" s="41" t="s">
        <v>141</v>
      </c>
      <c r="B17" s="36" t="s">
        <v>113</v>
      </c>
      <c r="C17" s="34">
        <v>10635772.262605205</v>
      </c>
      <c r="D17" s="34">
        <v>5789.7508234105635</v>
      </c>
    </row>
    <row r="18" spans="1:4" x14ac:dyDescent="0.2">
      <c r="A18" s="41" t="s">
        <v>142</v>
      </c>
      <c r="B18" s="36" t="s">
        <v>85</v>
      </c>
      <c r="C18" s="34">
        <v>35754780.697213687</v>
      </c>
      <c r="D18" s="34">
        <v>5446.2727642366617</v>
      </c>
    </row>
    <row r="19" spans="1:4" x14ac:dyDescent="0.2">
      <c r="A19" s="41" t="s">
        <v>123</v>
      </c>
      <c r="B19" s="36" t="s">
        <v>86</v>
      </c>
      <c r="C19" s="34">
        <v>23342105.060000002</v>
      </c>
      <c r="D19" s="34">
        <v>6551.2503676676961</v>
      </c>
    </row>
    <row r="20" spans="1:4" x14ac:dyDescent="0.2">
      <c r="A20" s="41" t="s">
        <v>143</v>
      </c>
      <c r="B20" s="36" t="s">
        <v>45</v>
      </c>
      <c r="C20" s="31">
        <v>23106880.145434204</v>
      </c>
      <c r="D20" s="34">
        <v>8631.9508128292218</v>
      </c>
    </row>
    <row r="21" spans="1:4" x14ac:dyDescent="0.2">
      <c r="A21" s="26" t="s">
        <v>147</v>
      </c>
      <c r="B21" s="12" t="s">
        <v>91</v>
      </c>
      <c r="C21" s="34">
        <v>12447440.733538698</v>
      </c>
      <c r="D21" s="34">
        <v>7060.3747779572877</v>
      </c>
    </row>
    <row r="22" spans="1:4" x14ac:dyDescent="0.2">
      <c r="A22" s="26" t="s">
        <v>148</v>
      </c>
      <c r="B22" s="12" t="s">
        <v>92</v>
      </c>
      <c r="C22" s="34">
        <v>5887713.5612889947</v>
      </c>
      <c r="D22" s="34">
        <v>8010.4946412095169</v>
      </c>
    </row>
    <row r="23" spans="1:4" x14ac:dyDescent="0.2">
      <c r="A23" s="26" t="s">
        <v>149</v>
      </c>
      <c r="B23" s="12" t="s">
        <v>47</v>
      </c>
      <c r="C23" s="34">
        <v>12862968.936210155</v>
      </c>
      <c r="D23" s="34">
        <v>5459.6642343846161</v>
      </c>
    </row>
    <row r="24" spans="1:4" x14ac:dyDescent="0.2">
      <c r="A24" s="26" t="s">
        <v>150</v>
      </c>
      <c r="B24" s="12" t="s">
        <v>93</v>
      </c>
      <c r="C24" s="34">
        <v>13921126.034084218</v>
      </c>
      <c r="D24" s="34">
        <v>6635.4270896492935</v>
      </c>
    </row>
    <row r="25" spans="1:4" x14ac:dyDescent="0.2">
      <c r="A25" s="26" t="s">
        <v>151</v>
      </c>
      <c r="B25" s="12" t="s">
        <v>94</v>
      </c>
      <c r="C25" s="34">
        <v>22774226.14385904</v>
      </c>
      <c r="D25" s="34">
        <v>8078.8315515640443</v>
      </c>
    </row>
    <row r="26" spans="1:4" x14ac:dyDescent="0.2">
      <c r="A26" s="26" t="s">
        <v>152</v>
      </c>
      <c r="B26" s="12" t="s">
        <v>50</v>
      </c>
      <c r="C26" s="34">
        <v>20689534.952930849</v>
      </c>
      <c r="D26" s="34">
        <v>5617.5766909939857</v>
      </c>
    </row>
    <row r="27" spans="1:4" x14ac:dyDescent="0.2">
      <c r="A27" s="26" t="s">
        <v>153</v>
      </c>
      <c r="B27" s="12" t="s">
        <v>64</v>
      </c>
      <c r="C27" s="34">
        <v>13378916.848093046</v>
      </c>
      <c r="D27" s="34">
        <v>6935.6748823706821</v>
      </c>
    </row>
    <row r="28" spans="1:4" x14ac:dyDescent="0.2">
      <c r="A28" s="26" t="s">
        <v>154</v>
      </c>
      <c r="B28" s="12" t="s">
        <v>95</v>
      </c>
      <c r="C28" s="34">
        <v>18722771.83338172</v>
      </c>
      <c r="D28" s="34">
        <v>5492.1595287127366</v>
      </c>
    </row>
    <row r="29" spans="1:4" x14ac:dyDescent="0.2">
      <c r="A29" s="26" t="s">
        <v>155</v>
      </c>
      <c r="B29" s="12" t="s">
        <v>96</v>
      </c>
      <c r="C29" s="34">
        <v>61874911.60455288</v>
      </c>
      <c r="D29" s="34">
        <v>7332.0193867227017</v>
      </c>
    </row>
    <row r="30" spans="1:4" x14ac:dyDescent="0.2">
      <c r="A30" s="26" t="s">
        <v>156</v>
      </c>
      <c r="B30" s="12" t="s">
        <v>97</v>
      </c>
      <c r="C30" s="34">
        <v>13780617.662921993</v>
      </c>
      <c r="D30" s="34">
        <v>4888.4773547080504</v>
      </c>
    </row>
    <row r="31" spans="1:4" x14ac:dyDescent="0.2">
      <c r="A31" s="26" t="s">
        <v>157</v>
      </c>
      <c r="B31" s="12" t="s">
        <v>98</v>
      </c>
      <c r="C31" s="34">
        <v>43976980.888592362</v>
      </c>
      <c r="D31" s="34">
        <v>6653.0984702862879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38"/>
  <sheetViews>
    <sheetView workbookViewId="0">
      <selection activeCell="F1" sqref="F1:I1048576"/>
    </sheetView>
  </sheetViews>
  <sheetFormatPr defaultColWidth="9.140625" defaultRowHeight="12.75" x14ac:dyDescent="0.2"/>
  <cols>
    <col min="1" max="1" width="9.140625" style="26"/>
    <col min="2" max="2" width="34.140625" style="12" customWidth="1"/>
    <col min="3" max="3" width="13.5703125" style="43" bestFit="1" customWidth="1"/>
    <col min="4" max="4" width="9.28515625" style="43" bestFit="1" customWidth="1"/>
    <col min="5" max="5" width="9.140625" style="12"/>
    <col min="10" max="16384" width="9.140625" style="12"/>
  </cols>
  <sheetData>
    <row r="1" spans="1:4" x14ac:dyDescent="0.2">
      <c r="A1" s="41" t="s">
        <v>120</v>
      </c>
      <c r="B1" s="13" t="s">
        <v>35</v>
      </c>
      <c r="C1" s="42" t="s">
        <v>10</v>
      </c>
      <c r="D1" s="42" t="s">
        <v>11</v>
      </c>
    </row>
    <row r="2" spans="1:4" x14ac:dyDescent="0.2">
      <c r="A2" s="41" t="s">
        <v>121</v>
      </c>
      <c r="B2" s="33" t="s">
        <v>109</v>
      </c>
      <c r="C2" s="31">
        <v>10000419.038330782</v>
      </c>
      <c r="D2" s="31">
        <v>5917.4077149886289</v>
      </c>
    </row>
    <row r="3" spans="1:4" x14ac:dyDescent="0.2">
      <c r="A3" s="41" t="s">
        <v>122</v>
      </c>
      <c r="B3" s="33" t="s">
        <v>70</v>
      </c>
      <c r="C3" s="31">
        <v>25036376.107484538</v>
      </c>
      <c r="D3" s="31">
        <v>4909.0933544087329</v>
      </c>
    </row>
    <row r="4" spans="1:4" x14ac:dyDescent="0.2">
      <c r="A4" s="41" t="s">
        <v>126</v>
      </c>
      <c r="B4" s="33" t="s">
        <v>71</v>
      </c>
      <c r="C4" s="34">
        <v>8118079.7200000025</v>
      </c>
      <c r="D4" s="34">
        <v>6692.5636603462508</v>
      </c>
    </row>
    <row r="5" spans="1:4" x14ac:dyDescent="0.2">
      <c r="A5" s="41" t="s">
        <v>127</v>
      </c>
      <c r="B5" s="35" t="s">
        <v>159</v>
      </c>
      <c r="C5" s="34">
        <v>25646791.190048169</v>
      </c>
      <c r="D5" s="34">
        <v>6826.4017008379478</v>
      </c>
    </row>
    <row r="6" spans="1:4" x14ac:dyDescent="0.2">
      <c r="A6" s="41" t="s">
        <v>128</v>
      </c>
      <c r="B6" s="33" t="s">
        <v>160</v>
      </c>
      <c r="C6" s="34">
        <v>4592488.5317691481</v>
      </c>
      <c r="D6" s="34">
        <v>9040.3317554510795</v>
      </c>
    </row>
    <row r="7" spans="1:4" x14ac:dyDescent="0.2">
      <c r="A7" s="41" t="s">
        <v>129</v>
      </c>
      <c r="B7" s="36" t="s">
        <v>39</v>
      </c>
      <c r="C7" s="34">
        <v>12487736.431151368</v>
      </c>
      <c r="D7" s="34">
        <v>4902.9196824308474</v>
      </c>
    </row>
    <row r="8" spans="1:4" x14ac:dyDescent="0.2">
      <c r="A8" s="41" t="s">
        <v>130</v>
      </c>
      <c r="B8" s="36" t="s">
        <v>40</v>
      </c>
      <c r="C8" s="34">
        <v>30886890.796050675</v>
      </c>
      <c r="D8" s="34">
        <v>5557.1951774110603</v>
      </c>
    </row>
    <row r="9" spans="1:4" x14ac:dyDescent="0.2">
      <c r="A9" s="41" t="s">
        <v>131</v>
      </c>
      <c r="B9" s="36" t="s">
        <v>77</v>
      </c>
      <c r="C9" s="34">
        <v>11142537.907181177</v>
      </c>
      <c r="D9" s="34">
        <v>6129.0087498246303</v>
      </c>
    </row>
    <row r="10" spans="1:4" x14ac:dyDescent="0.2">
      <c r="A10" s="41" t="s">
        <v>132</v>
      </c>
      <c r="B10" s="36" t="s">
        <v>78</v>
      </c>
      <c r="C10" s="34">
        <v>4733363.120000001</v>
      </c>
      <c r="D10" s="34">
        <v>6022.0904834605608</v>
      </c>
    </row>
    <row r="11" spans="1:4" x14ac:dyDescent="0.2">
      <c r="A11" s="41" t="s">
        <v>133</v>
      </c>
      <c r="B11" s="36" t="s">
        <v>79</v>
      </c>
      <c r="C11" s="34">
        <v>20902547.698926404</v>
      </c>
      <c r="D11" s="34">
        <v>7707.429092524485</v>
      </c>
    </row>
    <row r="12" spans="1:4" x14ac:dyDescent="0.2">
      <c r="A12" s="41" t="s">
        <v>125</v>
      </c>
      <c r="B12" s="36" t="s">
        <v>80</v>
      </c>
      <c r="C12" s="34">
        <v>14793400.012002271</v>
      </c>
      <c r="D12" s="34">
        <v>5644.1816146517631</v>
      </c>
    </row>
    <row r="13" spans="1:4" x14ac:dyDescent="0.2">
      <c r="A13" s="41" t="s">
        <v>134</v>
      </c>
      <c r="B13" s="36" t="s">
        <v>41</v>
      </c>
      <c r="C13" s="34">
        <v>13667869.811602809</v>
      </c>
      <c r="D13" s="34">
        <v>4925.3584906676788</v>
      </c>
    </row>
    <row r="14" spans="1:4" x14ac:dyDescent="0.2">
      <c r="A14" s="41" t="s">
        <v>135</v>
      </c>
      <c r="B14" s="33" t="s">
        <v>81</v>
      </c>
      <c r="C14" s="34">
        <v>51376958.862320855</v>
      </c>
      <c r="D14" s="34">
        <v>8924.2589651417147</v>
      </c>
    </row>
    <row r="15" spans="1:4" x14ac:dyDescent="0.2">
      <c r="A15" s="41" t="s">
        <v>136</v>
      </c>
      <c r="B15" s="36" t="s">
        <v>82</v>
      </c>
      <c r="C15" s="34">
        <v>25344804.081914965</v>
      </c>
      <c r="D15" s="34">
        <v>6007.3012756375838</v>
      </c>
    </row>
    <row r="16" spans="1:4" x14ac:dyDescent="0.2">
      <c r="A16" s="41" t="s">
        <v>137</v>
      </c>
      <c r="B16" s="36" t="s">
        <v>83</v>
      </c>
      <c r="C16" s="34">
        <v>7486236.564610132</v>
      </c>
      <c r="D16" s="34">
        <v>6744.3572654145337</v>
      </c>
    </row>
    <row r="17" spans="1:4" x14ac:dyDescent="0.2">
      <c r="A17" s="41" t="s">
        <v>138</v>
      </c>
      <c r="B17" s="36" t="s">
        <v>84</v>
      </c>
      <c r="C17" s="34">
        <v>18959958.740222797</v>
      </c>
      <c r="D17" s="34">
        <v>5522.8542791211175</v>
      </c>
    </row>
    <row r="18" spans="1:4" x14ac:dyDescent="0.2">
      <c r="A18" s="41" t="s">
        <v>139</v>
      </c>
      <c r="B18" s="36" t="s">
        <v>111</v>
      </c>
      <c r="C18" s="34">
        <v>33564186.273224205</v>
      </c>
      <c r="D18" s="34">
        <v>6859.6334096105056</v>
      </c>
    </row>
    <row r="19" spans="1:4" x14ac:dyDescent="0.2">
      <c r="A19" s="41" t="s">
        <v>140</v>
      </c>
      <c r="B19" s="36" t="s">
        <v>112</v>
      </c>
      <c r="C19" s="34">
        <v>83605663.515453279</v>
      </c>
      <c r="D19" s="34">
        <v>6229.4660245475952</v>
      </c>
    </row>
    <row r="20" spans="1:4" x14ac:dyDescent="0.2">
      <c r="A20" s="41" t="s">
        <v>141</v>
      </c>
      <c r="B20" s="36" t="s">
        <v>113</v>
      </c>
      <c r="C20" s="34">
        <v>10635772.262605205</v>
      </c>
      <c r="D20" s="34">
        <v>5789.7508234105635</v>
      </c>
    </row>
    <row r="21" spans="1:4" x14ac:dyDescent="0.2">
      <c r="A21" s="41" t="s">
        <v>142</v>
      </c>
      <c r="B21" s="36" t="s">
        <v>85</v>
      </c>
      <c r="C21" s="34">
        <v>35754780.697213687</v>
      </c>
      <c r="D21" s="34">
        <v>5446.2727642366617</v>
      </c>
    </row>
    <row r="22" spans="1:4" x14ac:dyDescent="0.2">
      <c r="A22" s="41" t="s">
        <v>123</v>
      </c>
      <c r="B22" s="36" t="s">
        <v>86</v>
      </c>
      <c r="C22" s="34">
        <v>23342105.060000002</v>
      </c>
      <c r="D22" s="34">
        <v>6551.2503676676961</v>
      </c>
    </row>
    <row r="23" spans="1:4" x14ac:dyDescent="0.2">
      <c r="A23" s="41" t="s">
        <v>144</v>
      </c>
      <c r="B23" s="36" t="s">
        <v>161</v>
      </c>
      <c r="C23" s="34">
        <v>5503962.7499834718</v>
      </c>
      <c r="D23" s="34">
        <v>7942.2261904523402</v>
      </c>
    </row>
    <row r="24" spans="1:4" x14ac:dyDescent="0.2">
      <c r="A24" s="26" t="s">
        <v>145</v>
      </c>
      <c r="B24" s="12" t="s">
        <v>162</v>
      </c>
      <c r="C24" s="34">
        <v>8059327.2113956753</v>
      </c>
      <c r="D24" s="34">
        <v>10890.982718102265</v>
      </c>
    </row>
    <row r="25" spans="1:4" x14ac:dyDescent="0.2">
      <c r="A25" s="26" t="s">
        <v>143</v>
      </c>
      <c r="B25" s="12" t="s">
        <v>163</v>
      </c>
      <c r="C25" s="34">
        <v>5183869.2905502953</v>
      </c>
      <c r="D25" s="34">
        <v>7950.7197707826617</v>
      </c>
    </row>
    <row r="26" spans="1:4" x14ac:dyDescent="0.2">
      <c r="A26" s="26" t="s">
        <v>124</v>
      </c>
      <c r="B26" s="12" t="s">
        <v>164</v>
      </c>
      <c r="C26" s="34">
        <v>1399228.3306637623</v>
      </c>
      <c r="D26" s="34">
        <v>9205.4495438405411</v>
      </c>
    </row>
    <row r="27" spans="1:4" x14ac:dyDescent="0.2">
      <c r="A27" s="26" t="s">
        <v>146</v>
      </c>
      <c r="B27" s="12" t="s">
        <v>165</v>
      </c>
      <c r="C27" s="34">
        <v>2960492.5628409991</v>
      </c>
      <c r="D27" s="34">
        <v>6837.1652721501132</v>
      </c>
    </row>
    <row r="28" spans="1:4" x14ac:dyDescent="0.2">
      <c r="A28" s="26" t="s">
        <v>147</v>
      </c>
      <c r="B28" s="12" t="s">
        <v>91</v>
      </c>
      <c r="C28" s="34">
        <v>12447440.733538698</v>
      </c>
      <c r="D28" s="34">
        <v>7060.3747779572877</v>
      </c>
    </row>
    <row r="29" spans="1:4" x14ac:dyDescent="0.2">
      <c r="A29" s="26" t="s">
        <v>148</v>
      </c>
      <c r="B29" s="12" t="s">
        <v>92</v>
      </c>
      <c r="C29" s="34">
        <v>5887713.5612889947</v>
      </c>
      <c r="D29" s="34">
        <v>8010.4946412095169</v>
      </c>
    </row>
    <row r="30" spans="1:4" x14ac:dyDescent="0.2">
      <c r="A30" s="26" t="s">
        <v>149</v>
      </c>
      <c r="B30" s="12" t="s">
        <v>47</v>
      </c>
      <c r="C30" s="34">
        <v>12862968.936210155</v>
      </c>
      <c r="D30" s="34">
        <v>5459.6642343846161</v>
      </c>
    </row>
    <row r="31" spans="1:4" x14ac:dyDescent="0.2">
      <c r="A31" s="26" t="s">
        <v>150</v>
      </c>
      <c r="B31" s="12" t="s">
        <v>93</v>
      </c>
      <c r="C31" s="34">
        <v>13921126.034084218</v>
      </c>
      <c r="D31" s="34">
        <v>6635.4270896492935</v>
      </c>
    </row>
    <row r="32" spans="1:4" x14ac:dyDescent="0.2">
      <c r="A32" s="26" t="s">
        <v>151</v>
      </c>
      <c r="B32" s="12" t="s">
        <v>94</v>
      </c>
      <c r="C32" s="34">
        <v>22774226.14385904</v>
      </c>
      <c r="D32" s="34">
        <v>8078.8315515640443</v>
      </c>
    </row>
    <row r="33" spans="1:4" x14ac:dyDescent="0.2">
      <c r="A33" s="26" t="s">
        <v>152</v>
      </c>
      <c r="B33" s="12" t="s">
        <v>50</v>
      </c>
      <c r="C33" s="34">
        <v>20689534.952930849</v>
      </c>
      <c r="D33" s="34">
        <v>5617.5766909939857</v>
      </c>
    </row>
    <row r="34" spans="1:4" x14ac:dyDescent="0.2">
      <c r="A34" s="26" t="s">
        <v>153</v>
      </c>
      <c r="B34" s="12" t="s">
        <v>64</v>
      </c>
      <c r="C34" s="34">
        <v>13378916.848093046</v>
      </c>
      <c r="D34" s="34">
        <v>6935.6748823706821</v>
      </c>
    </row>
    <row r="35" spans="1:4" x14ac:dyDescent="0.2">
      <c r="A35" s="26" t="s">
        <v>154</v>
      </c>
      <c r="B35" s="12" t="s">
        <v>95</v>
      </c>
      <c r="C35" s="34">
        <v>18722771.83338172</v>
      </c>
      <c r="D35" s="34">
        <v>5492.1595287127366</v>
      </c>
    </row>
    <row r="36" spans="1:4" x14ac:dyDescent="0.2">
      <c r="A36" s="26" t="s">
        <v>155</v>
      </c>
      <c r="B36" s="12" t="s">
        <v>96</v>
      </c>
      <c r="C36" s="34">
        <v>61874911.60455288</v>
      </c>
      <c r="D36" s="34">
        <v>7332.0193867227017</v>
      </c>
    </row>
    <row r="37" spans="1:4" x14ac:dyDescent="0.2">
      <c r="A37" s="26" t="s">
        <v>156</v>
      </c>
      <c r="B37" s="12" t="s">
        <v>97</v>
      </c>
      <c r="C37" s="34">
        <v>13780617.662921993</v>
      </c>
      <c r="D37" s="34">
        <v>4888.4773547080504</v>
      </c>
    </row>
    <row r="38" spans="1:4" x14ac:dyDescent="0.2">
      <c r="A38" s="26" t="s">
        <v>157</v>
      </c>
      <c r="B38" s="12" t="s">
        <v>98</v>
      </c>
      <c r="C38" s="34">
        <v>43976980.888592362</v>
      </c>
      <c r="D38" s="34">
        <v>6653.0984702862879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1" style="1" bestFit="1" customWidth="1"/>
    <col min="5" max="5" width="9.28515625" style="1" customWidth="1"/>
    <col min="6" max="6" width="2.7109375" style="3" customWidth="1"/>
    <col min="7" max="7" width="11.140625" style="1" bestFit="1" customWidth="1"/>
    <col min="8" max="8" width="11.5703125" style="1" bestFit="1" customWidth="1"/>
    <col min="9" max="9" width="11.140625" style="1" bestFit="1" customWidth="1"/>
    <col min="10" max="10" width="13.7109375" style="1" bestFit="1" customWidth="1"/>
    <col min="11" max="11" width="11.7109375" style="1" bestFit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Table'!B8</f>
        <v>23592789.629999999</v>
      </c>
      <c r="C9" s="1">
        <f>'Master Expend Table'!C8</f>
        <v>0</v>
      </c>
      <c r="D9" s="1">
        <f>'Master Expend Table'!D8</f>
        <v>1062802.76</v>
      </c>
      <c r="E9" s="1">
        <f>'Master Expend Table'!E8</f>
        <v>5662.8899999999994</v>
      </c>
      <c r="G9" s="1">
        <f>'Master Expend Table'!G8</f>
        <v>7006428.9199999999</v>
      </c>
      <c r="H9" s="1">
        <f>'Master Expend Table'!H8</f>
        <v>5400044.6500000004</v>
      </c>
      <c r="I9" s="1">
        <f>'Master Expend Table'!I8</f>
        <v>8554548.8699999992</v>
      </c>
      <c r="J9" s="1">
        <f>'Master Expend Table'!J8</f>
        <v>5209196.18</v>
      </c>
      <c r="K9" s="1">
        <f>SUM(B9:J9)</f>
        <v>50831473.899999999</v>
      </c>
    </row>
    <row r="11" spans="1:11" x14ac:dyDescent="0.2">
      <c r="A11" t="s">
        <v>3</v>
      </c>
      <c r="B11" s="1">
        <f>(B9/($K9-$J9))*-$J$11</f>
        <v>2693847.7375114188</v>
      </c>
      <c r="C11" s="1">
        <f t="shared" ref="C11:I11" si="0">(C9/($K9-$J9))*-$J$11</f>
        <v>0</v>
      </c>
      <c r="D11" s="1">
        <f t="shared" si="0"/>
        <v>121351.85602665383</v>
      </c>
      <c r="E11" s="1">
        <f t="shared" si="0"/>
        <v>646.59430501928466</v>
      </c>
      <c r="G11" s="1">
        <f t="shared" si="0"/>
        <v>800000.88968608214</v>
      </c>
      <c r="H11" s="1">
        <f t="shared" si="0"/>
        <v>616582.36651954334</v>
      </c>
      <c r="I11" s="1">
        <f t="shared" si="0"/>
        <v>976766.73595128232</v>
      </c>
      <c r="J11" s="1">
        <f>-J9</f>
        <v>-5209196.18</v>
      </c>
      <c r="K11" s="1">
        <v>0</v>
      </c>
    </row>
    <row r="12" spans="1:11" x14ac:dyDescent="0.2">
      <c r="A12" t="s">
        <v>4</v>
      </c>
      <c r="B12" s="1">
        <f>+B9+B11</f>
        <v>26286637.367511418</v>
      </c>
      <c r="C12" s="1">
        <f t="shared" ref="C12:J12" si="1">+C9+C11</f>
        <v>0</v>
      </c>
      <c r="D12" s="1">
        <f t="shared" si="1"/>
        <v>1184154.6160266539</v>
      </c>
      <c r="E12" s="1">
        <f t="shared" si="1"/>
        <v>6309.484305019284</v>
      </c>
      <c r="G12" s="1">
        <f t="shared" si="1"/>
        <v>7806429.8096860824</v>
      </c>
      <c r="H12" s="1">
        <f t="shared" si="1"/>
        <v>6016627.0165195437</v>
      </c>
      <c r="I12" s="1">
        <f t="shared" si="1"/>
        <v>9531315.6059512813</v>
      </c>
      <c r="J12" s="1">
        <f t="shared" si="1"/>
        <v>0</v>
      </c>
      <c r="K12" s="1">
        <f>SUM(B12:J12)</f>
        <v>50831473.899999999</v>
      </c>
    </row>
    <row r="14" spans="1:11" x14ac:dyDescent="0.2">
      <c r="A14" t="s">
        <v>5</v>
      </c>
      <c r="B14" s="1">
        <f>B$9/($K$9-$J$9-$I$9)*-I14</f>
        <v>6066471.5903775832</v>
      </c>
      <c r="C14" s="1">
        <f t="shared" ref="C14:H14" si="2">C$9/($K$9-$J$9-$I$9)*-$I$14</f>
        <v>0</v>
      </c>
      <c r="D14" s="1">
        <f t="shared" si="2"/>
        <v>273281.06810720061</v>
      </c>
      <c r="E14" s="1">
        <f t="shared" si="2"/>
        <v>1456.1127294904511</v>
      </c>
      <c r="G14" s="1">
        <f t="shared" si="2"/>
        <v>1801580.171728929</v>
      </c>
      <c r="H14" s="1">
        <f t="shared" si="2"/>
        <v>1388526.6630080771</v>
      </c>
      <c r="I14" s="1">
        <f>-I12</f>
        <v>-9531315.6059512813</v>
      </c>
      <c r="K14" s="1">
        <v>0</v>
      </c>
    </row>
    <row r="15" spans="1:11" x14ac:dyDescent="0.2">
      <c r="A15" t="s">
        <v>4</v>
      </c>
      <c r="B15" s="1">
        <f>+B12+B14</f>
        <v>32353108.957889002</v>
      </c>
      <c r="C15" s="1">
        <f>+C12+C14</f>
        <v>0</v>
      </c>
      <c r="D15" s="1">
        <f>+D12+D14</f>
        <v>1457435.6841338545</v>
      </c>
      <c r="E15" s="1">
        <f>+E12+E14</f>
        <v>7765.5970345097348</v>
      </c>
      <c r="G15" s="1">
        <f>+G12+G14</f>
        <v>9608009.981415011</v>
      </c>
      <c r="H15" s="1">
        <f>+H12+H14</f>
        <v>7405153.6795276208</v>
      </c>
      <c r="I15" s="1">
        <f>+I12+I14</f>
        <v>0</v>
      </c>
      <c r="J15" s="1">
        <f>+J12+J14</f>
        <v>0</v>
      </c>
      <c r="K15" s="1">
        <f>SUM(B15:J15)</f>
        <v>50831473.899999991</v>
      </c>
    </row>
    <row r="17" spans="1:11" x14ac:dyDescent="0.2">
      <c r="A17" t="s">
        <v>6</v>
      </c>
      <c r="B17" s="1">
        <f>B$9/($K$9-$J$9-$I$9-$H$9)*-$H$17</f>
        <v>5516924.8194951871</v>
      </c>
      <c r="C17" s="1">
        <f>C$9/($K$9-$J$9-$I$9-$H$9)*-$H$17</f>
        <v>0</v>
      </c>
      <c r="D17" s="1">
        <f>D$9/($K$9-$J$9-$I$9-$H$9)*-$H$17</f>
        <v>248525.20693085954</v>
      </c>
      <c r="E17" s="1">
        <f>E$9/($K$9-$J$9-$I$9-$H$9)*-$H$17</f>
        <v>1324.2070514351083</v>
      </c>
      <c r="G17" s="1">
        <f>G$9/($K$9-$J$9-$I$9-$H$9)*-$H$17</f>
        <v>1638379.4460501387</v>
      </c>
      <c r="H17" s="1">
        <f>-H15</f>
        <v>-7405153.6795276208</v>
      </c>
      <c r="K17" s="1">
        <v>0</v>
      </c>
    </row>
    <row r="18" spans="1:11" x14ac:dyDescent="0.2">
      <c r="A18" t="s">
        <v>4</v>
      </c>
      <c r="B18" s="1">
        <f>+B15+B17</f>
        <v>37870033.777384192</v>
      </c>
      <c r="C18" s="1">
        <f>+C15+C17</f>
        <v>0</v>
      </c>
      <c r="D18" s="1">
        <f>+D15+D17</f>
        <v>1705960.8910647139</v>
      </c>
      <c r="E18" s="1">
        <f>+E15+E17</f>
        <v>9089.8040859448429</v>
      </c>
      <c r="G18" s="1">
        <f>+G15+G17</f>
        <v>11246389.42746515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50831473.899999999</v>
      </c>
    </row>
    <row r="20" spans="1:11" x14ac:dyDescent="0.2">
      <c r="A20" t="s">
        <v>7</v>
      </c>
      <c r="B20" s="1">
        <f>B$9/($K$9-$J$9-$I$9-$H$9-$G$9)*-$G$20</f>
        <v>10759131.960100347</v>
      </c>
      <c r="C20" s="1">
        <f>C$9/($K$9-$J$9-$I$9-$H$9-$G$9)*-$G$20</f>
        <v>0</v>
      </c>
      <c r="D20" s="1">
        <f>D$9/($K$9-$J$9-$I$9-$H$9-$G$9)*-$G$20</f>
        <v>484674.99272992328</v>
      </c>
      <c r="E20" s="1">
        <f>E$9/($K$9-$J$9-$I$9-$H$9-$G$9)*-$G$20</f>
        <v>2582.4746348799044</v>
      </c>
      <c r="G20" s="1">
        <f>-G18</f>
        <v>-11246389.42746515</v>
      </c>
      <c r="K20" s="1">
        <f>SUM(B20:J20)</f>
        <v>0</v>
      </c>
    </row>
    <row r="22" spans="1:11" x14ac:dyDescent="0.2">
      <c r="A22" t="s">
        <v>8</v>
      </c>
      <c r="B22" s="1">
        <f>+B20+B18</f>
        <v>48629165.737484537</v>
      </c>
      <c r="C22" s="1">
        <f t="shared" ref="C22:K22" si="3">+C20+C18</f>
        <v>0</v>
      </c>
      <c r="D22" s="1">
        <f t="shared" si="3"/>
        <v>2190635.8837946374</v>
      </c>
      <c r="E22" s="1">
        <f t="shared" si="3"/>
        <v>11672.278720824746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50831473.899999999</v>
      </c>
    </row>
    <row r="27" spans="1:11" x14ac:dyDescent="0.2">
      <c r="A27" t="s">
        <v>9</v>
      </c>
      <c r="B27" s="1">
        <f>+B9</f>
        <v>23592789.629999999</v>
      </c>
    </row>
    <row r="28" spans="1:11" x14ac:dyDescent="0.2">
      <c r="A28" t="s">
        <v>10</v>
      </c>
      <c r="B28" s="1">
        <f>+B22-B27</f>
        <v>25036376.107484538</v>
      </c>
    </row>
    <row r="29" spans="1:11" x14ac:dyDescent="0.2">
      <c r="A29" s="28" t="s">
        <v>169</v>
      </c>
      <c r="B29" s="1">
        <v>5100</v>
      </c>
    </row>
    <row r="30" spans="1:11" x14ac:dyDescent="0.2">
      <c r="A30" t="s">
        <v>11</v>
      </c>
      <c r="B30" s="1">
        <f>+B28/B29</f>
        <v>4909.0933544087329</v>
      </c>
    </row>
  </sheetData>
  <phoneticPr fontId="0" type="noConversion"/>
  <pageMargins left="0.57999999999999996" right="0.55000000000000004" top="0.75" bottom="0.56000000000000005" header="0.5" footer="0.5"/>
  <pageSetup scale="97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Table'!B9</f>
        <v>9297994.6799999997</v>
      </c>
      <c r="C9" s="1">
        <f>'Master Expend Table'!C9</f>
        <v>0</v>
      </c>
      <c r="D9" s="1">
        <f>'Master Expend Table'!D9</f>
        <v>0</v>
      </c>
      <c r="E9" s="1">
        <f>'Master Expend Table'!E9</f>
        <v>0</v>
      </c>
      <c r="G9" s="1">
        <f>'Master Expend Table'!G9</f>
        <v>1325144.79</v>
      </c>
      <c r="H9" s="1">
        <f>'Master Expend Table'!H9</f>
        <v>1815787.62</v>
      </c>
      <c r="I9" s="1">
        <f>'Master Expend Table'!I9</f>
        <v>3274083.17</v>
      </c>
      <c r="J9" s="1">
        <f>'Master Expend Table'!J9</f>
        <v>1703064.14</v>
      </c>
      <c r="K9" s="1">
        <f>SUM(B9:J9)</f>
        <v>17416074.399999999</v>
      </c>
    </row>
    <row r="11" spans="1:11" x14ac:dyDescent="0.2">
      <c r="A11" t="s">
        <v>3</v>
      </c>
      <c r="B11" s="1">
        <f>(B9/($K9-$J9))*-$J$11</f>
        <v>1007768.7885006686</v>
      </c>
      <c r="C11" s="1">
        <f t="shared" ref="C11:I11" si="0">(C9/($K9-$J9))*-$J$11</f>
        <v>0</v>
      </c>
      <c r="D11" s="1">
        <f t="shared" si="0"/>
        <v>0</v>
      </c>
      <c r="E11" s="1">
        <f t="shared" si="0"/>
        <v>0</v>
      </c>
      <c r="G11" s="1">
        <f t="shared" si="0"/>
        <v>143626.62117658611</v>
      </c>
      <c r="H11" s="1">
        <f t="shared" si="0"/>
        <v>196805.24166334677</v>
      </c>
      <c r="I11" s="1">
        <f t="shared" si="0"/>
        <v>354863.48865939863</v>
      </c>
      <c r="J11" s="1">
        <f>-J9</f>
        <v>-1703064.14</v>
      </c>
      <c r="K11" s="1">
        <v>0</v>
      </c>
    </row>
    <row r="12" spans="1:11" x14ac:dyDescent="0.2">
      <c r="A12" t="s">
        <v>4</v>
      </c>
      <c r="B12" s="1">
        <f>+B9+B11</f>
        <v>10305763.468500668</v>
      </c>
      <c r="C12" s="1">
        <f t="shared" ref="C12:J12" si="1">+C9+C11</f>
        <v>0</v>
      </c>
      <c r="D12" s="1">
        <f t="shared" si="1"/>
        <v>0</v>
      </c>
      <c r="E12" s="1">
        <f t="shared" si="1"/>
        <v>0</v>
      </c>
      <c r="G12" s="1">
        <f t="shared" si="1"/>
        <v>1468771.4111765861</v>
      </c>
      <c r="H12" s="1">
        <f t="shared" si="1"/>
        <v>2012592.8616633469</v>
      </c>
      <c r="I12" s="1">
        <f t="shared" si="1"/>
        <v>3628946.6586593986</v>
      </c>
      <c r="J12" s="1">
        <f t="shared" si="1"/>
        <v>0</v>
      </c>
      <c r="K12" s="1">
        <f>SUM(B12:J12)</f>
        <v>17416074.399999999</v>
      </c>
    </row>
    <row r="14" spans="1:11" x14ac:dyDescent="0.2">
      <c r="A14" t="s">
        <v>5</v>
      </c>
      <c r="B14" s="1">
        <f>B$9/($K$9-$J$9-$I$9)*-I14</f>
        <v>2712607.4847198795</v>
      </c>
      <c r="C14" s="1">
        <f t="shared" ref="C14:H14" si="2">C$9/($K$9-$J$9-$I$9)*-$I$14</f>
        <v>0</v>
      </c>
      <c r="D14" s="1">
        <f t="shared" si="2"/>
        <v>0</v>
      </c>
      <c r="E14" s="1">
        <f t="shared" si="2"/>
        <v>0</v>
      </c>
      <c r="G14" s="1">
        <f t="shared" si="2"/>
        <v>386599.23987949122</v>
      </c>
      <c r="H14" s="1">
        <f t="shared" si="2"/>
        <v>529739.93406002852</v>
      </c>
      <c r="I14" s="1">
        <f>-I12</f>
        <v>-3628946.6586593986</v>
      </c>
      <c r="K14" s="1">
        <v>0</v>
      </c>
    </row>
    <row r="15" spans="1:11" x14ac:dyDescent="0.2">
      <c r="A15" t="s">
        <v>4</v>
      </c>
      <c r="B15" s="1">
        <f>+B12+B14</f>
        <v>13018370.953220548</v>
      </c>
      <c r="C15" s="1">
        <f>+C12+C14</f>
        <v>0</v>
      </c>
      <c r="D15" s="1">
        <f>+D12+D14</f>
        <v>0</v>
      </c>
      <c r="E15" s="1">
        <f>+E12+E14</f>
        <v>0</v>
      </c>
      <c r="G15" s="1">
        <f>+G12+G14</f>
        <v>1855370.6510560773</v>
      </c>
      <c r="H15" s="1">
        <f>+H12+H14</f>
        <v>2542332.7957233754</v>
      </c>
      <c r="I15" s="1">
        <f>+I12+I14</f>
        <v>0</v>
      </c>
      <c r="J15" s="1">
        <f>+J12+J14</f>
        <v>0</v>
      </c>
      <c r="K15" s="1">
        <f>SUM(B15:J15)</f>
        <v>17416074.400000002</v>
      </c>
    </row>
    <row r="17" spans="1:11" x14ac:dyDescent="0.2">
      <c r="A17" t="s">
        <v>6</v>
      </c>
      <c r="B17" s="1">
        <f>B$9/($K$9-$J$9-$I$9-$H$9)*-$H$17</f>
        <v>2225198.763151085</v>
      </c>
      <c r="C17" s="1">
        <f>C$9/($K$9-$J$9-$I$9-$H$9)*-$H$17</f>
        <v>0</v>
      </c>
      <c r="D17" s="1">
        <f>D$9/($K$9-$J$9-$I$9-$H$9)*-$H$17</f>
        <v>0</v>
      </c>
      <c r="E17" s="1">
        <f>E$9/($K$9-$J$9-$I$9-$H$9)*-$H$17</f>
        <v>0</v>
      </c>
      <c r="G17" s="1">
        <f>G$9/($K$9-$J$9-$I$9-$H$9)*-$H$17</f>
        <v>317134.03257229057</v>
      </c>
      <c r="H17" s="1">
        <f>-H15</f>
        <v>-2542332.7957233754</v>
      </c>
      <c r="K17" s="1">
        <v>0</v>
      </c>
    </row>
    <row r="18" spans="1:11" x14ac:dyDescent="0.2">
      <c r="A18" t="s">
        <v>4</v>
      </c>
      <c r="B18" s="1">
        <f>+B15+B17</f>
        <v>15243569.716371633</v>
      </c>
      <c r="C18" s="1">
        <f>+C15+C17</f>
        <v>0</v>
      </c>
      <c r="D18" s="1">
        <f>+D15+D17</f>
        <v>0</v>
      </c>
      <c r="E18" s="1">
        <f>+E15+E17</f>
        <v>0</v>
      </c>
      <c r="G18" s="1">
        <f>+G15+G17</f>
        <v>2172504.6836283677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17416074.400000002</v>
      </c>
    </row>
    <row r="20" spans="1:11" x14ac:dyDescent="0.2">
      <c r="A20" t="s">
        <v>7</v>
      </c>
      <c r="B20" s="1">
        <f>B$9/($K$9-$J$9-$I$9-$H$9-$G$9)*-$G$20</f>
        <v>2172504.6836283677</v>
      </c>
      <c r="C20" s="1">
        <f>C$9/($K$9-$J$9-$I$9-$H$9-$G$9)*-$G$20</f>
        <v>0</v>
      </c>
      <c r="D20" s="1">
        <f>D$9/($K$9-$J$9-$I$9-$H$9-$G$9)*-$G$20</f>
        <v>0</v>
      </c>
      <c r="E20" s="1">
        <f>E$9/($K$9-$J$9-$I$9-$H$9-$G$9)*-$G$20</f>
        <v>0</v>
      </c>
      <c r="G20" s="1">
        <f>-G18</f>
        <v>-2172504.6836283677</v>
      </c>
      <c r="K20" s="1">
        <f>SUM(B20:J20)</f>
        <v>0</v>
      </c>
    </row>
    <row r="22" spans="1:11" x14ac:dyDescent="0.2">
      <c r="A22" t="s">
        <v>8</v>
      </c>
      <c r="B22" s="1">
        <f>+B20+B18</f>
        <v>17416074.400000002</v>
      </c>
      <c r="C22" s="1">
        <f t="shared" ref="C22:K22" si="3">+C20+C18</f>
        <v>0</v>
      </c>
      <c r="D22" s="1">
        <f t="shared" si="3"/>
        <v>0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17416074.400000002</v>
      </c>
    </row>
    <row r="27" spans="1:11" x14ac:dyDescent="0.2">
      <c r="A27" t="s">
        <v>9</v>
      </c>
      <c r="B27" s="1">
        <f>+B9</f>
        <v>9297994.6799999997</v>
      </c>
    </row>
    <row r="28" spans="1:11" x14ac:dyDescent="0.2">
      <c r="A28" t="s">
        <v>10</v>
      </c>
      <c r="B28" s="1">
        <f>+B22-B27</f>
        <v>8118079.7200000025</v>
      </c>
    </row>
    <row r="29" spans="1:11" x14ac:dyDescent="0.2">
      <c r="A29" s="28" t="s">
        <v>169</v>
      </c>
      <c r="B29" s="1">
        <v>1213</v>
      </c>
    </row>
    <row r="30" spans="1:11" x14ac:dyDescent="0.2">
      <c r="A30" t="s">
        <v>11</v>
      </c>
      <c r="B30" s="1">
        <f>+B28/B29</f>
        <v>6692.5636603462508</v>
      </c>
    </row>
  </sheetData>
  <phoneticPr fontId="0" type="noConversion"/>
  <pageMargins left="0.46" right="0.55000000000000004" top="0.59" bottom="0.57999999999999996" header="0.5" footer="0.5"/>
  <pageSetup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Table'!B10</f>
        <v>27652187.439999998</v>
      </c>
      <c r="C9" s="1">
        <f>'Master Expend Table'!C10</f>
        <v>0</v>
      </c>
      <c r="D9" s="1">
        <f>'Master Expend Table'!D10</f>
        <v>65611.540000000008</v>
      </c>
      <c r="E9" s="1">
        <f>'Master Expend Table'!E10</f>
        <v>4575621.0999999996</v>
      </c>
      <c r="G9" s="1">
        <f>'Master Expend Table'!G10</f>
        <v>8208395.3499999996</v>
      </c>
      <c r="H9" s="1">
        <f>'Master Expend Table'!H10</f>
        <v>8082629.4900000002</v>
      </c>
      <c r="I9" s="1">
        <f>'Master Expend Table'!I10</f>
        <v>11396816.399999999</v>
      </c>
      <c r="J9" s="1">
        <f>'Master Expend Table'!J10</f>
        <v>7552205.6499999994</v>
      </c>
      <c r="K9" s="1">
        <f>SUM(B9:J9)</f>
        <v>67533466.969999999</v>
      </c>
    </row>
    <row r="11" spans="1:11" x14ac:dyDescent="0.2">
      <c r="A11" t="s">
        <v>3</v>
      </c>
      <c r="B11" s="1">
        <f>(B9/($K9-$J9))*-$J$11</f>
        <v>3481670.8022375912</v>
      </c>
      <c r="C11" s="1">
        <f t="shared" ref="C11:I11" si="0">(C9/($K9-$J9))*-$J$11</f>
        <v>0</v>
      </c>
      <c r="D11" s="1">
        <f t="shared" si="0"/>
        <v>8261.1107567352683</v>
      </c>
      <c r="E11" s="1">
        <f t="shared" si="0"/>
        <v>576113.78559251688</v>
      </c>
      <c r="G11" s="1">
        <f t="shared" si="0"/>
        <v>1033514.273882624</v>
      </c>
      <c r="H11" s="1">
        <f t="shared" si="0"/>
        <v>1017679.167758365</v>
      </c>
      <c r="I11" s="1">
        <f t="shared" si="0"/>
        <v>1434966.5097721664</v>
      </c>
      <c r="J11" s="1">
        <f>-J9</f>
        <v>-7552205.6499999994</v>
      </c>
      <c r="K11" s="1">
        <v>0</v>
      </c>
    </row>
    <row r="12" spans="1:11" x14ac:dyDescent="0.2">
      <c r="A12" t="s">
        <v>4</v>
      </c>
      <c r="B12" s="1">
        <f>+B9+B11</f>
        <v>31133858.24223759</v>
      </c>
      <c r="C12" s="1">
        <f t="shared" ref="C12:J12" si="1">+C9+C11</f>
        <v>0</v>
      </c>
      <c r="D12" s="1">
        <f t="shared" si="1"/>
        <v>73872.650756735282</v>
      </c>
      <c r="E12" s="1">
        <f t="shared" si="1"/>
        <v>5151734.8855925165</v>
      </c>
      <c r="G12" s="1">
        <f t="shared" si="1"/>
        <v>9241909.6238826234</v>
      </c>
      <c r="H12" s="1">
        <f t="shared" si="1"/>
        <v>9100308.6577583645</v>
      </c>
      <c r="I12" s="1">
        <f t="shared" si="1"/>
        <v>12831782.909772165</v>
      </c>
      <c r="J12" s="1">
        <f t="shared" si="1"/>
        <v>0</v>
      </c>
      <c r="K12" s="1">
        <f>SUM(B12:J12)</f>
        <v>67533466.969999999</v>
      </c>
    </row>
    <row r="14" spans="1:11" x14ac:dyDescent="0.2">
      <c r="A14" t="s">
        <v>5</v>
      </c>
      <c r="B14" s="1">
        <f>B$9/($K$9-$J$9-$I$9)*-I14</f>
        <v>7303301.8447503643</v>
      </c>
      <c r="C14" s="1">
        <f t="shared" ref="C14:H14" si="2">C$9/($K$9-$J$9-$I$9)*-$I$14</f>
        <v>0</v>
      </c>
      <c r="D14" s="1">
        <f t="shared" si="2"/>
        <v>17328.859865377523</v>
      </c>
      <c r="E14" s="1">
        <f t="shared" si="2"/>
        <v>1208480.9598885276</v>
      </c>
      <c r="G14" s="1">
        <f t="shared" si="2"/>
        <v>2167943.8211596082</v>
      </c>
      <c r="H14" s="1">
        <f t="shared" si="2"/>
        <v>2134727.4241082864</v>
      </c>
      <c r="I14" s="1">
        <f>-I12</f>
        <v>-12831782.909772165</v>
      </c>
      <c r="K14" s="1">
        <v>0</v>
      </c>
    </row>
    <row r="15" spans="1:11" x14ac:dyDescent="0.2">
      <c r="A15" t="s">
        <v>4</v>
      </c>
      <c r="B15" s="1">
        <f>+B12+B14</f>
        <v>38437160.086987957</v>
      </c>
      <c r="C15" s="1">
        <f>+C12+C14</f>
        <v>0</v>
      </c>
      <c r="D15" s="1">
        <f>+D12+D14</f>
        <v>91201.510622112808</v>
      </c>
      <c r="E15" s="1">
        <f>+E12+E14</f>
        <v>6360215.8454810437</v>
      </c>
      <c r="G15" s="1">
        <f>+G12+G14</f>
        <v>11409853.445042232</v>
      </c>
      <c r="H15" s="1">
        <f>+H12+H14</f>
        <v>11235036.081866652</v>
      </c>
      <c r="I15" s="1">
        <f>+I12+I14</f>
        <v>0</v>
      </c>
      <c r="J15" s="1">
        <f>+J12+J14</f>
        <v>0</v>
      </c>
      <c r="K15" s="1">
        <f>SUM(B15:J15)</f>
        <v>67533466.969999999</v>
      </c>
    </row>
    <row r="17" spans="1:11" x14ac:dyDescent="0.2">
      <c r="A17" t="s">
        <v>6</v>
      </c>
      <c r="B17" s="1">
        <f>B$9/($K$9-$J$9-$I$9-$H$9)*-$H$17</f>
        <v>7670602.4244242087</v>
      </c>
      <c r="C17" s="1">
        <f>C$9/($K$9-$J$9-$I$9-$H$9)*-$H$17</f>
        <v>0</v>
      </c>
      <c r="D17" s="1">
        <f>D$9/($K$9-$J$9-$I$9-$H$9)*-$H$17</f>
        <v>18200.369821961762</v>
      </c>
      <c r="E17" s="1">
        <f>E$9/($K$9-$J$9-$I$9-$H$9)*-$H$17</f>
        <v>1269258.3680427477</v>
      </c>
      <c r="G17" s="1">
        <f>G$9/($K$9-$J$9-$I$9-$H$9)*-$H$17</f>
        <v>2276974.9195777331</v>
      </c>
      <c r="H17" s="1">
        <f>-H15</f>
        <v>-11235036.081866652</v>
      </c>
      <c r="K17" s="1">
        <v>0</v>
      </c>
    </row>
    <row r="18" spans="1:11" x14ac:dyDescent="0.2">
      <c r="A18" t="s">
        <v>4</v>
      </c>
      <c r="B18" s="1">
        <f>+B15+B17</f>
        <v>46107762.511412166</v>
      </c>
      <c r="C18" s="1">
        <f>+C15+C17</f>
        <v>0</v>
      </c>
      <c r="D18" s="1">
        <f>+D15+D17</f>
        <v>109401.88044407457</v>
      </c>
      <c r="E18" s="1">
        <f>+E15+E17</f>
        <v>7629474.2135237912</v>
      </c>
      <c r="G18" s="1">
        <f>+G15+G17</f>
        <v>13686828.364619965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67533466.969999999</v>
      </c>
    </row>
    <row r="20" spans="1:11" x14ac:dyDescent="0.2">
      <c r="A20" t="s">
        <v>7</v>
      </c>
      <c r="B20" s="1">
        <f>B$9/($K$9-$J$9-$I$9-$H$9-$G$9)*-$G$20</f>
        <v>11719747.93812486</v>
      </c>
      <c r="C20" s="1">
        <f>C$9/($K$9-$J$9-$I$9-$H$9-$G$9)*-$G$20</f>
        <v>0</v>
      </c>
      <c r="D20" s="1">
        <f>D$9/($K$9-$J$9-$I$9-$H$9-$G$9)*-$G$20</f>
        <v>27807.952347374834</v>
      </c>
      <c r="E20" s="1">
        <f>E$9/($K$9-$J$9-$I$9-$H$9-$G$9)*-$G$20</f>
        <v>1939272.4741477307</v>
      </c>
      <c r="G20" s="1">
        <f>-G18</f>
        <v>-13686828.364619965</v>
      </c>
      <c r="K20" s="1">
        <f>SUM(B20:J20)</f>
        <v>0</v>
      </c>
    </row>
    <row r="22" spans="1:11" x14ac:dyDescent="0.2">
      <c r="A22" t="s">
        <v>8</v>
      </c>
      <c r="B22" s="1">
        <f>+B20+B18</f>
        <v>57827510.449537024</v>
      </c>
      <c r="C22" s="1">
        <f t="shared" ref="C22:K22" si="3">+C20+C18</f>
        <v>0</v>
      </c>
      <c r="D22" s="1">
        <f t="shared" si="3"/>
        <v>137209.83279144941</v>
      </c>
      <c r="E22" s="1">
        <f t="shared" si="3"/>
        <v>9568746.6876715217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67533466.969999999</v>
      </c>
    </row>
    <row r="27" spans="1:11" x14ac:dyDescent="0.2">
      <c r="A27" t="s">
        <v>9</v>
      </c>
      <c r="B27" s="1">
        <f>+B9</f>
        <v>27652187.439999998</v>
      </c>
    </row>
    <row r="28" spans="1:11" x14ac:dyDescent="0.2">
      <c r="A28" t="s">
        <v>10</v>
      </c>
      <c r="B28" s="1">
        <f>+B22-B27</f>
        <v>30175323.009537026</v>
      </c>
    </row>
    <row r="29" spans="1:11" x14ac:dyDescent="0.2">
      <c r="A29" s="28" t="s">
        <v>169</v>
      </c>
      <c r="B29" s="1">
        <f>'BEMIDJI SU'!B29+'NTC-Bemidji'!B29</f>
        <v>4265</v>
      </c>
    </row>
    <row r="30" spans="1:11" x14ac:dyDescent="0.2">
      <c r="A30" t="s">
        <v>11</v>
      </c>
      <c r="B30" s="1">
        <f>+B28/B29</f>
        <v>7075.1050432677666</v>
      </c>
    </row>
  </sheetData>
  <phoneticPr fontId="11" type="noConversion"/>
  <pageMargins left="0.66" right="0.35" top="0.89" bottom="0.69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Table'!B11</f>
        <v>23820765.489999998</v>
      </c>
      <c r="C9" s="1">
        <f>'Master Expend Table'!C11</f>
        <v>0</v>
      </c>
      <c r="D9" s="1">
        <f>'Master Expend Table'!D11</f>
        <v>34852</v>
      </c>
      <c r="E9" s="1">
        <f>'Master Expend Table'!E11</f>
        <v>4575621.0999999996</v>
      </c>
      <c r="G9" s="1">
        <f>'Master Expend Table'!G11</f>
        <v>7609856.3300000001</v>
      </c>
      <c r="H9" s="1">
        <f>'Master Expend Table'!H11</f>
        <v>6555175.96</v>
      </c>
      <c r="I9" s="1">
        <f>'Master Expend Table'!I11</f>
        <v>9474550.9499999993</v>
      </c>
      <c r="J9" s="1">
        <f>'Master Expend Table'!J11</f>
        <v>6971105.5599999996</v>
      </c>
      <c r="K9" s="1">
        <f>SUM(B9:J9)</f>
        <v>59041927.390000001</v>
      </c>
    </row>
    <row r="11" spans="1:11" x14ac:dyDescent="0.2">
      <c r="A11" t="s">
        <v>3</v>
      </c>
      <c r="B11" s="1">
        <f>(B9/($K9-$J9))*-$J$11</f>
        <v>3189061.8376052454</v>
      </c>
      <c r="C11" s="1">
        <f t="shared" ref="C11:I11" si="0">(C9/($K9-$J9))*-$J$11</f>
        <v>0</v>
      </c>
      <c r="D11" s="1">
        <f t="shared" si="0"/>
        <v>4665.894688013992</v>
      </c>
      <c r="E11" s="1">
        <f t="shared" si="0"/>
        <v>612572.19628298911</v>
      </c>
      <c r="G11" s="1">
        <f t="shared" si="0"/>
        <v>1018787.6800957377</v>
      </c>
      <c r="H11" s="1">
        <f t="shared" si="0"/>
        <v>877589.82815221557</v>
      </c>
      <c r="I11" s="1">
        <f t="shared" si="0"/>
        <v>1268428.123175798</v>
      </c>
      <c r="J11" s="1">
        <f>-J9</f>
        <v>-6971105.5599999996</v>
      </c>
      <c r="K11" s="1">
        <v>0</v>
      </c>
    </row>
    <row r="12" spans="1:11" x14ac:dyDescent="0.2">
      <c r="A12" t="s">
        <v>4</v>
      </c>
      <c r="B12" s="1">
        <f>+B9+B11</f>
        <v>27009827.327605244</v>
      </c>
      <c r="C12" s="1">
        <f t="shared" ref="C12:J12" si="1">+C9+C11</f>
        <v>0</v>
      </c>
      <c r="D12" s="1">
        <f t="shared" si="1"/>
        <v>39517.894688013992</v>
      </c>
      <c r="E12" s="1">
        <f t="shared" si="1"/>
        <v>5188193.296282989</v>
      </c>
      <c r="G12" s="1">
        <f t="shared" si="1"/>
        <v>8628644.0100957379</v>
      </c>
      <c r="H12" s="1">
        <f t="shared" si="1"/>
        <v>7432765.788152216</v>
      </c>
      <c r="I12" s="1">
        <f t="shared" si="1"/>
        <v>10742979.073175797</v>
      </c>
      <c r="J12" s="1">
        <f t="shared" si="1"/>
        <v>0</v>
      </c>
      <c r="K12" s="1">
        <f>SUM(B12:J12)</f>
        <v>59041927.389999993</v>
      </c>
    </row>
    <row r="14" spans="1:11" x14ac:dyDescent="0.2">
      <c r="A14" t="s">
        <v>5</v>
      </c>
      <c r="B14" s="1">
        <f>B$9/($K$9-$J$9-$I$9)*-I14</f>
        <v>6007708.6533472203</v>
      </c>
      <c r="C14" s="1">
        <f t="shared" ref="C14:H14" si="2">C$9/($K$9-$J$9-$I$9)*-$I$14</f>
        <v>0</v>
      </c>
      <c r="D14" s="1">
        <f t="shared" si="2"/>
        <v>8789.8376764741552</v>
      </c>
      <c r="E14" s="1">
        <f t="shared" si="2"/>
        <v>1153993.07752927</v>
      </c>
      <c r="G14" s="1">
        <f t="shared" si="2"/>
        <v>1919241.4174793223</v>
      </c>
      <c r="H14" s="1">
        <f t="shared" si="2"/>
        <v>1653246.087143511</v>
      </c>
      <c r="I14" s="1">
        <f>-I12</f>
        <v>-10742979.073175797</v>
      </c>
      <c r="K14" s="1">
        <v>0</v>
      </c>
    </row>
    <row r="15" spans="1:11" x14ac:dyDescent="0.2">
      <c r="A15" t="s">
        <v>4</v>
      </c>
      <c r="B15" s="1">
        <f>+B12+B14</f>
        <v>33017535.980952464</v>
      </c>
      <c r="C15" s="1">
        <f>+C12+C14</f>
        <v>0</v>
      </c>
      <c r="D15" s="1">
        <f>+D12+D14</f>
        <v>48307.732364488147</v>
      </c>
      <c r="E15" s="1">
        <f>+E12+E14</f>
        <v>6342186.3738122592</v>
      </c>
      <c r="G15" s="1">
        <f>+G12+G14</f>
        <v>10547885.427575059</v>
      </c>
      <c r="H15" s="1">
        <f>+H12+H14</f>
        <v>9086011.8752957266</v>
      </c>
      <c r="I15" s="1">
        <f>+I12+I14</f>
        <v>0</v>
      </c>
      <c r="J15" s="1">
        <f>+J12+J14</f>
        <v>0</v>
      </c>
      <c r="K15" s="1">
        <f>SUM(B15:J15)</f>
        <v>59041927.390000001</v>
      </c>
    </row>
    <row r="17" spans="1:11" x14ac:dyDescent="0.2">
      <c r="A17" t="s">
        <v>6</v>
      </c>
      <c r="B17" s="1">
        <f>B$9/($K$9-$J$9-$I$9-$H$9)*-$H$17</f>
        <v>6005249.2467610817</v>
      </c>
      <c r="C17" s="1">
        <f>C$9/($K$9-$J$9-$I$9-$H$9)*-$H$17</f>
        <v>0</v>
      </c>
      <c r="D17" s="1">
        <f>D$9/($K$9-$J$9-$I$9-$H$9)*-$H$17</f>
        <v>8786.2393354226861</v>
      </c>
      <c r="E17" s="1">
        <f>E$9/($K$9-$J$9-$I$9-$H$9)*-$H$17</f>
        <v>1153520.6614486976</v>
      </c>
      <c r="G17" s="1">
        <f>G$9/($K$9-$J$9-$I$9-$H$9)*-$H$17</f>
        <v>1918455.7277505253</v>
      </c>
      <c r="H17" s="1">
        <f>-H15</f>
        <v>-9086011.8752957266</v>
      </c>
      <c r="K17" s="1">
        <v>0</v>
      </c>
    </row>
    <row r="18" spans="1:11" x14ac:dyDescent="0.2">
      <c r="A18" t="s">
        <v>4</v>
      </c>
      <c r="B18" s="1">
        <f>+B15+B17</f>
        <v>39022785.227713548</v>
      </c>
      <c r="C18" s="1">
        <f>+C15+C17</f>
        <v>0</v>
      </c>
      <c r="D18" s="1">
        <f>+D15+D17</f>
        <v>57093.971699910835</v>
      </c>
      <c r="E18" s="1">
        <f>+E15+E17</f>
        <v>7495707.0352609567</v>
      </c>
      <c r="G18" s="1">
        <f>+G15+G17</f>
        <v>12466341.155325584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59041927.389999993</v>
      </c>
    </row>
    <row r="20" spans="1:11" x14ac:dyDescent="0.2">
      <c r="A20" t="s">
        <v>7</v>
      </c>
      <c r="B20" s="1">
        <f>B$9/($K$9-$J$9-$I$9-$H$9-$G$9)*-$G$20</f>
        <v>10444771.452334622</v>
      </c>
      <c r="C20" s="1">
        <f>C$9/($K$9-$J$9-$I$9-$H$9-$G$9)*-$G$20</f>
        <v>0</v>
      </c>
      <c r="D20" s="1">
        <f>D$9/($K$9-$J$9-$I$9-$H$9-$G$9)*-$G$20</f>
        <v>15281.674084301907</v>
      </c>
      <c r="E20" s="1">
        <f>E$9/($K$9-$J$9-$I$9-$H$9-$G$9)*-$G$20</f>
        <v>2006288.0289066618</v>
      </c>
      <c r="G20" s="1">
        <f>-G18</f>
        <v>-12466341.155325584</v>
      </c>
      <c r="K20" s="1">
        <f>SUM(B20:J20)</f>
        <v>0</v>
      </c>
    </row>
    <row r="22" spans="1:11" x14ac:dyDescent="0.2">
      <c r="A22" t="s">
        <v>8</v>
      </c>
      <c r="B22" s="1">
        <f>+B20+B18</f>
        <v>49467556.680048168</v>
      </c>
      <c r="C22" s="1">
        <f t="shared" ref="C22:K22" si="3">+C20+C18</f>
        <v>0</v>
      </c>
      <c r="D22" s="1">
        <f t="shared" si="3"/>
        <v>72375.645784212742</v>
      </c>
      <c r="E22" s="1">
        <f t="shared" si="3"/>
        <v>9501995.0641676188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59041927.389999993</v>
      </c>
    </row>
    <row r="27" spans="1:11" x14ac:dyDescent="0.2">
      <c r="A27" t="s">
        <v>9</v>
      </c>
      <c r="B27" s="1">
        <f>+B9</f>
        <v>23820765.489999998</v>
      </c>
    </row>
    <row r="28" spans="1:11" x14ac:dyDescent="0.2">
      <c r="A28" t="s">
        <v>10</v>
      </c>
      <c r="B28" s="1">
        <f>+B22-B27</f>
        <v>25646791.190048169</v>
      </c>
    </row>
    <row r="29" spans="1:11" x14ac:dyDescent="0.2">
      <c r="A29" s="28" t="s">
        <v>169</v>
      </c>
      <c r="B29" s="1">
        <v>3757</v>
      </c>
    </row>
    <row r="30" spans="1:11" x14ac:dyDescent="0.2">
      <c r="A30" t="s">
        <v>11</v>
      </c>
      <c r="B30" s="1">
        <f>+B28/B29</f>
        <v>6826.4017008379478</v>
      </c>
    </row>
  </sheetData>
  <phoneticPr fontId="0" type="noConversion"/>
  <pageMargins left="0.52" right="0.55000000000000004" top="1" bottom="0.55000000000000004" header="0.5" footer="0.5"/>
  <pageSetup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85546875" style="1" customWidth="1"/>
    <col min="8" max="8" width="11.42578125" style="1" customWidth="1"/>
    <col min="9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- F.Y. 2020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Table'!B12</f>
        <v>3831421.95</v>
      </c>
      <c r="C9" s="1">
        <f>'Master Expend Table'!C12</f>
        <v>0</v>
      </c>
      <c r="D9" s="1">
        <f>'Master Expend Table'!D12</f>
        <v>30759.54</v>
      </c>
      <c r="E9" s="1">
        <f>'Master Expend Table'!E12</f>
        <v>0</v>
      </c>
      <c r="G9" s="1">
        <f>'Master Expend Table'!G12</f>
        <v>598539.02</v>
      </c>
      <c r="H9" s="1">
        <f>'Master Expend Table'!H12</f>
        <v>1527453.53</v>
      </c>
      <c r="I9" s="1">
        <f>'Master Expend Table'!I12</f>
        <v>1922265.45</v>
      </c>
      <c r="J9" s="1">
        <f>'Master Expend Table'!J12</f>
        <v>581100.09</v>
      </c>
      <c r="K9" s="1">
        <f>SUM(B9:J9)</f>
        <v>8491539.5800000001</v>
      </c>
    </row>
    <row r="11" spans="1:11" x14ac:dyDescent="0.2">
      <c r="A11" t="s">
        <v>3</v>
      </c>
      <c r="B11" s="1">
        <f>(B9/($K9-$J9))*-$J$11</f>
        <v>281455.87141998042</v>
      </c>
      <c r="C11" s="1">
        <f t="shared" ref="C11:I11" si="0">(C9/($K9-$J9))*-$J$11</f>
        <v>0</v>
      </c>
      <c r="D11" s="1">
        <f t="shared" si="0"/>
        <v>2259.5927173141931</v>
      </c>
      <c r="E11" s="1">
        <f t="shared" si="0"/>
        <v>0</v>
      </c>
      <c r="G11" s="1">
        <f t="shared" si="0"/>
        <v>43968.616260853516</v>
      </c>
      <c r="H11" s="1">
        <f t="shared" si="0"/>
        <v>112206.58281703356</v>
      </c>
      <c r="I11" s="1">
        <f t="shared" si="0"/>
        <v>141209.42678481829</v>
      </c>
      <c r="J11" s="1">
        <f>-J9</f>
        <v>-581100.09</v>
      </c>
      <c r="K11" s="1">
        <v>0</v>
      </c>
    </row>
    <row r="12" spans="1:11" x14ac:dyDescent="0.2">
      <c r="A12" t="s">
        <v>4</v>
      </c>
      <c r="B12" s="1">
        <f>+B9+B11</f>
        <v>4112877.8214199804</v>
      </c>
      <c r="C12" s="1">
        <f t="shared" ref="C12:J12" si="1">+C9+C11</f>
        <v>0</v>
      </c>
      <c r="D12" s="1">
        <f t="shared" si="1"/>
        <v>33019.132717314191</v>
      </c>
      <c r="E12" s="1">
        <f t="shared" si="1"/>
        <v>0</v>
      </c>
      <c r="G12" s="1">
        <f t="shared" si="1"/>
        <v>642507.6362608535</v>
      </c>
      <c r="H12" s="1">
        <f t="shared" si="1"/>
        <v>1639660.1128170337</v>
      </c>
      <c r="I12" s="1">
        <f t="shared" si="1"/>
        <v>2063474.8767848182</v>
      </c>
      <c r="J12" s="1">
        <f t="shared" si="1"/>
        <v>0</v>
      </c>
      <c r="K12" s="1">
        <f>SUM(B12:J12)</f>
        <v>8491539.5800000001</v>
      </c>
    </row>
    <row r="14" spans="1:11" x14ac:dyDescent="0.2">
      <c r="A14" t="s">
        <v>5</v>
      </c>
      <c r="B14" s="1">
        <f>B$9/($K$9-$J$9-$I$9)*-I14</f>
        <v>1320276.0780458041</v>
      </c>
      <c r="C14" s="1">
        <f t="shared" ref="C14:H14" si="2">C$9/($K$9-$J$9-$I$9)*-$I$14</f>
        <v>0</v>
      </c>
      <c r="D14" s="1">
        <f t="shared" si="2"/>
        <v>10599.481175309609</v>
      </c>
      <c r="E14" s="1">
        <f t="shared" si="2"/>
        <v>0</v>
      </c>
      <c r="G14" s="1">
        <f t="shared" si="2"/>
        <v>206251.55887176015</v>
      </c>
      <c r="H14" s="1">
        <f t="shared" si="2"/>
        <v>526347.75869194441</v>
      </c>
      <c r="I14" s="1">
        <f>-I12</f>
        <v>-2063474.8767848182</v>
      </c>
      <c r="K14" s="1">
        <v>0</v>
      </c>
    </row>
    <row r="15" spans="1:11" x14ac:dyDescent="0.2">
      <c r="A15" t="s">
        <v>4</v>
      </c>
      <c r="B15" s="1">
        <f>+B12+B14</f>
        <v>5433153.8994657844</v>
      </c>
      <c r="C15" s="1">
        <f>+C12+C14</f>
        <v>0</v>
      </c>
      <c r="D15" s="1">
        <f>+D12+D14</f>
        <v>43618.613892623798</v>
      </c>
      <c r="E15" s="1">
        <f>+E12+E14</f>
        <v>0</v>
      </c>
      <c r="G15" s="1">
        <f>+G12+G14</f>
        <v>848759.19513261365</v>
      </c>
      <c r="H15" s="1">
        <f>+H12+H14</f>
        <v>2166007.8715089783</v>
      </c>
      <c r="I15" s="1">
        <f>+I12+I14</f>
        <v>0</v>
      </c>
      <c r="J15" s="1">
        <f>+J12+J14</f>
        <v>0</v>
      </c>
      <c r="K15" s="1">
        <f>SUM(B15:J15)</f>
        <v>8491539.5800000001</v>
      </c>
    </row>
    <row r="17" spans="1:11" x14ac:dyDescent="0.2">
      <c r="A17" t="s">
        <v>6</v>
      </c>
      <c r="B17" s="1">
        <f>B$9/($K$9-$J$9-$I$9-$H$9)*-$H$17</f>
        <v>1860437.1388361834</v>
      </c>
      <c r="C17" s="1">
        <f>C$9/($K$9-$J$9-$I$9-$H$9)*-$H$17</f>
        <v>0</v>
      </c>
      <c r="D17" s="1">
        <f>D$9/($K$9-$J$9-$I$9-$H$9)*-$H$17</f>
        <v>14936.018881845454</v>
      </c>
      <c r="E17" s="1">
        <f>E$9/($K$9-$J$9-$I$9-$H$9)*-$H$17</f>
        <v>0</v>
      </c>
      <c r="G17" s="1">
        <f>G$9/($K$9-$J$9-$I$9-$H$9)*-$H$17</f>
        <v>290634.7137909499</v>
      </c>
      <c r="H17" s="1">
        <f>-H15</f>
        <v>-2166007.8715089783</v>
      </c>
      <c r="K17" s="1">
        <v>0</v>
      </c>
    </row>
    <row r="18" spans="1:11" x14ac:dyDescent="0.2">
      <c r="A18" t="s">
        <v>4</v>
      </c>
      <c r="B18" s="1">
        <f>+B15+B17</f>
        <v>7293591.038301968</v>
      </c>
      <c r="C18" s="1">
        <f>+C15+C17</f>
        <v>0</v>
      </c>
      <c r="D18" s="1">
        <f>+D15+D17</f>
        <v>58554.632774469253</v>
      </c>
      <c r="E18" s="1">
        <f>+E15+E17</f>
        <v>0</v>
      </c>
      <c r="G18" s="1">
        <f>+G15+G17</f>
        <v>1139393.9089235635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8491539.5800000019</v>
      </c>
    </row>
    <row r="20" spans="1:11" x14ac:dyDescent="0.2">
      <c r="A20" t="s">
        <v>7</v>
      </c>
      <c r="B20" s="1">
        <f>B$9/($K$9-$J$9-$I$9-$H$9-$G$9)*-$G$20</f>
        <v>1130319.4434671798</v>
      </c>
      <c r="C20" s="1">
        <f>C$9/($K$9-$J$9-$I$9-$H$9-$G$9)*-$G$20</f>
        <v>0</v>
      </c>
      <c r="D20" s="1">
        <f>D$9/($K$9-$J$9-$I$9-$H$9-$G$9)*-$G$20</f>
        <v>9074.4654563840068</v>
      </c>
      <c r="E20" s="1">
        <f>E$9/($K$9-$J$9-$I$9-$H$9-$G$9)*-$G$20</f>
        <v>0</v>
      </c>
      <c r="G20" s="1">
        <f>-G18</f>
        <v>-1139393.9089235635</v>
      </c>
      <c r="K20" s="1">
        <f>SUM(B20:J20)</f>
        <v>0</v>
      </c>
    </row>
    <row r="22" spans="1:11" x14ac:dyDescent="0.2">
      <c r="A22" t="s">
        <v>8</v>
      </c>
      <c r="B22" s="1">
        <f>+B20+B18</f>
        <v>8423910.4817691483</v>
      </c>
      <c r="C22" s="1">
        <f t="shared" ref="C22:K22" si="3">+C20+C18</f>
        <v>0</v>
      </c>
      <c r="D22" s="1">
        <f t="shared" si="3"/>
        <v>67629.098230853255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8491539.5800000019</v>
      </c>
    </row>
    <row r="27" spans="1:11" x14ac:dyDescent="0.2">
      <c r="A27" t="s">
        <v>9</v>
      </c>
      <c r="B27" s="1">
        <f>+B9</f>
        <v>3831421.95</v>
      </c>
    </row>
    <row r="28" spans="1:11" x14ac:dyDescent="0.2">
      <c r="A28" t="s">
        <v>10</v>
      </c>
      <c r="B28" s="1">
        <f>+B22-B27</f>
        <v>4592488.5317691481</v>
      </c>
    </row>
    <row r="29" spans="1:11" x14ac:dyDescent="0.2">
      <c r="A29" s="28" t="s">
        <v>169</v>
      </c>
      <c r="B29" s="1">
        <v>508</v>
      </c>
    </row>
    <row r="30" spans="1:11" x14ac:dyDescent="0.2">
      <c r="A30" t="s">
        <v>11</v>
      </c>
      <c r="B30" s="1">
        <f>+B28/B29</f>
        <v>9040.3317554510795</v>
      </c>
    </row>
  </sheetData>
  <phoneticPr fontId="11" type="noConversion"/>
  <pageMargins left="0.75" right="0.75" top="1" bottom="1" header="0.5" footer="0.5"/>
  <pageSetup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Master Expend Table</vt:lpstr>
      <vt:lpstr>System</vt:lpstr>
      <vt:lpstr>ALEX TC</vt:lpstr>
      <vt:lpstr>ARCCATC</vt:lpstr>
      <vt:lpstr>ANOKARAM CC</vt:lpstr>
      <vt:lpstr>ANOKA TC</vt:lpstr>
      <vt:lpstr>BSU &amp; TC</vt:lpstr>
      <vt:lpstr>BEMIDJI SU</vt:lpstr>
      <vt:lpstr>NTC-Bemidji</vt:lpstr>
      <vt:lpstr>CENTRAL LAKES</vt:lpstr>
      <vt:lpstr>CENTURY</vt:lpstr>
      <vt:lpstr>Sheet2</vt:lpstr>
      <vt:lpstr>DAKCTY TC</vt:lpstr>
      <vt:lpstr>INVER HILLS</vt:lpstr>
      <vt:lpstr>FDL CC</vt:lpstr>
      <vt:lpstr>HENN TC</vt:lpstr>
      <vt:lpstr>LAKE SUPERIOR</vt:lpstr>
      <vt:lpstr>METRO SU</vt:lpstr>
      <vt:lpstr>MPLS COLLEGE</vt:lpstr>
      <vt:lpstr>MN SC-SOUTHEAST</vt:lpstr>
      <vt:lpstr>MINNESOTA STATE COLLEGE</vt:lpstr>
      <vt:lpstr>MSU MOORHEAD</vt:lpstr>
      <vt:lpstr>MSU MANKATO</vt:lpstr>
      <vt:lpstr>MN WEST</vt:lpstr>
      <vt:lpstr>NORMANDALE</vt:lpstr>
      <vt:lpstr>NO HENN CC</vt:lpstr>
      <vt:lpstr>NHED</vt:lpstr>
      <vt:lpstr>HIBBING</vt:lpstr>
      <vt:lpstr>ITASCA CC</vt:lpstr>
      <vt:lpstr>MESABI RANGE</vt:lpstr>
      <vt:lpstr>RAINY RIVER</vt:lpstr>
      <vt:lpstr>VERMILION</vt:lpstr>
      <vt:lpstr>NORTHLAND</vt:lpstr>
      <vt:lpstr>PINE TC</vt:lpstr>
      <vt:lpstr>RIDGEWATER</vt:lpstr>
      <vt:lpstr>RIVERLAND</vt:lpstr>
      <vt:lpstr>ROCHESTER</vt:lpstr>
      <vt:lpstr>SAINT PAUL</vt:lpstr>
      <vt:lpstr>SOUTH CENTRAL</vt:lpstr>
      <vt:lpstr>SOUTHWEST MN SU</vt:lpstr>
      <vt:lpstr>ST CLOUD SU</vt:lpstr>
      <vt:lpstr>ST CLOUD TCC</vt:lpstr>
      <vt:lpstr>WINONA SU</vt:lpstr>
      <vt:lpstr>Sheet1</vt:lpstr>
      <vt:lpstr>Indirect Combined</vt:lpstr>
      <vt:lpstr>Indirect SPlit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2014-04-15T15:36:16Z</cp:lastPrinted>
  <dcterms:created xsi:type="dcterms:W3CDTF">2000-03-31T14:58:40Z</dcterms:created>
  <dcterms:modified xsi:type="dcterms:W3CDTF">2022-03-21T19:29:11Z</dcterms:modified>
</cp:coreProperties>
</file>