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17 Allocation\"/>
    </mc:Choice>
  </mc:AlternateContent>
  <bookViews>
    <workbookView xWindow="315" yWindow="690" windowWidth="11280" windowHeight="5550" tabRatio="602" firstSheet="1" activeTab="1"/>
  </bookViews>
  <sheets>
    <sheet name="FY2015 Detail" sheetId="11" state="hidden" r:id="rId1"/>
    <sheet name="FY15 Detail" sheetId="24" r:id="rId2"/>
    <sheet name="Instruction" sheetId="17" r:id="rId3"/>
    <sheet name="Academic Support Per FYE" sheetId="20" r:id="rId4"/>
    <sheet name="Facilities" sheetId="15" r:id="rId5"/>
    <sheet name="Student &amp; Institutional Support" sheetId="16" r:id="rId6"/>
    <sheet name="Library" sheetId="14" r:id="rId7"/>
    <sheet name="Research" sheetId="13" r:id="rId8"/>
    <sheet name="Enrollment" sheetId="18" r:id="rId9"/>
    <sheet name="Enrollment Detail" sheetId="21" r:id="rId10"/>
    <sheet name="Revenue Offset" sheetId="12" r:id="rId11"/>
  </sheets>
  <definedNames>
    <definedName name="_xlnm.Print_Area" localSheetId="9">'Enrollment Detail'!$A$1:$J$44</definedName>
    <definedName name="_xlnm.Print_Area" localSheetId="1">'FY15 Detail'!$C$1:$X$38</definedName>
    <definedName name="_xlnm.Print_Area" localSheetId="0">'FY2015 Detail'!$B$1:$D$41</definedName>
    <definedName name="_xlnm.Print_Area" localSheetId="2">Instruction!$A$1:$M$44</definedName>
    <definedName name="_xlnm.Print_Area" localSheetId="10">'Revenue Offset'!$A$1:$K$45</definedName>
    <definedName name="_xlnm.Print_Area" localSheetId="5" xml:space="preserve">                        'Student &amp; Institutional Support'!$A$1:$N$45</definedName>
    <definedName name="_xlnm.Print_Titles" localSheetId="1">'FY15 Detail'!$B:$C</definedName>
    <definedName name="_xlnm.Print_Titles" localSheetId="0">'FY2015 Detail'!$B:$C</definedName>
  </definedNames>
  <calcPr calcId="152511"/>
</workbook>
</file>

<file path=xl/calcChain.xml><?xml version="1.0" encoding="utf-8"?>
<calcChain xmlns="http://schemas.openxmlformats.org/spreadsheetml/2006/main">
  <c r="P42" i="24" l="1"/>
  <c r="X38" i="24" l="1"/>
  <c r="J28" i="15"/>
  <c r="H38" i="17" l="1"/>
  <c r="C38" i="17"/>
  <c r="M31" i="15" l="1"/>
  <c r="M30" i="15"/>
  <c r="H30" i="15"/>
  <c r="V38" i="24" l="1"/>
  <c r="C32" i="15" l="1"/>
  <c r="C28" i="15"/>
  <c r="C12" i="15"/>
  <c r="C25" i="15"/>
  <c r="C11" i="15"/>
  <c r="C10" i="15"/>
  <c r="C18" i="17" l="1"/>
  <c r="H10" i="21"/>
  <c r="H27" i="21" l="1"/>
  <c r="H9" i="21"/>
  <c r="I36" i="21"/>
  <c r="I35" i="21"/>
  <c r="I23" i="21"/>
  <c r="I27" i="21"/>
  <c r="J32" i="16"/>
  <c r="J28" i="16"/>
  <c r="J25" i="16"/>
  <c r="J22" i="16"/>
  <c r="F11" i="15" l="1"/>
  <c r="F10" i="15"/>
  <c r="D10" i="15" l="1"/>
  <c r="C36" i="17" l="1"/>
  <c r="H23" i="17"/>
  <c r="C23" i="17"/>
  <c r="H22" i="17"/>
  <c r="C22" i="17"/>
  <c r="H18" i="17"/>
  <c r="C35" i="17"/>
  <c r="C10" i="17"/>
  <c r="K8" i="12" l="1"/>
  <c r="K9" i="12"/>
  <c r="D8" i="24"/>
  <c r="D7" i="24"/>
  <c r="W38" i="24" l="1"/>
  <c r="C29" i="15" l="1"/>
  <c r="C35" i="15" l="1"/>
  <c r="C31" i="15"/>
  <c r="C22" i="15"/>
  <c r="C16" i="15"/>
  <c r="F8" i="20" l="1"/>
  <c r="D38" i="24" l="1"/>
  <c r="M38" i="24" l="1"/>
  <c r="N32" i="24" l="1"/>
  <c r="N15" i="24"/>
  <c r="N12" i="24"/>
  <c r="N35" i="24"/>
  <c r="N18" i="24"/>
  <c r="N6" i="24"/>
  <c r="N30" i="24"/>
  <c r="N27" i="24"/>
  <c r="N24" i="24"/>
  <c r="N21" i="24"/>
  <c r="N33" i="24"/>
  <c r="N16" i="24"/>
  <c r="N13" i="24"/>
  <c r="N7" i="24"/>
  <c r="N31" i="24"/>
  <c r="N28" i="24"/>
  <c r="N11" i="24"/>
  <c r="N23" i="24"/>
  <c r="N25" i="24"/>
  <c r="N26" i="24"/>
  <c r="N8" i="24"/>
  <c r="N34" i="24"/>
  <c r="N29" i="24"/>
  <c r="N22" i="24"/>
  <c r="N19" i="24"/>
  <c r="N10" i="24"/>
  <c r="N17" i="24"/>
  <c r="N36" i="24"/>
  <c r="N20" i="24"/>
  <c r="N9" i="24"/>
  <c r="N14" i="24"/>
  <c r="N38" i="24" l="1"/>
  <c r="H9" i="15" l="1"/>
  <c r="C21" i="15" l="1"/>
  <c r="E41" i="15" l="1"/>
  <c r="P41" i="15" l="1"/>
  <c r="J10" i="16" l="1"/>
  <c r="E9" i="12" l="1"/>
  <c r="H9" i="12"/>
  <c r="I9" i="12" s="1"/>
  <c r="D38" i="11"/>
  <c r="C19" i="16" l="1"/>
  <c r="C40" i="20" l="1"/>
  <c r="E21" i="12" l="1"/>
  <c r="C40" i="12" l="1"/>
  <c r="D41" i="15" l="1"/>
  <c r="E8" i="12" l="1"/>
  <c r="F34" i="20" l="1"/>
  <c r="I27" i="17"/>
  <c r="J27" i="17" s="1"/>
  <c r="C28" i="16"/>
  <c r="F28" i="16" s="1"/>
  <c r="G28" i="16" s="1"/>
  <c r="I8" i="17"/>
  <c r="J8" i="17" s="1"/>
  <c r="C9" i="16"/>
  <c r="F9" i="16" s="1"/>
  <c r="I9" i="17"/>
  <c r="J9" i="17" s="1"/>
  <c r="C10" i="16"/>
  <c r="F10" i="16" s="1"/>
  <c r="G10" i="16" s="1"/>
  <c r="I10" i="17"/>
  <c r="C11" i="16"/>
  <c r="I11" i="17"/>
  <c r="J11" i="17" s="1"/>
  <c r="C12" i="16"/>
  <c r="F12" i="16" s="1"/>
  <c r="G12" i="16" s="1"/>
  <c r="I12" i="17"/>
  <c r="J12" i="17" s="1"/>
  <c r="C13" i="16"/>
  <c r="F13" i="16" s="1"/>
  <c r="G13" i="16" s="1"/>
  <c r="I13" i="17"/>
  <c r="J13" i="17" s="1"/>
  <c r="C14" i="16"/>
  <c r="F14" i="16" s="1"/>
  <c r="G14" i="16" s="1"/>
  <c r="I14" i="17"/>
  <c r="J14" i="17" s="1"/>
  <c r="C15" i="16"/>
  <c r="F15" i="16" s="1"/>
  <c r="G15" i="16" s="1"/>
  <c r="I15" i="17"/>
  <c r="J15" i="17" s="1"/>
  <c r="C16" i="16"/>
  <c r="F16" i="16" s="1"/>
  <c r="G16" i="16" s="1"/>
  <c r="I16" i="17"/>
  <c r="J16" i="17" s="1"/>
  <c r="C17" i="16"/>
  <c r="F17" i="16" s="1"/>
  <c r="G17" i="16" s="1"/>
  <c r="I17" i="17"/>
  <c r="J17" i="17" s="1"/>
  <c r="C18" i="16"/>
  <c r="F18" i="16" s="1"/>
  <c r="G18" i="16" s="1"/>
  <c r="I18" i="17"/>
  <c r="J18" i="17" s="1"/>
  <c r="F19" i="16"/>
  <c r="G19" i="16" s="1"/>
  <c r="I19" i="17"/>
  <c r="J19" i="17" s="1"/>
  <c r="C20" i="16"/>
  <c r="F20" i="16" s="1"/>
  <c r="G20" i="16" s="1"/>
  <c r="I20" i="17"/>
  <c r="J20" i="17" s="1"/>
  <c r="C21" i="16"/>
  <c r="F21" i="16" s="1"/>
  <c r="G21" i="16" s="1"/>
  <c r="I21" i="17"/>
  <c r="J21" i="17" s="1"/>
  <c r="C22" i="16"/>
  <c r="F22" i="16" s="1"/>
  <c r="G22" i="16" s="1"/>
  <c r="C23" i="16"/>
  <c r="C24" i="16"/>
  <c r="I24" i="17"/>
  <c r="J24" i="17" s="1"/>
  <c r="C25" i="16"/>
  <c r="F25" i="16" s="1"/>
  <c r="G25" i="16" s="1"/>
  <c r="I25" i="17"/>
  <c r="J25" i="17" s="1"/>
  <c r="C26" i="16"/>
  <c r="F26" i="16" s="1"/>
  <c r="G26" i="16" s="1"/>
  <c r="I26" i="17"/>
  <c r="J26" i="17" s="1"/>
  <c r="C27" i="16"/>
  <c r="F27" i="16" s="1"/>
  <c r="G27" i="16" s="1"/>
  <c r="I28" i="17"/>
  <c r="J28" i="17" s="1"/>
  <c r="C29" i="16"/>
  <c r="F29" i="16" s="1"/>
  <c r="G29" i="16" s="1"/>
  <c r="I29" i="17"/>
  <c r="J29" i="17" s="1"/>
  <c r="C30" i="16"/>
  <c r="F30" i="16" s="1"/>
  <c r="G30" i="16" s="1"/>
  <c r="I30" i="17"/>
  <c r="J30" i="17" s="1"/>
  <c r="C31" i="16"/>
  <c r="F31" i="16" s="1"/>
  <c r="G31" i="16" s="1"/>
  <c r="I31" i="17"/>
  <c r="J31" i="17" s="1"/>
  <c r="C32" i="16"/>
  <c r="F32" i="16" s="1"/>
  <c r="G32" i="16" s="1"/>
  <c r="I32" i="17"/>
  <c r="J32" i="17" s="1"/>
  <c r="C33" i="16"/>
  <c r="F33" i="16" s="1"/>
  <c r="G33" i="16" s="1"/>
  <c r="I33" i="17"/>
  <c r="J33" i="17" s="1"/>
  <c r="C34" i="16"/>
  <c r="F34" i="16" s="1"/>
  <c r="G34" i="16" s="1"/>
  <c r="I34" i="17"/>
  <c r="J34" i="17" s="1"/>
  <c r="C35" i="16"/>
  <c r="F35" i="16" s="1"/>
  <c r="G35" i="16" s="1"/>
  <c r="I35" i="17"/>
  <c r="J35" i="17" s="1"/>
  <c r="C36" i="16"/>
  <c r="F36" i="16" s="1"/>
  <c r="G36" i="16" s="1"/>
  <c r="C37" i="16"/>
  <c r="F37" i="16" s="1"/>
  <c r="G37" i="16" s="1"/>
  <c r="I37" i="17"/>
  <c r="J37" i="17" s="1"/>
  <c r="C38" i="16"/>
  <c r="F38" i="16" s="1"/>
  <c r="G38" i="16" s="1"/>
  <c r="C39" i="16"/>
  <c r="F39" i="16" s="1"/>
  <c r="G39" i="16" s="1"/>
  <c r="I38" i="17"/>
  <c r="J38" i="17" s="1"/>
  <c r="M38" i="17" s="1"/>
  <c r="E36" i="24" s="1"/>
  <c r="I36" i="17"/>
  <c r="J36" i="17" s="1"/>
  <c r="I23" i="17"/>
  <c r="J23" i="17" s="1"/>
  <c r="I22" i="17"/>
  <c r="J22" i="17" s="1"/>
  <c r="F41" i="15"/>
  <c r="H34" i="12"/>
  <c r="I34" i="12" s="1"/>
  <c r="E34" i="12"/>
  <c r="H8" i="12"/>
  <c r="I8" i="12" s="1"/>
  <c r="H10" i="15"/>
  <c r="E10" i="12"/>
  <c r="H10" i="12"/>
  <c r="I10" i="12" s="1"/>
  <c r="E11" i="12"/>
  <c r="H11" i="12"/>
  <c r="I11" i="12" s="1"/>
  <c r="E12" i="12"/>
  <c r="H12" i="12"/>
  <c r="I12" i="12" s="1"/>
  <c r="H13" i="15"/>
  <c r="E13" i="12"/>
  <c r="H13" i="12"/>
  <c r="I13" i="12" s="1"/>
  <c r="H14" i="15"/>
  <c r="E14" i="12"/>
  <c r="H14" i="12"/>
  <c r="I14" i="12" s="1"/>
  <c r="E15" i="12"/>
  <c r="H15" i="12"/>
  <c r="I15" i="12" s="1"/>
  <c r="E16" i="12"/>
  <c r="H16" i="12"/>
  <c r="I16" i="12" s="1"/>
  <c r="E17" i="12"/>
  <c r="H17" i="12"/>
  <c r="I17" i="12" s="1"/>
  <c r="E18" i="12"/>
  <c r="H18" i="12"/>
  <c r="I18" i="12" s="1"/>
  <c r="E19" i="12"/>
  <c r="H19" i="12"/>
  <c r="I19" i="12" s="1"/>
  <c r="H20" i="15"/>
  <c r="E20" i="12"/>
  <c r="H20" i="12"/>
  <c r="I20" i="12" s="1"/>
  <c r="H21" i="12"/>
  <c r="I21" i="12" s="1"/>
  <c r="H22" i="15"/>
  <c r="E22" i="12"/>
  <c r="H22" i="12"/>
  <c r="I22" i="12" s="1"/>
  <c r="H23" i="15"/>
  <c r="E23" i="12"/>
  <c r="H23" i="12"/>
  <c r="I23" i="12" s="1"/>
  <c r="H24" i="15"/>
  <c r="E24" i="12"/>
  <c r="H24" i="12"/>
  <c r="I24" i="12" s="1"/>
  <c r="H25" i="15"/>
  <c r="E25" i="12"/>
  <c r="H25" i="12"/>
  <c r="I25" i="12" s="1"/>
  <c r="E26" i="12"/>
  <c r="H26" i="12"/>
  <c r="I26" i="12" s="1"/>
  <c r="E27" i="12"/>
  <c r="H27" i="12"/>
  <c r="I27" i="12" s="1"/>
  <c r="H28" i="15"/>
  <c r="E28" i="12"/>
  <c r="H28" i="12"/>
  <c r="I28" i="12" s="1"/>
  <c r="H29" i="15"/>
  <c r="E29" i="12"/>
  <c r="H29" i="12"/>
  <c r="I29" i="12" s="1"/>
  <c r="E30" i="12"/>
  <c r="H30" i="12"/>
  <c r="I30" i="12" s="1"/>
  <c r="E31" i="12"/>
  <c r="H31" i="12"/>
  <c r="I31" i="12" s="1"/>
  <c r="H32" i="15"/>
  <c r="E32" i="12"/>
  <c r="H32" i="12"/>
  <c r="I32" i="12" s="1"/>
  <c r="E33" i="12"/>
  <c r="H33" i="12"/>
  <c r="I33" i="12" s="1"/>
  <c r="E35" i="12"/>
  <c r="H35" i="12"/>
  <c r="I35" i="12" s="1"/>
  <c r="E36" i="12"/>
  <c r="H36" i="12"/>
  <c r="I36" i="12" s="1"/>
  <c r="H37" i="15"/>
  <c r="E37" i="12"/>
  <c r="H37" i="12"/>
  <c r="I37" i="12" s="1"/>
  <c r="E38" i="12"/>
  <c r="H38" i="12"/>
  <c r="I38" i="12" s="1"/>
  <c r="H39" i="15"/>
  <c r="H11" i="15"/>
  <c r="H12" i="15"/>
  <c r="H15" i="15"/>
  <c r="H16" i="15"/>
  <c r="H18" i="15"/>
  <c r="H19" i="15"/>
  <c r="H26" i="15"/>
  <c r="H27" i="15"/>
  <c r="H31" i="15"/>
  <c r="H33" i="15"/>
  <c r="H34" i="15"/>
  <c r="H36" i="15"/>
  <c r="H38" i="15"/>
  <c r="H17" i="15"/>
  <c r="H21" i="15"/>
  <c r="F38" i="20"/>
  <c r="F37" i="20"/>
  <c r="F36" i="20"/>
  <c r="F35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J41" i="15"/>
  <c r="K7" i="15" s="1"/>
  <c r="L41" i="16"/>
  <c r="K40" i="17"/>
  <c r="G43" i="15"/>
  <c r="Q7" i="15"/>
  <c r="H35" i="15"/>
  <c r="A3" i="21"/>
  <c r="A44" i="16"/>
  <c r="A43" i="16"/>
  <c r="A46" i="15"/>
  <c r="A45" i="15"/>
  <c r="A44" i="12"/>
  <c r="A43" i="12"/>
  <c r="A43" i="21"/>
  <c r="A42" i="21"/>
  <c r="A43" i="18"/>
  <c r="A42" i="18"/>
  <c r="A44" i="13"/>
  <c r="A43" i="13"/>
  <c r="A43" i="14"/>
  <c r="A42" i="14"/>
  <c r="A43" i="20"/>
  <c r="A42" i="20"/>
  <c r="A43" i="17"/>
  <c r="A42" i="17"/>
  <c r="O39" i="15"/>
  <c r="N39" i="15"/>
  <c r="O38" i="15"/>
  <c r="N38" i="15"/>
  <c r="O37" i="15"/>
  <c r="N37" i="15"/>
  <c r="O36" i="15"/>
  <c r="N36" i="15"/>
  <c r="O35" i="15"/>
  <c r="N35" i="15"/>
  <c r="O34" i="15"/>
  <c r="N34" i="15"/>
  <c r="O33" i="15"/>
  <c r="N33" i="15"/>
  <c r="O32" i="15"/>
  <c r="N32" i="15"/>
  <c r="O31" i="15"/>
  <c r="N31" i="15"/>
  <c r="O30" i="15"/>
  <c r="N30" i="15"/>
  <c r="O29" i="15"/>
  <c r="N29" i="15"/>
  <c r="O28" i="15"/>
  <c r="N28" i="15"/>
  <c r="O27" i="15"/>
  <c r="N27" i="15"/>
  <c r="O26" i="15"/>
  <c r="N26" i="15"/>
  <c r="O25" i="15"/>
  <c r="N25" i="15"/>
  <c r="O24" i="15"/>
  <c r="N24" i="15"/>
  <c r="O23" i="15"/>
  <c r="N23" i="15"/>
  <c r="O22" i="15"/>
  <c r="N22" i="15"/>
  <c r="O21" i="15"/>
  <c r="N21" i="15"/>
  <c r="O20" i="15"/>
  <c r="N20" i="15"/>
  <c r="O19" i="15"/>
  <c r="N19" i="15"/>
  <c r="O18" i="15"/>
  <c r="N18" i="15"/>
  <c r="O17" i="15"/>
  <c r="N17" i="15"/>
  <c r="O16" i="15"/>
  <c r="N16" i="15"/>
  <c r="O15" i="15"/>
  <c r="N15" i="15"/>
  <c r="O14" i="15"/>
  <c r="N14" i="15"/>
  <c r="O13" i="15"/>
  <c r="N13" i="15"/>
  <c r="O12" i="15"/>
  <c r="N12" i="15"/>
  <c r="O11" i="15"/>
  <c r="N11" i="15"/>
  <c r="O10" i="15"/>
  <c r="N10" i="15"/>
  <c r="O9" i="15"/>
  <c r="N9" i="15"/>
  <c r="L40" i="17"/>
  <c r="M41" i="16"/>
  <c r="I40" i="21"/>
  <c r="H40" i="21"/>
  <c r="N2" i="15"/>
  <c r="N3" i="15"/>
  <c r="L41" i="15"/>
  <c r="I41" i="15"/>
  <c r="C41" i="15"/>
  <c r="N1" i="15"/>
  <c r="J41" i="16"/>
  <c r="D41" i="16"/>
  <c r="G40" i="12"/>
  <c r="D40" i="12"/>
  <c r="H40" i="17"/>
  <c r="G40" i="17"/>
  <c r="F40" i="17"/>
  <c r="E40" i="17"/>
  <c r="D40" i="17"/>
  <c r="C40" i="17"/>
  <c r="K10" i="12" l="1"/>
  <c r="K36" i="12"/>
  <c r="K33" i="12"/>
  <c r="K38" i="12"/>
  <c r="K32" i="12"/>
  <c r="K20" i="12"/>
  <c r="Q16" i="15"/>
  <c r="Q35" i="15"/>
  <c r="Q27" i="15"/>
  <c r="Q19" i="15"/>
  <c r="Q11" i="15"/>
  <c r="Q34" i="15"/>
  <c r="Q26" i="15"/>
  <c r="Q18" i="15"/>
  <c r="Q10" i="15"/>
  <c r="Q33" i="15"/>
  <c r="Q25" i="15"/>
  <c r="Q17" i="15"/>
  <c r="Q9" i="15"/>
  <c r="Q32" i="15"/>
  <c r="Q24" i="15"/>
  <c r="Q39" i="15"/>
  <c r="Q31" i="15"/>
  <c r="Q23" i="15"/>
  <c r="Q15" i="15"/>
  <c r="Q38" i="15"/>
  <c r="Q30" i="15"/>
  <c r="Q22" i="15"/>
  <c r="Q14" i="15"/>
  <c r="Q37" i="15"/>
  <c r="Q29" i="15"/>
  <c r="Q21" i="15"/>
  <c r="Q13" i="15"/>
  <c r="Q36" i="15"/>
  <c r="Q28" i="15"/>
  <c r="Q20" i="15"/>
  <c r="Q12" i="15"/>
  <c r="M22" i="17"/>
  <c r="M23" i="17"/>
  <c r="M35" i="17"/>
  <c r="E33" i="24" s="1"/>
  <c r="M31" i="17"/>
  <c r="E29" i="24" s="1"/>
  <c r="M26" i="17"/>
  <c r="M21" i="17"/>
  <c r="E19" i="24" s="1"/>
  <c r="M17" i="17"/>
  <c r="E15" i="24" s="1"/>
  <c r="M13" i="17"/>
  <c r="M18" i="17"/>
  <c r="E16" i="24" s="1"/>
  <c r="M34" i="17"/>
  <c r="E32" i="24" s="1"/>
  <c r="M25" i="17"/>
  <c r="E23" i="24" s="1"/>
  <c r="M16" i="17"/>
  <c r="M12" i="17"/>
  <c r="M8" i="17"/>
  <c r="E6" i="24" s="1"/>
  <c r="M32" i="17"/>
  <c r="E30" i="24" s="1"/>
  <c r="M14" i="17"/>
  <c r="M20" i="17"/>
  <c r="M33" i="17"/>
  <c r="E31" i="24" s="1"/>
  <c r="M29" i="17"/>
  <c r="E27" i="24" s="1"/>
  <c r="M24" i="17"/>
  <c r="M19" i="17"/>
  <c r="E17" i="24" s="1"/>
  <c r="M15" i="17"/>
  <c r="E13" i="24" s="1"/>
  <c r="M27" i="17"/>
  <c r="E25" i="24" s="1"/>
  <c r="M28" i="17"/>
  <c r="E26" i="24" s="1"/>
  <c r="M36" i="17"/>
  <c r="M30" i="17"/>
  <c r="E28" i="24" s="1"/>
  <c r="M37" i="17"/>
  <c r="K13" i="12"/>
  <c r="H41" i="15"/>
  <c r="I40" i="17"/>
  <c r="M9" i="17"/>
  <c r="E7" i="24" s="1"/>
  <c r="F24" i="16"/>
  <c r="G24" i="16" s="1"/>
  <c r="F23" i="16"/>
  <c r="G23" i="16" s="1"/>
  <c r="H10" i="16"/>
  <c r="I10" i="16" s="1"/>
  <c r="K28" i="12"/>
  <c r="H40" i="12"/>
  <c r="K30" i="12"/>
  <c r="K22" i="12"/>
  <c r="K25" i="12"/>
  <c r="J10" i="17"/>
  <c r="F40" i="20"/>
  <c r="K24" i="12"/>
  <c r="K23" i="12"/>
  <c r="K11" i="15"/>
  <c r="K23" i="15"/>
  <c r="K29" i="15"/>
  <c r="K39" i="15"/>
  <c r="K24" i="15"/>
  <c r="K33" i="15"/>
  <c r="K22" i="15"/>
  <c r="K25" i="15"/>
  <c r="K37" i="15"/>
  <c r="K15" i="15"/>
  <c r="K32" i="15"/>
  <c r="K36" i="15"/>
  <c r="K28" i="15"/>
  <c r="C39" i="13"/>
  <c r="C38" i="21"/>
  <c r="C38" i="14"/>
  <c r="M11" i="17"/>
  <c r="E9" i="24" s="1"/>
  <c r="H9" i="16"/>
  <c r="S9" i="15"/>
  <c r="D8" i="20"/>
  <c r="E8" i="20" s="1"/>
  <c r="G8" i="20" s="1"/>
  <c r="G39" i="15"/>
  <c r="G31" i="15"/>
  <c r="G25" i="15"/>
  <c r="G16" i="15"/>
  <c r="M16" i="15" s="1"/>
  <c r="G38" i="15"/>
  <c r="M38" i="15" s="1"/>
  <c r="G33" i="15"/>
  <c r="G30" i="15"/>
  <c r="G24" i="15"/>
  <c r="G21" i="15"/>
  <c r="M21" i="15" s="1"/>
  <c r="G19" i="15"/>
  <c r="M19" i="15" s="1"/>
  <c r="G15" i="15"/>
  <c r="G13" i="15"/>
  <c r="M13" i="15" s="1"/>
  <c r="G9" i="15"/>
  <c r="G12" i="15"/>
  <c r="M12" i="15" s="1"/>
  <c r="G37" i="15"/>
  <c r="G34" i="15"/>
  <c r="M34" i="15" s="1"/>
  <c r="G29" i="15"/>
  <c r="G27" i="15"/>
  <c r="M27" i="15" s="1"/>
  <c r="G23" i="15"/>
  <c r="G22" i="15"/>
  <c r="G20" i="15"/>
  <c r="M20" i="15" s="1"/>
  <c r="G18" i="15"/>
  <c r="M18" i="15" s="1"/>
  <c r="G11" i="15"/>
  <c r="G10" i="15"/>
  <c r="M10" i="15" s="1"/>
  <c r="G36" i="15"/>
  <c r="G35" i="15"/>
  <c r="M35" i="15" s="1"/>
  <c r="G32" i="15"/>
  <c r="G28" i="15"/>
  <c r="G26" i="15"/>
  <c r="M26" i="15" s="1"/>
  <c r="G17" i="15"/>
  <c r="M17" i="15" s="1"/>
  <c r="G14" i="15"/>
  <c r="M14" i="15" s="1"/>
  <c r="C41" i="16"/>
  <c r="F11" i="16"/>
  <c r="G11" i="16" s="1"/>
  <c r="K14" i="12"/>
  <c r="K34" i="12"/>
  <c r="K37" i="12"/>
  <c r="K35" i="12"/>
  <c r="K31" i="12"/>
  <c r="K29" i="12"/>
  <c r="K27" i="12"/>
  <c r="K26" i="12"/>
  <c r="K21" i="12"/>
  <c r="K19" i="12"/>
  <c r="K18" i="12"/>
  <c r="K17" i="12"/>
  <c r="K16" i="12"/>
  <c r="K15" i="12"/>
  <c r="I40" i="12"/>
  <c r="K12" i="12"/>
  <c r="K11" i="12"/>
  <c r="E40" i="12"/>
  <c r="G9" i="16"/>
  <c r="M25" i="15" l="1"/>
  <c r="D24" i="20"/>
  <c r="E24" i="20" s="1"/>
  <c r="G24" i="20" s="1"/>
  <c r="S31" i="15"/>
  <c r="U31" i="15" s="1"/>
  <c r="D33" i="20"/>
  <c r="E33" i="20" s="1"/>
  <c r="G33" i="20" s="1"/>
  <c r="H21" i="16"/>
  <c r="I21" i="16" s="1"/>
  <c r="K21" i="16" s="1"/>
  <c r="N21" i="16" s="1"/>
  <c r="D20" i="14" s="1"/>
  <c r="H39" i="16"/>
  <c r="I39" i="16" s="1"/>
  <c r="K39" i="16" s="1"/>
  <c r="N39" i="16" s="1"/>
  <c r="D38" i="14" s="1"/>
  <c r="H24" i="16"/>
  <c r="I24" i="16" s="1"/>
  <c r="K24" i="16" s="1"/>
  <c r="N24" i="16" s="1"/>
  <c r="S39" i="15"/>
  <c r="U39" i="15" s="1"/>
  <c r="D38" i="20"/>
  <c r="E38" i="20" s="1"/>
  <c r="G38" i="20" s="1"/>
  <c r="C38" i="13"/>
  <c r="E35" i="24"/>
  <c r="C36" i="21"/>
  <c r="E34" i="24"/>
  <c r="C26" i="14"/>
  <c r="E24" i="24"/>
  <c r="C25" i="13"/>
  <c r="E22" i="24"/>
  <c r="C24" i="13"/>
  <c r="E21" i="24"/>
  <c r="C22" i="14"/>
  <c r="E20" i="24"/>
  <c r="C21" i="13"/>
  <c r="E18" i="24"/>
  <c r="C17" i="13"/>
  <c r="E14" i="24"/>
  <c r="C14" i="21"/>
  <c r="E12" i="24"/>
  <c r="C14" i="13"/>
  <c r="E11" i="24"/>
  <c r="C13" i="13"/>
  <c r="E10" i="24"/>
  <c r="H31" i="16"/>
  <c r="I31" i="16" s="1"/>
  <c r="K31" i="16" s="1"/>
  <c r="N31" i="16" s="1"/>
  <c r="D30" i="14" s="1"/>
  <c r="D32" i="20"/>
  <c r="E32" i="20" s="1"/>
  <c r="G32" i="20" s="1"/>
  <c r="S33" i="15"/>
  <c r="U33" i="15" s="1"/>
  <c r="H33" i="16"/>
  <c r="I33" i="16" s="1"/>
  <c r="K33" i="16" s="1"/>
  <c r="N33" i="16" s="1"/>
  <c r="D33" i="13" s="1"/>
  <c r="S23" i="15"/>
  <c r="U23" i="15" s="1"/>
  <c r="C22" i="21"/>
  <c r="C15" i="13"/>
  <c r="H26" i="16"/>
  <c r="I26" i="16" s="1"/>
  <c r="K26" i="16" s="1"/>
  <c r="N26" i="16" s="1"/>
  <c r="F23" i="24" s="1"/>
  <c r="S25" i="15"/>
  <c r="D23" i="20"/>
  <c r="E23" i="20" s="1"/>
  <c r="G23" i="20" s="1"/>
  <c r="S22" i="15"/>
  <c r="U22" i="15" s="1"/>
  <c r="S21" i="15"/>
  <c r="U21" i="15" s="1"/>
  <c r="H14" i="16"/>
  <c r="I14" i="16" s="1"/>
  <c r="K14" i="16" s="1"/>
  <c r="N14" i="16" s="1"/>
  <c r="H12" i="16"/>
  <c r="I12" i="16" s="1"/>
  <c r="K12" i="16" s="1"/>
  <c r="N12" i="16" s="1"/>
  <c r="F9" i="24" s="1"/>
  <c r="S11" i="15"/>
  <c r="U11" i="15" s="1"/>
  <c r="H37" i="16"/>
  <c r="S36" i="15"/>
  <c r="U36" i="15" s="1"/>
  <c r="H35" i="16"/>
  <c r="I35" i="16" s="1"/>
  <c r="K35" i="16" s="1"/>
  <c r="N35" i="16" s="1"/>
  <c r="S29" i="15"/>
  <c r="U29" i="15" s="1"/>
  <c r="H27" i="16"/>
  <c r="I27" i="16" s="1"/>
  <c r="K27" i="16" s="1"/>
  <c r="N27" i="16" s="1"/>
  <c r="F24" i="24" s="1"/>
  <c r="S14" i="15"/>
  <c r="U14" i="15" s="1"/>
  <c r="D20" i="20"/>
  <c r="E20" i="20" s="1"/>
  <c r="G20" i="20" s="1"/>
  <c r="D25" i="20"/>
  <c r="E25" i="20" s="1"/>
  <c r="G25" i="20" s="1"/>
  <c r="S26" i="15"/>
  <c r="U26" i="15" s="1"/>
  <c r="C29" i="13"/>
  <c r="C28" i="14"/>
  <c r="C28" i="21"/>
  <c r="U9" i="15"/>
  <c r="M33" i="15"/>
  <c r="D13" i="20"/>
  <c r="E13" i="20" s="1"/>
  <c r="G13" i="20" s="1"/>
  <c r="C25" i="14"/>
  <c r="C23" i="14"/>
  <c r="C21" i="21"/>
  <c r="C21" i="14"/>
  <c r="C22" i="13"/>
  <c r="C20" i="13"/>
  <c r="C18" i="21"/>
  <c r="C19" i="13"/>
  <c r="C37" i="14"/>
  <c r="C37" i="21"/>
  <c r="C36" i="14"/>
  <c r="C36" i="13"/>
  <c r="C33" i="21"/>
  <c r="C32" i="21"/>
  <c r="C33" i="13"/>
  <c r="C32" i="14"/>
  <c r="C31" i="14"/>
  <c r="C31" i="21"/>
  <c r="C32" i="13"/>
  <c r="C30" i="21"/>
  <c r="C29" i="21"/>
  <c r="C30" i="13"/>
  <c r="C29" i="14"/>
  <c r="C27" i="14"/>
  <c r="C28" i="13"/>
  <c r="C27" i="21"/>
  <c r="C26" i="21"/>
  <c r="C25" i="21"/>
  <c r="C26" i="13"/>
  <c r="C24" i="21"/>
  <c r="C23" i="13"/>
  <c r="C20" i="14"/>
  <c r="C19" i="14"/>
  <c r="C18" i="14"/>
  <c r="C18" i="13"/>
  <c r="C16" i="21"/>
  <c r="C14" i="14"/>
  <c r="C13" i="14"/>
  <c r="C13" i="21"/>
  <c r="C12" i="21"/>
  <c r="C12" i="14"/>
  <c r="C10" i="13"/>
  <c r="C8" i="14"/>
  <c r="C34" i="13"/>
  <c r="C19" i="21"/>
  <c r="C37" i="13"/>
  <c r="C16" i="14"/>
  <c r="C24" i="14"/>
  <c r="C35" i="14"/>
  <c r="C20" i="21"/>
  <c r="C27" i="13"/>
  <c r="C23" i="21"/>
  <c r="C16" i="13"/>
  <c r="C35" i="13"/>
  <c r="C34" i="21"/>
  <c r="C33" i="14"/>
  <c r="C34" i="14"/>
  <c r="C17" i="21"/>
  <c r="C9" i="13"/>
  <c r="C17" i="14"/>
  <c r="C31" i="13"/>
  <c r="C8" i="21"/>
  <c r="C15" i="21"/>
  <c r="C30" i="14"/>
  <c r="C35" i="21"/>
  <c r="M10" i="17"/>
  <c r="C15" i="14"/>
  <c r="Q41" i="15"/>
  <c r="M11" i="15"/>
  <c r="M37" i="15"/>
  <c r="S37" i="15"/>
  <c r="U37" i="15" s="1"/>
  <c r="H22" i="16"/>
  <c r="I22" i="16" s="1"/>
  <c r="K22" i="16" s="1"/>
  <c r="N22" i="16" s="1"/>
  <c r="S24" i="15"/>
  <c r="U24" i="15" s="1"/>
  <c r="H29" i="16"/>
  <c r="I29" i="16" s="1"/>
  <c r="K29" i="16" s="1"/>
  <c r="N29" i="16" s="1"/>
  <c r="D36" i="20"/>
  <c r="E36" i="20" s="1"/>
  <c r="G36" i="20" s="1"/>
  <c r="H25" i="16"/>
  <c r="I25" i="16" s="1"/>
  <c r="K25" i="16" s="1"/>
  <c r="N25" i="16" s="1"/>
  <c r="D28" i="20"/>
  <c r="E28" i="20" s="1"/>
  <c r="G28" i="20" s="1"/>
  <c r="M29" i="15"/>
  <c r="M39" i="15"/>
  <c r="M32" i="15"/>
  <c r="K10" i="16"/>
  <c r="N10" i="16" s="1"/>
  <c r="F7" i="24" s="1"/>
  <c r="S10" i="15"/>
  <c r="U10" i="15" s="1"/>
  <c r="D9" i="20"/>
  <c r="E9" i="20" s="1"/>
  <c r="C9" i="14"/>
  <c r="C9" i="21"/>
  <c r="F41" i="16"/>
  <c r="M36" i="15"/>
  <c r="M23" i="15"/>
  <c r="S35" i="15"/>
  <c r="T35" i="15" s="1"/>
  <c r="H30" i="16"/>
  <c r="I30" i="16" s="1"/>
  <c r="K30" i="16" s="1"/>
  <c r="N30" i="16" s="1"/>
  <c r="S28" i="15"/>
  <c r="U28" i="15" s="1"/>
  <c r="D26" i="20"/>
  <c r="E26" i="20" s="1"/>
  <c r="G26" i="20" s="1"/>
  <c r="S20" i="15"/>
  <c r="T20" i="15" s="1"/>
  <c r="D18" i="20"/>
  <c r="E18" i="20" s="1"/>
  <c r="G18" i="20" s="1"/>
  <c r="D17" i="20"/>
  <c r="E17" i="20" s="1"/>
  <c r="G17" i="20" s="1"/>
  <c r="H17" i="16"/>
  <c r="I17" i="16" s="1"/>
  <c r="K17" i="16" s="1"/>
  <c r="N17" i="16" s="1"/>
  <c r="D15" i="20"/>
  <c r="E15" i="20" s="1"/>
  <c r="G15" i="20" s="1"/>
  <c r="S13" i="15"/>
  <c r="U13" i="15" s="1"/>
  <c r="D35" i="20"/>
  <c r="E35" i="20" s="1"/>
  <c r="G35" i="20" s="1"/>
  <c r="D21" i="20"/>
  <c r="E21" i="20" s="1"/>
  <c r="G21" i="20" s="1"/>
  <c r="H36" i="16"/>
  <c r="I36" i="16" s="1"/>
  <c r="K36" i="16" s="1"/>
  <c r="N36" i="16" s="1"/>
  <c r="H34" i="16"/>
  <c r="I34" i="16" s="1"/>
  <c r="K34" i="16" s="1"/>
  <c r="N34" i="16" s="1"/>
  <c r="F31" i="24" s="1"/>
  <c r="S32" i="15"/>
  <c r="D30" i="20"/>
  <c r="S30" i="15"/>
  <c r="U30" i="15" s="1"/>
  <c r="H28" i="16"/>
  <c r="I28" i="16" s="1"/>
  <c r="K28" i="16" s="1"/>
  <c r="N28" i="16" s="1"/>
  <c r="H23" i="16"/>
  <c r="I23" i="16" s="1"/>
  <c r="K23" i="16" s="1"/>
  <c r="N23" i="16" s="1"/>
  <c r="H20" i="16"/>
  <c r="I20" i="16" s="1"/>
  <c r="K20" i="16" s="1"/>
  <c r="N20" i="16" s="1"/>
  <c r="F17" i="24" s="1"/>
  <c r="H19" i="16"/>
  <c r="I19" i="16" s="1"/>
  <c r="K19" i="16" s="1"/>
  <c r="N19" i="16" s="1"/>
  <c r="F16" i="24" s="1"/>
  <c r="S17" i="15"/>
  <c r="U17" i="15" s="1"/>
  <c r="H16" i="16"/>
  <c r="I16" i="16" s="1"/>
  <c r="K16" i="16" s="1"/>
  <c r="N16" i="16" s="1"/>
  <c r="D12" i="20"/>
  <c r="S12" i="15"/>
  <c r="U12" i="15" s="1"/>
  <c r="H11" i="16"/>
  <c r="I11" i="16" s="1"/>
  <c r="K11" i="16" s="1"/>
  <c r="N11" i="16" s="1"/>
  <c r="H32" i="16"/>
  <c r="I32" i="16" s="1"/>
  <c r="K32" i="16" s="1"/>
  <c r="N32" i="16" s="1"/>
  <c r="D22" i="20"/>
  <c r="E22" i="20" s="1"/>
  <c r="G22" i="20" s="1"/>
  <c r="S18" i="15"/>
  <c r="T18" i="15" s="1"/>
  <c r="D14" i="20"/>
  <c r="E14" i="20" s="1"/>
  <c r="G14" i="20" s="1"/>
  <c r="D11" i="20"/>
  <c r="S38" i="15"/>
  <c r="T38" i="15" s="1"/>
  <c r="S27" i="15"/>
  <c r="T27" i="15" s="1"/>
  <c r="S19" i="15"/>
  <c r="U19" i="15" s="1"/>
  <c r="D16" i="20"/>
  <c r="E16" i="20" s="1"/>
  <c r="G16" i="20" s="1"/>
  <c r="D34" i="20"/>
  <c r="E34" i="20" s="1"/>
  <c r="G34" i="20" s="1"/>
  <c r="S34" i="15"/>
  <c r="U34" i="15" s="1"/>
  <c r="D31" i="20"/>
  <c r="D19" i="20"/>
  <c r="E19" i="20" s="1"/>
  <c r="G19" i="20" s="1"/>
  <c r="H18" i="16"/>
  <c r="I18" i="16" s="1"/>
  <c r="K18" i="16" s="1"/>
  <c r="N18" i="16" s="1"/>
  <c r="H15" i="16"/>
  <c r="I15" i="16" s="1"/>
  <c r="K15" i="16" s="1"/>
  <c r="N15" i="16" s="1"/>
  <c r="H13" i="16"/>
  <c r="I13" i="16" s="1"/>
  <c r="K13" i="16" s="1"/>
  <c r="N13" i="16" s="1"/>
  <c r="J40" i="17"/>
  <c r="M15" i="15"/>
  <c r="M28" i="15"/>
  <c r="M22" i="15"/>
  <c r="M24" i="15"/>
  <c r="S15" i="15"/>
  <c r="D37" i="20"/>
  <c r="E37" i="20" s="1"/>
  <c r="G37" i="20" s="1"/>
  <c r="D29" i="20"/>
  <c r="E29" i="20" s="1"/>
  <c r="G29" i="20" s="1"/>
  <c r="S16" i="15"/>
  <c r="U16" i="15" s="1"/>
  <c r="D10" i="20"/>
  <c r="C11" i="14"/>
  <c r="C11" i="21"/>
  <c r="C12" i="13"/>
  <c r="K41" i="15"/>
  <c r="M9" i="15"/>
  <c r="T9" i="15" s="1"/>
  <c r="G41" i="15"/>
  <c r="H38" i="16"/>
  <c r="I38" i="16" s="1"/>
  <c r="K38" i="16" s="1"/>
  <c r="N38" i="16" s="1"/>
  <c r="F35" i="24" s="1"/>
  <c r="T31" i="15"/>
  <c r="D27" i="20"/>
  <c r="E27" i="20" s="1"/>
  <c r="G27" i="20" s="1"/>
  <c r="K40" i="12"/>
  <c r="I9" i="16"/>
  <c r="G41" i="16"/>
  <c r="T25" i="15" l="1"/>
  <c r="T39" i="15"/>
  <c r="D39" i="13"/>
  <c r="I37" i="16"/>
  <c r="K37" i="16" s="1"/>
  <c r="N37" i="16" s="1"/>
  <c r="D38" i="21"/>
  <c r="F36" i="24"/>
  <c r="V39" i="15"/>
  <c r="E38" i="14" s="1"/>
  <c r="F38" i="14" s="1"/>
  <c r="G38" i="14" s="1"/>
  <c r="H36" i="24" s="1"/>
  <c r="D20" i="21"/>
  <c r="F18" i="24"/>
  <c r="D21" i="13"/>
  <c r="U25" i="15"/>
  <c r="V25" i="15" s="1"/>
  <c r="T11" i="15"/>
  <c r="V11" i="15" s="1"/>
  <c r="F11" i="13" s="1"/>
  <c r="D30" i="21"/>
  <c r="T21" i="15"/>
  <c r="V21" i="15" s="1"/>
  <c r="G18" i="24" s="1"/>
  <c r="C10" i="21"/>
  <c r="C40" i="21" s="1"/>
  <c r="E8" i="24"/>
  <c r="E38" i="24" s="1"/>
  <c r="D10" i="21"/>
  <c r="F8" i="24"/>
  <c r="D24" i="13"/>
  <c r="F21" i="24"/>
  <c r="D27" i="14"/>
  <c r="F25" i="24"/>
  <c r="D17" i="21"/>
  <c r="F15" i="24"/>
  <c r="D30" i="13"/>
  <c r="F27" i="24"/>
  <c r="D25" i="13"/>
  <c r="F22" i="24"/>
  <c r="D34" i="21"/>
  <c r="F32" i="24"/>
  <c r="D16" i="13"/>
  <c r="F13" i="24"/>
  <c r="D31" i="13"/>
  <c r="F28" i="24"/>
  <c r="D15" i="13"/>
  <c r="F12" i="24"/>
  <c r="D17" i="13"/>
  <c r="F14" i="24"/>
  <c r="D22" i="14"/>
  <c r="F20" i="24"/>
  <c r="D28" i="14"/>
  <c r="F26" i="24"/>
  <c r="D21" i="21"/>
  <c r="F19" i="24"/>
  <c r="D12" i="21"/>
  <c r="F10" i="24"/>
  <c r="D32" i="21"/>
  <c r="F30" i="24"/>
  <c r="D32" i="13"/>
  <c r="F29" i="24"/>
  <c r="D36" i="13"/>
  <c r="F33" i="24"/>
  <c r="D14" i="13"/>
  <c r="F11" i="24"/>
  <c r="T23" i="15"/>
  <c r="V23" i="15" s="1"/>
  <c r="G20" i="24" s="1"/>
  <c r="D32" i="14"/>
  <c r="T36" i="15"/>
  <c r="V36" i="15" s="1"/>
  <c r="T33" i="15"/>
  <c r="V33" i="15" s="1"/>
  <c r="G30" i="24" s="1"/>
  <c r="T22" i="15"/>
  <c r="V22" i="15" s="1"/>
  <c r="G19" i="24" s="1"/>
  <c r="T14" i="15"/>
  <c r="V14" i="15" s="1"/>
  <c r="D26" i="21"/>
  <c r="D26" i="14"/>
  <c r="D26" i="13"/>
  <c r="D27" i="13"/>
  <c r="D25" i="14"/>
  <c r="D25" i="21"/>
  <c r="D13" i="21"/>
  <c r="D13" i="14"/>
  <c r="T26" i="15"/>
  <c r="V26" i="15" s="1"/>
  <c r="G23" i="24" s="1"/>
  <c r="D11" i="21"/>
  <c r="D11" i="14"/>
  <c r="D12" i="13"/>
  <c r="D35" i="13"/>
  <c r="D34" i="14"/>
  <c r="T29" i="15"/>
  <c r="V29" i="15" s="1"/>
  <c r="G26" i="24" s="1"/>
  <c r="D40" i="20"/>
  <c r="T37" i="15"/>
  <c r="V37" i="15" s="1"/>
  <c r="T10" i="15"/>
  <c r="V10" i="15" s="1"/>
  <c r="G7" i="24" s="1"/>
  <c r="M40" i="17"/>
  <c r="C10" i="14"/>
  <c r="C40" i="14" s="1"/>
  <c r="C11" i="13"/>
  <c r="C41" i="13" s="1"/>
  <c r="T32" i="15"/>
  <c r="T24" i="15"/>
  <c r="V24" i="15" s="1"/>
  <c r="G21" i="24" s="1"/>
  <c r="D21" i="14"/>
  <c r="D22" i="13"/>
  <c r="U20" i="15"/>
  <c r="V20" i="15" s="1"/>
  <c r="G17" i="24" s="1"/>
  <c r="T30" i="15"/>
  <c r="V30" i="15" s="1"/>
  <c r="G27" i="24" s="1"/>
  <c r="D28" i="21"/>
  <c r="D29" i="13"/>
  <c r="D24" i="21"/>
  <c r="T16" i="15"/>
  <c r="V16" i="15" s="1"/>
  <c r="U32" i="15"/>
  <c r="D24" i="14"/>
  <c r="T17" i="15"/>
  <c r="V17" i="15" s="1"/>
  <c r="G14" i="24" s="1"/>
  <c r="U18" i="15"/>
  <c r="V18" i="15" s="1"/>
  <c r="G15" i="24" s="1"/>
  <c r="T34" i="15"/>
  <c r="V34" i="15" s="1"/>
  <c r="G31" i="24" s="1"/>
  <c r="T28" i="15"/>
  <c r="V28" i="15" s="1"/>
  <c r="G25" i="24" s="1"/>
  <c r="U38" i="15"/>
  <c r="V38" i="15" s="1"/>
  <c r="T13" i="15"/>
  <c r="V13" i="15" s="1"/>
  <c r="G10" i="24" s="1"/>
  <c r="U35" i="15"/>
  <c r="V35" i="15" s="1"/>
  <c r="G32" i="24" s="1"/>
  <c r="E30" i="20"/>
  <c r="G30" i="20" s="1"/>
  <c r="E31" i="20"/>
  <c r="G31" i="20" s="1"/>
  <c r="D10" i="13"/>
  <c r="D9" i="14"/>
  <c r="D9" i="21"/>
  <c r="D19" i="21"/>
  <c r="D35" i="21"/>
  <c r="D23" i="14"/>
  <c r="D14" i="21"/>
  <c r="D23" i="21"/>
  <c r="D35" i="14"/>
  <c r="D19" i="13"/>
  <c r="D18" i="14"/>
  <c r="D29" i="14"/>
  <c r="D34" i="13"/>
  <c r="D29" i="21"/>
  <c r="D27" i="21"/>
  <c r="D18" i="21"/>
  <c r="D14" i="14"/>
  <c r="D15" i="14"/>
  <c r="D33" i="14"/>
  <c r="D16" i="21"/>
  <c r="U27" i="15"/>
  <c r="V27" i="15" s="1"/>
  <c r="G24" i="24" s="1"/>
  <c r="D15" i="21"/>
  <c r="T12" i="15"/>
  <c r="V12" i="15" s="1"/>
  <c r="G9" i="24" s="1"/>
  <c r="E11" i="20"/>
  <c r="G11" i="20" s="1"/>
  <c r="E12" i="20"/>
  <c r="G12" i="20" s="1"/>
  <c r="E10" i="20"/>
  <c r="G10" i="20" s="1"/>
  <c r="T15" i="15"/>
  <c r="D19" i="14"/>
  <c r="D33" i="21"/>
  <c r="D23" i="13"/>
  <c r="D20" i="13"/>
  <c r="D16" i="14"/>
  <c r="D13" i="13"/>
  <c r="D11" i="13"/>
  <c r="D28" i="13"/>
  <c r="D22" i="21"/>
  <c r="D10" i="14"/>
  <c r="D31" i="21"/>
  <c r="D31" i="14"/>
  <c r="T19" i="15"/>
  <c r="V19" i="15" s="1"/>
  <c r="G16" i="24" s="1"/>
  <c r="D18" i="13"/>
  <c r="U15" i="15"/>
  <c r="D12" i="14"/>
  <c r="D17" i="14"/>
  <c r="M41" i="15"/>
  <c r="V9" i="15"/>
  <c r="G6" i="24" s="1"/>
  <c r="D38" i="13"/>
  <c r="D37" i="14"/>
  <c r="D37" i="21"/>
  <c r="S41" i="15"/>
  <c r="V31" i="15"/>
  <c r="G28" i="24" s="1"/>
  <c r="H41" i="16"/>
  <c r="K9" i="16"/>
  <c r="I41" i="16" l="1"/>
  <c r="G36" i="24"/>
  <c r="F39" i="13"/>
  <c r="D36" i="21"/>
  <c r="D36" i="14"/>
  <c r="F34" i="24"/>
  <c r="D37" i="13"/>
  <c r="G8" i="24"/>
  <c r="E10" i="14"/>
  <c r="F10" i="14" s="1"/>
  <c r="G10" i="14" s="1"/>
  <c r="E35" i="14"/>
  <c r="F35" i="14" s="1"/>
  <c r="G35" i="14" s="1"/>
  <c r="G33" i="24"/>
  <c r="E24" i="14"/>
  <c r="F24" i="14" s="1"/>
  <c r="G24" i="14" s="1"/>
  <c r="H22" i="24" s="1"/>
  <c r="G22" i="24"/>
  <c r="E15" i="14"/>
  <c r="F15" i="14" s="1"/>
  <c r="G15" i="14" s="1"/>
  <c r="G13" i="24"/>
  <c r="E13" i="14"/>
  <c r="F13" i="14" s="1"/>
  <c r="G13" i="14" s="1"/>
  <c r="G11" i="24"/>
  <c r="F38" i="13"/>
  <c r="G35" i="24"/>
  <c r="E36" i="14"/>
  <c r="G34" i="24"/>
  <c r="V32" i="15"/>
  <c r="G29" i="24" s="1"/>
  <c r="E25" i="14"/>
  <c r="F25" i="14" s="1"/>
  <c r="G25" i="14" s="1"/>
  <c r="F26" i="13"/>
  <c r="G9" i="20"/>
  <c r="E39" i="13"/>
  <c r="E38" i="21"/>
  <c r="F38" i="21" s="1"/>
  <c r="C38" i="18" s="1"/>
  <c r="E38" i="18" s="1"/>
  <c r="F38" i="18" s="1"/>
  <c r="G38" i="18" s="1"/>
  <c r="F12" i="13"/>
  <c r="E11" i="14"/>
  <c r="F11" i="14" s="1"/>
  <c r="G11" i="14" s="1"/>
  <c r="U41" i="15"/>
  <c r="E40" i="20"/>
  <c r="G40" i="20" s="1"/>
  <c r="V15" i="15"/>
  <c r="G12" i="24" s="1"/>
  <c r="E32" i="14"/>
  <c r="F32" i="14" s="1"/>
  <c r="G32" i="14" s="1"/>
  <c r="F14" i="13"/>
  <c r="E18" i="14"/>
  <c r="F18" i="14" s="1"/>
  <c r="G18" i="14" s="1"/>
  <c r="F19" i="13"/>
  <c r="E37" i="14"/>
  <c r="F37" i="14" s="1"/>
  <c r="G37" i="14" s="1"/>
  <c r="F13" i="13"/>
  <c r="F18" i="13"/>
  <c r="E21" i="14"/>
  <c r="F21" i="14" s="1"/>
  <c r="G21" i="14" s="1"/>
  <c r="F25" i="13"/>
  <c r="F33" i="13"/>
  <c r="F20" i="13"/>
  <c r="F36" i="13"/>
  <c r="F37" i="13"/>
  <c r="F23" i="13"/>
  <c r="F17" i="13"/>
  <c r="E16" i="14"/>
  <c r="F16" i="14" s="1"/>
  <c r="G16" i="14" s="1"/>
  <c r="T41" i="15"/>
  <c r="E19" i="14"/>
  <c r="F19" i="14" s="1"/>
  <c r="G19" i="14" s="1"/>
  <c r="E22" i="14"/>
  <c r="F22" i="14" s="1"/>
  <c r="G22" i="14" s="1"/>
  <c r="E12" i="14"/>
  <c r="F12" i="14" s="1"/>
  <c r="G12" i="14" s="1"/>
  <c r="H10" i="24" s="1"/>
  <c r="E17" i="14"/>
  <c r="F17" i="14" s="1"/>
  <c r="G17" i="14" s="1"/>
  <c r="F22" i="13"/>
  <c r="E8" i="14"/>
  <c r="F9" i="13"/>
  <c r="F35" i="13"/>
  <c r="E34" i="14"/>
  <c r="F34" i="14" s="1"/>
  <c r="G34" i="14" s="1"/>
  <c r="H32" i="24" s="1"/>
  <c r="E30" i="14"/>
  <c r="F30" i="14" s="1"/>
  <c r="G30" i="14" s="1"/>
  <c r="H28" i="24" s="1"/>
  <c r="F31" i="13"/>
  <c r="E28" i="14"/>
  <c r="F28" i="14" s="1"/>
  <c r="G28" i="14" s="1"/>
  <c r="H26" i="24" s="1"/>
  <c r="F29" i="13"/>
  <c r="F24" i="13"/>
  <c r="E23" i="14"/>
  <c r="F23" i="14" s="1"/>
  <c r="G23" i="14" s="1"/>
  <c r="H21" i="24" s="1"/>
  <c r="E20" i="14"/>
  <c r="F20" i="14" s="1"/>
  <c r="G20" i="14" s="1"/>
  <c r="H18" i="24" s="1"/>
  <c r="F21" i="13"/>
  <c r="F16" i="13"/>
  <c r="E9" i="14"/>
  <c r="F9" i="14" s="1"/>
  <c r="G9" i="14" s="1"/>
  <c r="H7" i="24" s="1"/>
  <c r="F10" i="13"/>
  <c r="F34" i="13"/>
  <c r="E33" i="14"/>
  <c r="F33" i="14" s="1"/>
  <c r="G33" i="14" s="1"/>
  <c r="H31" i="24" s="1"/>
  <c r="F30" i="13"/>
  <c r="E29" i="14"/>
  <c r="F29" i="14" s="1"/>
  <c r="G29" i="14" s="1"/>
  <c r="H27" i="24" s="1"/>
  <c r="E27" i="14"/>
  <c r="F27" i="14" s="1"/>
  <c r="G27" i="14" s="1"/>
  <c r="H25" i="24" s="1"/>
  <c r="F28" i="13"/>
  <c r="F27" i="13"/>
  <c r="E26" i="14"/>
  <c r="F26" i="14" s="1"/>
  <c r="G26" i="14" s="1"/>
  <c r="H24" i="24" s="1"/>
  <c r="N9" i="16"/>
  <c r="F6" i="24" s="1"/>
  <c r="K41" i="16"/>
  <c r="G39" i="13" l="1"/>
  <c r="I39" i="13" s="1"/>
  <c r="I36" i="24" s="1"/>
  <c r="F36" i="14"/>
  <c r="G36" i="14" s="1"/>
  <c r="E36" i="21" s="1"/>
  <c r="F36" i="21" s="1"/>
  <c r="C36" i="18" s="1"/>
  <c r="E36" i="18" s="1"/>
  <c r="F36" i="18" s="1"/>
  <c r="G36" i="18" s="1"/>
  <c r="G38" i="24"/>
  <c r="E11" i="21"/>
  <c r="F11" i="21" s="1"/>
  <c r="C11" i="18" s="1"/>
  <c r="E11" i="18" s="1"/>
  <c r="F11" i="18" s="1"/>
  <c r="G11" i="18" s="1"/>
  <c r="H9" i="24"/>
  <c r="E19" i="13"/>
  <c r="G19" i="13" s="1"/>
  <c r="I19" i="13" s="1"/>
  <c r="I16" i="24" s="1"/>
  <c r="H16" i="24"/>
  <c r="E19" i="21"/>
  <c r="F19" i="21" s="1"/>
  <c r="C19" i="18" s="1"/>
  <c r="E19" i="18" s="1"/>
  <c r="F19" i="18" s="1"/>
  <c r="G19" i="18" s="1"/>
  <c r="H17" i="24"/>
  <c r="E26" i="13"/>
  <c r="G26" i="13" s="1"/>
  <c r="I26" i="13" s="1"/>
  <c r="I23" i="24" s="1"/>
  <c r="H23" i="24"/>
  <c r="E32" i="21"/>
  <c r="F32" i="21" s="1"/>
  <c r="C32" i="18" s="1"/>
  <c r="E32" i="18" s="1"/>
  <c r="F32" i="18" s="1"/>
  <c r="G32" i="18" s="1"/>
  <c r="H30" i="24"/>
  <c r="E11" i="13"/>
  <c r="G11" i="13" s="1"/>
  <c r="I11" i="13" s="1"/>
  <c r="I8" i="24" s="1"/>
  <c r="H8" i="24"/>
  <c r="E22" i="21"/>
  <c r="F22" i="21" s="1"/>
  <c r="C22" i="18" s="1"/>
  <c r="E22" i="18" s="1"/>
  <c r="F22" i="18" s="1"/>
  <c r="G22" i="18" s="1"/>
  <c r="H20" i="24"/>
  <c r="E22" i="13"/>
  <c r="G22" i="13" s="1"/>
  <c r="I22" i="13" s="1"/>
  <c r="I19" i="24" s="1"/>
  <c r="H19" i="24"/>
  <c r="F38" i="24"/>
  <c r="E36" i="13"/>
  <c r="G36" i="13" s="1"/>
  <c r="I36" i="13" s="1"/>
  <c r="I33" i="24" s="1"/>
  <c r="H33" i="24"/>
  <c r="E17" i="13"/>
  <c r="G17" i="13" s="1"/>
  <c r="I17" i="13" s="1"/>
  <c r="I14" i="24" s="1"/>
  <c r="H14" i="24"/>
  <c r="E14" i="13"/>
  <c r="G14" i="13" s="1"/>
  <c r="I14" i="13" s="1"/>
  <c r="I11" i="24" s="1"/>
  <c r="H11" i="24"/>
  <c r="E18" i="13"/>
  <c r="G18" i="13" s="1"/>
  <c r="I18" i="13" s="1"/>
  <c r="I15" i="24" s="1"/>
  <c r="H15" i="24"/>
  <c r="E38" i="13"/>
  <c r="G38" i="13" s="1"/>
  <c r="I38" i="13" s="1"/>
  <c r="I35" i="24" s="1"/>
  <c r="H35" i="24"/>
  <c r="E15" i="21"/>
  <c r="F15" i="21" s="1"/>
  <c r="C15" i="18" s="1"/>
  <c r="E15" i="18" s="1"/>
  <c r="F15" i="18" s="1"/>
  <c r="G15" i="18" s="1"/>
  <c r="H13" i="24"/>
  <c r="E13" i="21"/>
  <c r="F13" i="21" s="1"/>
  <c r="C13" i="18" s="1"/>
  <c r="E13" i="18" s="1"/>
  <c r="F13" i="18" s="1"/>
  <c r="G13" i="18" s="1"/>
  <c r="F32" i="13"/>
  <c r="E31" i="14"/>
  <c r="F31" i="14" s="1"/>
  <c r="G31" i="14" s="1"/>
  <c r="H29" i="24" s="1"/>
  <c r="E25" i="21"/>
  <c r="F25" i="21" s="1"/>
  <c r="C25" i="18" s="1"/>
  <c r="E25" i="18" s="1"/>
  <c r="F25" i="18" s="1"/>
  <c r="G25" i="18" s="1"/>
  <c r="E10" i="21"/>
  <c r="F10" i="21" s="1"/>
  <c r="C10" i="18" s="1"/>
  <c r="E10" i="18" s="1"/>
  <c r="F10" i="18" s="1"/>
  <c r="G10" i="18" s="1"/>
  <c r="E24" i="21"/>
  <c r="F24" i="21" s="1"/>
  <c r="C24" i="18" s="1"/>
  <c r="E24" i="18" s="1"/>
  <c r="F24" i="18" s="1"/>
  <c r="G24" i="18" s="1"/>
  <c r="E25" i="13"/>
  <c r="G25" i="13" s="1"/>
  <c r="I25" i="13" s="1"/>
  <c r="I22" i="24" s="1"/>
  <c r="E35" i="21"/>
  <c r="F35" i="21" s="1"/>
  <c r="C35" i="18" s="1"/>
  <c r="E35" i="18" s="1"/>
  <c r="F35" i="18" s="1"/>
  <c r="G35" i="18" s="1"/>
  <c r="F15" i="13"/>
  <c r="E12" i="13"/>
  <c r="G12" i="13" s="1"/>
  <c r="I12" i="13" s="1"/>
  <c r="I9" i="24" s="1"/>
  <c r="E16" i="13"/>
  <c r="G16" i="13" s="1"/>
  <c r="I16" i="13" s="1"/>
  <c r="I13" i="24" s="1"/>
  <c r="V41" i="15"/>
  <c r="E14" i="14"/>
  <c r="F14" i="14" s="1"/>
  <c r="G14" i="14" s="1"/>
  <c r="E18" i="21"/>
  <c r="F18" i="21" s="1"/>
  <c r="C18" i="18" s="1"/>
  <c r="E18" i="18" s="1"/>
  <c r="F18" i="18" s="1"/>
  <c r="G18" i="18" s="1"/>
  <c r="E33" i="13"/>
  <c r="G33" i="13" s="1"/>
  <c r="I33" i="13" s="1"/>
  <c r="I30" i="24" s="1"/>
  <c r="E37" i="21"/>
  <c r="F37" i="21" s="1"/>
  <c r="C37" i="18" s="1"/>
  <c r="E37" i="18" s="1"/>
  <c r="F37" i="18" s="1"/>
  <c r="G37" i="18" s="1"/>
  <c r="E20" i="13"/>
  <c r="G20" i="13" s="1"/>
  <c r="I20" i="13" s="1"/>
  <c r="I17" i="24" s="1"/>
  <c r="E17" i="21"/>
  <c r="F17" i="21" s="1"/>
  <c r="C17" i="18" s="1"/>
  <c r="E17" i="18" s="1"/>
  <c r="F17" i="18" s="1"/>
  <c r="G17" i="18" s="1"/>
  <c r="E21" i="21"/>
  <c r="F21" i="21" s="1"/>
  <c r="C21" i="18" s="1"/>
  <c r="E21" i="18" s="1"/>
  <c r="F21" i="18" s="1"/>
  <c r="G21" i="18" s="1"/>
  <c r="E12" i="21"/>
  <c r="F12" i="21" s="1"/>
  <c r="C12" i="18" s="1"/>
  <c r="E12" i="18" s="1"/>
  <c r="F12" i="18" s="1"/>
  <c r="G12" i="18" s="1"/>
  <c r="E13" i="13"/>
  <c r="G13" i="13" s="1"/>
  <c r="I13" i="13" s="1"/>
  <c r="I10" i="24" s="1"/>
  <c r="E16" i="21"/>
  <c r="F16" i="21" s="1"/>
  <c r="C16" i="18" s="1"/>
  <c r="E16" i="18" s="1"/>
  <c r="F16" i="18" s="1"/>
  <c r="G16" i="18" s="1"/>
  <c r="E23" i="13"/>
  <c r="G23" i="13" s="1"/>
  <c r="I23" i="13" s="1"/>
  <c r="I20" i="24" s="1"/>
  <c r="E35" i="13"/>
  <c r="G35" i="13" s="1"/>
  <c r="I35" i="13" s="1"/>
  <c r="I32" i="24" s="1"/>
  <c r="E34" i="21"/>
  <c r="F34" i="21" s="1"/>
  <c r="C34" i="18" s="1"/>
  <c r="E31" i="13"/>
  <c r="G31" i="13" s="1"/>
  <c r="I31" i="13" s="1"/>
  <c r="I28" i="24" s="1"/>
  <c r="E30" i="21"/>
  <c r="F30" i="21" s="1"/>
  <c r="C30" i="18" s="1"/>
  <c r="E28" i="21"/>
  <c r="F28" i="21" s="1"/>
  <c r="C28" i="18" s="1"/>
  <c r="E28" i="18" s="1"/>
  <c r="F28" i="18" s="1"/>
  <c r="G28" i="18" s="1"/>
  <c r="E29" i="13"/>
  <c r="G29" i="13" s="1"/>
  <c r="I29" i="13" s="1"/>
  <c r="I26" i="24" s="1"/>
  <c r="E24" i="13"/>
  <c r="G24" i="13" s="1"/>
  <c r="I24" i="13" s="1"/>
  <c r="I21" i="24" s="1"/>
  <c r="E23" i="21"/>
  <c r="F23" i="21" s="1"/>
  <c r="C23" i="18" s="1"/>
  <c r="E23" i="18" s="1"/>
  <c r="F23" i="18" s="1"/>
  <c r="G23" i="18" s="1"/>
  <c r="E20" i="21"/>
  <c r="F20" i="21" s="1"/>
  <c r="C20" i="18" s="1"/>
  <c r="E20" i="18" s="1"/>
  <c r="F20" i="18" s="1"/>
  <c r="G20" i="18" s="1"/>
  <c r="E21" i="13"/>
  <c r="G21" i="13" s="1"/>
  <c r="I21" i="13" s="1"/>
  <c r="I18" i="24" s="1"/>
  <c r="E9" i="21"/>
  <c r="F9" i="21" s="1"/>
  <c r="C9" i="18" s="1"/>
  <c r="E10" i="13"/>
  <c r="G10" i="13" s="1"/>
  <c r="I10" i="13" s="1"/>
  <c r="I7" i="24" s="1"/>
  <c r="E34" i="13"/>
  <c r="G34" i="13" s="1"/>
  <c r="I34" i="13" s="1"/>
  <c r="I31" i="24" s="1"/>
  <c r="E33" i="21"/>
  <c r="F33" i="21" s="1"/>
  <c r="C33" i="18" s="1"/>
  <c r="E33" i="18" s="1"/>
  <c r="F33" i="18" s="1"/>
  <c r="G33" i="18" s="1"/>
  <c r="E30" i="13"/>
  <c r="G30" i="13" s="1"/>
  <c r="I30" i="13" s="1"/>
  <c r="I27" i="24" s="1"/>
  <c r="E29" i="21"/>
  <c r="F29" i="21" s="1"/>
  <c r="C29" i="18" s="1"/>
  <c r="E27" i="21"/>
  <c r="F27" i="21" s="1"/>
  <c r="C27" i="18" s="1"/>
  <c r="E27" i="18" s="1"/>
  <c r="F27" i="18" s="1"/>
  <c r="G27" i="18" s="1"/>
  <c r="E28" i="13"/>
  <c r="G28" i="13" s="1"/>
  <c r="I28" i="13" s="1"/>
  <c r="I25" i="24" s="1"/>
  <c r="E26" i="21"/>
  <c r="F26" i="21" s="1"/>
  <c r="C26" i="18" s="1"/>
  <c r="E26" i="18" s="1"/>
  <c r="F26" i="18" s="1"/>
  <c r="G26" i="18" s="1"/>
  <c r="E27" i="13"/>
  <c r="G27" i="13" s="1"/>
  <c r="I27" i="13" s="1"/>
  <c r="I24" i="24" s="1"/>
  <c r="D9" i="13"/>
  <c r="D8" i="21"/>
  <c r="N41" i="16"/>
  <c r="D8" i="14"/>
  <c r="H34" i="24" l="1"/>
  <c r="E37" i="13"/>
  <c r="G37" i="13" s="1"/>
  <c r="I37" i="13" s="1"/>
  <c r="I34" i="24" s="1"/>
  <c r="E14" i="21"/>
  <c r="F14" i="21" s="1"/>
  <c r="C14" i="18" s="1"/>
  <c r="E14" i="18" s="1"/>
  <c r="F14" i="18" s="1"/>
  <c r="G14" i="18" s="1"/>
  <c r="H12" i="24"/>
  <c r="F41" i="13"/>
  <c r="E31" i="21"/>
  <c r="F31" i="21" s="1"/>
  <c r="C31" i="18" s="1"/>
  <c r="E31" i="18" s="1"/>
  <c r="F31" i="18" s="1"/>
  <c r="G31" i="18" s="1"/>
  <c r="E32" i="13"/>
  <c r="G32" i="13" s="1"/>
  <c r="I32" i="13" s="1"/>
  <c r="I29" i="24" s="1"/>
  <c r="E9" i="18"/>
  <c r="F9" i="18" s="1"/>
  <c r="G9" i="18" s="1"/>
  <c r="E15" i="13"/>
  <c r="G15" i="13" s="1"/>
  <c r="I15" i="13" s="1"/>
  <c r="I12" i="24" s="1"/>
  <c r="E40" i="14"/>
  <c r="E34" i="18"/>
  <c r="F34" i="18" s="1"/>
  <c r="G34" i="18" s="1"/>
  <c r="E30" i="18"/>
  <c r="F30" i="18" s="1"/>
  <c r="G30" i="18" s="1"/>
  <c r="E29" i="18"/>
  <c r="F29" i="18" s="1"/>
  <c r="G29" i="18" s="1"/>
  <c r="D40" i="14"/>
  <c r="F8" i="14"/>
  <c r="D41" i="13"/>
  <c r="D40" i="21"/>
  <c r="G8" i="14" l="1"/>
  <c r="H6" i="24" s="1"/>
  <c r="F40" i="14"/>
  <c r="H38" i="24" l="1"/>
  <c r="G40" i="14"/>
  <c r="E9" i="13"/>
  <c r="E8" i="21"/>
  <c r="E41" i="13" l="1"/>
  <c r="G9" i="13"/>
  <c r="E40" i="21"/>
  <c r="F8" i="21"/>
  <c r="F40" i="21" l="1"/>
  <c r="C8" i="18"/>
  <c r="E8" i="18" s="1"/>
  <c r="G41" i="13"/>
  <c r="I9" i="13"/>
  <c r="I6" i="24" s="1"/>
  <c r="I38" i="24" l="1"/>
  <c r="I41" i="13"/>
  <c r="F8" i="18"/>
  <c r="G8" i="18" s="1"/>
  <c r="C40" i="18"/>
  <c r="G40" i="18" l="1"/>
  <c r="E40" i="18"/>
  <c r="D34" i="18"/>
  <c r="D27" i="18"/>
  <c r="D32" i="18"/>
  <c r="D37" i="18"/>
  <c r="D28" i="18"/>
  <c r="D21" i="18"/>
  <c r="D17" i="18"/>
  <c r="D30" i="18"/>
  <c r="D26" i="18"/>
  <c r="D14" i="18"/>
  <c r="D22" i="18"/>
  <c r="D35" i="18"/>
  <c r="D10" i="18"/>
  <c r="D36" i="18"/>
  <c r="D15" i="18"/>
  <c r="D24" i="18"/>
  <c r="D31" i="18"/>
  <c r="D25" i="18"/>
  <c r="D19" i="18"/>
  <c r="D18" i="18"/>
  <c r="D13" i="18"/>
  <c r="D29" i="18"/>
  <c r="D33" i="18"/>
  <c r="D11" i="18"/>
  <c r="D9" i="18"/>
  <c r="D16" i="18"/>
  <c r="D12" i="18"/>
  <c r="D38" i="18"/>
  <c r="D23" i="18"/>
  <c r="D20" i="18"/>
  <c r="D8" i="18"/>
  <c r="F40" i="18"/>
  <c r="H8" i="18" l="1"/>
  <c r="I8" i="18" s="1"/>
  <c r="H32" i="18"/>
  <c r="I32" i="18" s="1"/>
  <c r="J32" i="18" s="1"/>
  <c r="J30" i="24" s="1"/>
  <c r="K30" i="24" s="1"/>
  <c r="H28" i="18"/>
  <c r="I28" i="18" s="1"/>
  <c r="J28" i="18" s="1"/>
  <c r="J26" i="24" s="1"/>
  <c r="K26" i="24" s="1"/>
  <c r="H30" i="18"/>
  <c r="I30" i="18" s="1"/>
  <c r="J30" i="18" s="1"/>
  <c r="J28" i="24" s="1"/>
  <c r="K28" i="24" s="1"/>
  <c r="H17" i="18"/>
  <c r="I17" i="18" s="1"/>
  <c r="J17" i="18" s="1"/>
  <c r="J15" i="24" s="1"/>
  <c r="K15" i="24" s="1"/>
  <c r="H37" i="18"/>
  <c r="I37" i="18" s="1"/>
  <c r="J37" i="18" s="1"/>
  <c r="J35" i="24" s="1"/>
  <c r="K35" i="24" s="1"/>
  <c r="H27" i="18"/>
  <c r="I27" i="18" s="1"/>
  <c r="J27" i="18" s="1"/>
  <c r="J25" i="24" s="1"/>
  <c r="K25" i="24" s="1"/>
  <c r="H34" i="18"/>
  <c r="I34" i="18" s="1"/>
  <c r="J34" i="18" s="1"/>
  <c r="J32" i="24" s="1"/>
  <c r="K32" i="24" s="1"/>
  <c r="H12" i="18"/>
  <c r="I12" i="18" s="1"/>
  <c r="J12" i="18" s="1"/>
  <c r="J10" i="24" s="1"/>
  <c r="K10" i="24" s="1"/>
  <c r="H10" i="18"/>
  <c r="I10" i="18" s="1"/>
  <c r="J10" i="18" s="1"/>
  <c r="J8" i="24" s="1"/>
  <c r="K8" i="24" s="1"/>
  <c r="H26" i="18"/>
  <c r="I26" i="18" s="1"/>
  <c r="J26" i="18" s="1"/>
  <c r="J24" i="24" s="1"/>
  <c r="K24" i="24" s="1"/>
  <c r="H36" i="18"/>
  <c r="I36" i="18" s="1"/>
  <c r="J36" i="18" s="1"/>
  <c r="J34" i="24" s="1"/>
  <c r="K34" i="24" s="1"/>
  <c r="H14" i="18"/>
  <c r="I14" i="18" s="1"/>
  <c r="J14" i="18" s="1"/>
  <c r="J12" i="24" s="1"/>
  <c r="K12" i="24" s="1"/>
  <c r="H21" i="18"/>
  <c r="I21" i="18" s="1"/>
  <c r="J21" i="18" s="1"/>
  <c r="J19" i="24" s="1"/>
  <c r="K19" i="24" s="1"/>
  <c r="H20" i="18"/>
  <c r="I20" i="18" s="1"/>
  <c r="J20" i="18" s="1"/>
  <c r="J18" i="24" s="1"/>
  <c r="K18" i="24" s="1"/>
  <c r="H23" i="18"/>
  <c r="I23" i="18" s="1"/>
  <c r="J23" i="18" s="1"/>
  <c r="J21" i="24" s="1"/>
  <c r="H9" i="18"/>
  <c r="I9" i="18" s="1"/>
  <c r="J9" i="18" s="1"/>
  <c r="J7" i="24" s="1"/>
  <c r="K7" i="24" s="1"/>
  <c r="H33" i="18"/>
  <c r="I33" i="18" s="1"/>
  <c r="J33" i="18" s="1"/>
  <c r="J31" i="24" s="1"/>
  <c r="K31" i="24" s="1"/>
  <c r="H13" i="18"/>
  <c r="I13" i="18" s="1"/>
  <c r="J13" i="18" s="1"/>
  <c r="J11" i="24" s="1"/>
  <c r="K11" i="24" s="1"/>
  <c r="H31" i="18"/>
  <c r="I31" i="18" s="1"/>
  <c r="J31" i="18" s="1"/>
  <c r="J29" i="24" s="1"/>
  <c r="K29" i="24" s="1"/>
  <c r="H15" i="18"/>
  <c r="I15" i="18" s="1"/>
  <c r="J15" i="18" s="1"/>
  <c r="J13" i="24" s="1"/>
  <c r="K13" i="24" s="1"/>
  <c r="H22" i="18"/>
  <c r="I22" i="18" s="1"/>
  <c r="J22" i="18" s="1"/>
  <c r="J20" i="24" s="1"/>
  <c r="K20" i="24" s="1"/>
  <c r="H24" i="18"/>
  <c r="I24" i="18" s="1"/>
  <c r="J24" i="18" s="1"/>
  <c r="J22" i="24" s="1"/>
  <c r="K22" i="24" s="1"/>
  <c r="H35" i="18"/>
  <c r="I35" i="18" s="1"/>
  <c r="J35" i="18" s="1"/>
  <c r="J33" i="24" s="1"/>
  <c r="K33" i="24" s="1"/>
  <c r="H25" i="18"/>
  <c r="I25" i="18" s="1"/>
  <c r="J25" i="18" s="1"/>
  <c r="J23" i="24" s="1"/>
  <c r="K23" i="24" s="1"/>
  <c r="H18" i="18"/>
  <c r="I18" i="18" s="1"/>
  <c r="J18" i="18" s="1"/>
  <c r="J16" i="24" s="1"/>
  <c r="K16" i="24" s="1"/>
  <c r="H19" i="18"/>
  <c r="I19" i="18" s="1"/>
  <c r="J19" i="18" s="1"/>
  <c r="J17" i="24" s="1"/>
  <c r="K17" i="24" s="1"/>
  <c r="H38" i="18"/>
  <c r="I38" i="18" s="1"/>
  <c r="J38" i="18" s="1"/>
  <c r="J36" i="24" s="1"/>
  <c r="K36" i="24" s="1"/>
  <c r="H16" i="18"/>
  <c r="I16" i="18" s="1"/>
  <c r="J16" i="18" s="1"/>
  <c r="J14" i="24" s="1"/>
  <c r="K14" i="24" s="1"/>
  <c r="H11" i="18"/>
  <c r="I11" i="18" s="1"/>
  <c r="J11" i="18" s="1"/>
  <c r="J9" i="24" s="1"/>
  <c r="K9" i="24" s="1"/>
  <c r="H29" i="18"/>
  <c r="I29" i="18" s="1"/>
  <c r="J29" i="18" s="1"/>
  <c r="J27" i="24" s="1"/>
  <c r="K27" i="24" s="1"/>
  <c r="D40" i="18"/>
  <c r="K21" i="24" l="1"/>
  <c r="H40" i="18"/>
  <c r="I40" i="18"/>
  <c r="J8" i="18"/>
  <c r="J6" i="24" s="1"/>
  <c r="J38" i="24" l="1"/>
  <c r="K6" i="24"/>
  <c r="J40" i="18"/>
  <c r="K38" i="24" l="1"/>
  <c r="L14" i="24" s="1"/>
  <c r="L7" i="24" l="1"/>
  <c r="L27" i="24"/>
  <c r="L22" i="24"/>
  <c r="L15" i="24"/>
  <c r="L25" i="24"/>
  <c r="L28" i="24"/>
  <c r="L17" i="24"/>
  <c r="L23" i="24"/>
  <c r="L11" i="24"/>
  <c r="L10" i="24"/>
  <c r="L24" i="24"/>
  <c r="L35" i="24"/>
  <c r="L32" i="24"/>
  <c r="L33" i="24"/>
  <c r="L21" i="24"/>
  <c r="L13" i="24"/>
  <c r="L18" i="24"/>
  <c r="L12" i="24"/>
  <c r="L36" i="24"/>
  <c r="L34" i="24"/>
  <c r="L29" i="24"/>
  <c r="L16" i="24"/>
  <c r="L9" i="24"/>
  <c r="L31" i="24"/>
  <c r="L20" i="24"/>
  <c r="L8" i="24"/>
  <c r="L19" i="24"/>
  <c r="L30" i="24"/>
  <c r="L26" i="24"/>
  <c r="L6" i="24"/>
  <c r="L38" i="24" l="1"/>
  <c r="P40" i="24"/>
  <c r="P7" i="24" s="1"/>
  <c r="O32" i="24" l="1"/>
  <c r="O23" i="24"/>
  <c r="P34" i="24"/>
  <c r="P18" i="24"/>
  <c r="O10" i="24"/>
  <c r="O30" i="24"/>
  <c r="P10" i="24"/>
  <c r="O33" i="24"/>
  <c r="P8" i="24"/>
  <c r="O21" i="24"/>
  <c r="P17" i="24"/>
  <c r="O25" i="24"/>
  <c r="P13" i="24"/>
  <c r="P14" i="24"/>
  <c r="P19" i="24"/>
  <c r="P35" i="24"/>
  <c r="O11" i="24"/>
  <c r="P11" i="24"/>
  <c r="P23" i="24"/>
  <c r="O19" i="24"/>
  <c r="O31" i="24"/>
  <c r="O16" i="24"/>
  <c r="O8" i="24"/>
  <c r="P20" i="24"/>
  <c r="P6" i="24"/>
  <c r="P21" i="24"/>
  <c r="P25" i="24"/>
  <c r="O18" i="24"/>
  <c r="Q18" i="24" s="1"/>
  <c r="O13" i="24"/>
  <c r="P32" i="24"/>
  <c r="O7" i="24"/>
  <c r="Q7" i="24" s="1"/>
  <c r="O9" i="24"/>
  <c r="O26" i="24"/>
  <c r="O12" i="24"/>
  <c r="O27" i="24"/>
  <c r="O28" i="24"/>
  <c r="P28" i="24"/>
  <c r="P33" i="24"/>
  <c r="P27" i="24"/>
  <c r="P9" i="24"/>
  <c r="O34" i="24"/>
  <c r="P31" i="24"/>
  <c r="O29" i="24"/>
  <c r="P15" i="24"/>
  <c r="P30" i="24"/>
  <c r="O35" i="24"/>
  <c r="O17" i="24"/>
  <c r="Q17" i="24" s="1"/>
  <c r="P16" i="24"/>
  <c r="P29" i="24"/>
  <c r="O6" i="24"/>
  <c r="P12" i="24"/>
  <c r="O22" i="24"/>
  <c r="O24" i="24"/>
  <c r="P22" i="24"/>
  <c r="P26" i="24"/>
  <c r="O15" i="24"/>
  <c r="Q15" i="24" s="1"/>
  <c r="O14" i="24"/>
  <c r="O20" i="24"/>
  <c r="O36" i="24"/>
  <c r="P24" i="24"/>
  <c r="P36" i="24"/>
  <c r="Q30" i="24" l="1"/>
  <c r="Q33" i="24"/>
  <c r="Q31" i="24"/>
  <c r="Q25" i="24"/>
  <c r="Q13" i="24"/>
  <c r="Q8" i="24"/>
  <c r="Q29" i="24"/>
  <c r="Q24" i="24"/>
  <c r="Q9" i="24"/>
  <c r="S15" i="24"/>
  <c r="T15" i="24" s="1"/>
  <c r="S17" i="24"/>
  <c r="T17" i="24" s="1"/>
  <c r="Q35" i="24"/>
  <c r="Q16" i="24"/>
  <c r="Q22" i="24"/>
  <c r="Q19" i="24"/>
  <c r="S30" i="24"/>
  <c r="T30" i="24" s="1"/>
  <c r="S18" i="24"/>
  <c r="T18" i="24" s="1"/>
  <c r="Q20" i="24"/>
  <c r="O38" i="24"/>
  <c r="Q6" i="24"/>
  <c r="Q12" i="24"/>
  <c r="Q21" i="24"/>
  <c r="Q23" i="24"/>
  <c r="S7" i="24"/>
  <c r="T7" i="24" s="1"/>
  <c r="Q10" i="24"/>
  <c r="Q28" i="24"/>
  <c r="Q36" i="24"/>
  <c r="Q27" i="24"/>
  <c r="Q14" i="24"/>
  <c r="Q34" i="24"/>
  <c r="Q26" i="24"/>
  <c r="P38" i="24"/>
  <c r="Q11" i="24"/>
  <c r="Q32" i="24"/>
  <c r="S29" i="24" l="1"/>
  <c r="T29" i="24" s="1"/>
  <c r="S8" i="24"/>
  <c r="T8" i="24" s="1"/>
  <c r="S13" i="24"/>
  <c r="T13" i="24" s="1"/>
  <c r="S25" i="24"/>
  <c r="T25" i="24" s="1"/>
  <c r="S24" i="24"/>
  <c r="T24" i="24" s="1"/>
  <c r="S31" i="24"/>
  <c r="T31" i="24" s="1"/>
  <c r="S33" i="24"/>
  <c r="T33" i="24" s="1"/>
  <c r="S9" i="24"/>
  <c r="T9" i="24" s="1"/>
  <c r="S27" i="24"/>
  <c r="T27" i="24" s="1"/>
  <c r="S36" i="24"/>
  <c r="T36" i="24" s="1"/>
  <c r="S32" i="24"/>
  <c r="T32" i="24" s="1"/>
  <c r="S11" i="24"/>
  <c r="T11" i="24" s="1"/>
  <c r="S16" i="24"/>
  <c r="T16" i="24" s="1"/>
  <c r="S20" i="24"/>
  <c r="T20" i="24" s="1"/>
  <c r="S35" i="24"/>
  <c r="T35" i="24" s="1"/>
  <c r="S34" i="24"/>
  <c r="T34" i="24" s="1"/>
  <c r="S28" i="24"/>
  <c r="T28" i="24" s="1"/>
  <c r="S23" i="24"/>
  <c r="T23" i="24" s="1"/>
  <c r="S19" i="24"/>
  <c r="T19" i="24" s="1"/>
  <c r="S26" i="24"/>
  <c r="T26" i="24" s="1"/>
  <c r="S10" i="24"/>
  <c r="T10" i="24" s="1"/>
  <c r="S21" i="24"/>
  <c r="T21" i="24" s="1"/>
  <c r="S22" i="24"/>
  <c r="T22" i="24" s="1"/>
  <c r="S12" i="24"/>
  <c r="T12" i="24" s="1"/>
  <c r="S14" i="24"/>
  <c r="T14" i="24" s="1"/>
  <c r="S6" i="24"/>
  <c r="Q38" i="24"/>
  <c r="R22" i="24" s="1"/>
  <c r="R26" i="24" l="1"/>
  <c r="R19" i="24"/>
  <c r="R11" i="24"/>
  <c r="R34" i="24"/>
  <c r="R12" i="24"/>
  <c r="R35" i="24"/>
  <c r="R32" i="24"/>
  <c r="R15" i="24"/>
  <c r="R24" i="24"/>
  <c r="R13" i="24"/>
  <c r="R30" i="24"/>
  <c r="R17" i="24"/>
  <c r="R31" i="24"/>
  <c r="R7" i="24"/>
  <c r="R18" i="24"/>
  <c r="R33" i="24"/>
  <c r="R8" i="24"/>
  <c r="R29" i="24"/>
  <c r="R25" i="24"/>
  <c r="R9" i="24"/>
  <c r="R6" i="24"/>
  <c r="R21" i="24"/>
  <c r="R23" i="24"/>
  <c r="S38" i="24"/>
  <c r="T38" i="24" s="1"/>
  <c r="T6" i="24"/>
  <c r="R20" i="24"/>
  <c r="R36" i="24"/>
  <c r="R14" i="24"/>
  <c r="R10" i="24"/>
  <c r="R28" i="24"/>
  <c r="R16" i="24"/>
  <c r="R27" i="24"/>
  <c r="R38" i="24" l="1"/>
</calcChain>
</file>

<file path=xl/sharedStrings.xml><?xml version="1.0" encoding="utf-8"?>
<sst xmlns="http://schemas.openxmlformats.org/spreadsheetml/2006/main" count="968" uniqueCount="249">
  <si>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</si>
  <si>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</si>
  <si>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</si>
  <si>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</si>
  <si>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</si>
  <si>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</si>
  <si>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</si>
  <si>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</si>
  <si>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</si>
  <si>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</si>
  <si>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</si>
  <si>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</si>
  <si>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</si>
  <si>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</si>
  <si>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</si>
  <si>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</si>
  <si>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0157</t>
  </si>
  <si>
    <t>Inver Hills CC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</si>
  <si>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</si>
  <si>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</si>
  <si>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</si>
  <si>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</si>
  <si>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</si>
  <si>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</si>
  <si>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</si>
  <si>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</si>
  <si>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</si>
  <si>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</si>
  <si>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</si>
  <si>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</si>
  <si>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</si>
  <si>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</si>
  <si>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</si>
  <si>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</si>
  <si>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</si>
  <si>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</si>
  <si>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</si>
  <si>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</si>
  <si>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</si>
  <si>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</si>
  <si>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</si>
  <si>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</si>
  <si>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</si>
  <si>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</si>
  <si>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</si>
  <si>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</si>
  <si>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</si>
  <si>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</si>
  <si>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</si>
  <si>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</si>
  <si>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</si>
  <si>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</si>
  <si>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</si>
  <si>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</si>
  <si>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</si>
  <si>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</si>
  <si>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</si>
  <si>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</si>
  <si>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</si>
  <si>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</si>
  <si>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</si>
  <si>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</si>
  <si>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</si>
  <si>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</si>
  <si>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</si>
  <si>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</si>
  <si>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</si>
  <si>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</si>
  <si>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Instruction &amp; Academic Support</t>
  </si>
  <si>
    <t>Allocation for Facilities</t>
  </si>
  <si>
    <t>Allocation for Library</t>
  </si>
  <si>
    <t>Allocation for Separately Budgeted Research &amp; Public Service</t>
  </si>
  <si>
    <t>Allocation for Enrollment Adjustment</t>
  </si>
  <si>
    <t>% Share of Allocation</t>
  </si>
  <si>
    <t>Allocation for Administrative &amp; Student Support Services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</si>
  <si>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</si>
  <si>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</si>
  <si>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</si>
  <si>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</si>
  <si>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</si>
  <si>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</si>
  <si>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</si>
  <si>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</si>
  <si>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</si>
  <si>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</si>
  <si>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</si>
  <si>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</si>
  <si>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b+c+d+e+f</t>
  </si>
  <si>
    <t>a+g</t>
  </si>
  <si>
    <t>a</t>
  </si>
  <si>
    <t>10% of LD expended</t>
  </si>
  <si>
    <t>g</t>
  </si>
  <si>
    <t>h</t>
  </si>
  <si>
    <t>Institution</t>
  </si>
  <si>
    <t>Lower Division (LD) Change</t>
  </si>
  <si>
    <t>Regional Dean of Mgmt Education</t>
  </si>
  <si>
    <t>Departmental Research</t>
  </si>
  <si>
    <t>Upper Division (UD) Change</t>
  </si>
  <si>
    <t>Graduate (GR) Change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</si>
  <si>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</si>
  <si>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</si>
  <si>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</si>
  <si>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</si>
  <si>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</si>
  <si>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Colleges--1.17% of operating allocation; Universities--2.62% of operating allocation</t>
  </si>
  <si>
    <t>Total Operating  Allocation</t>
  </si>
  <si>
    <t>Allocation for Separately Budgeted Research and Public Service</t>
  </si>
  <si>
    <t>ENROLLMENT ADJUSTMENT</t>
  </si>
  <si>
    <t>a+d</t>
  </si>
  <si>
    <t>d+g</t>
  </si>
  <si>
    <t>Allocation for Instruction, Academic Support, Administrative &amp; Student Support Services &amp; Library</t>
  </si>
  <si>
    <t>Percent Share</t>
  </si>
  <si>
    <t>Allocation Per Student</t>
  </si>
  <si>
    <t>Adjusted Allocation for Instruction, Academic Support, Administrative &amp; Student Support Services &amp; Library</t>
  </si>
  <si>
    <t>Percent Share After Adjustment</t>
  </si>
  <si>
    <t>Redistribution of Dollars Based on % Share</t>
  </si>
  <si>
    <t xml:space="preserve"> </t>
  </si>
  <si>
    <t>Total</t>
  </si>
  <si>
    <t>Detail Worksheet to Categories Used in Enrollment Adjustment Calculation</t>
  </si>
  <si>
    <t>a+b+c</t>
  </si>
  <si>
    <t>Allocation for Instruction, Academic Support, Administrative Services &amp; Library</t>
  </si>
  <si>
    <t>REVENUE OFFSET</t>
  </si>
  <si>
    <t>a-b</t>
  </si>
  <si>
    <t>d-e</t>
  </si>
  <si>
    <t>f/c</t>
  </si>
  <si>
    <t>Less Specific Revenue</t>
  </si>
  <si>
    <t>Net GEN Expenditures</t>
  </si>
  <si>
    <t>Net GEN Revenue</t>
  </si>
  <si>
    <t>a * c</t>
  </si>
  <si>
    <t>b + d</t>
  </si>
  <si>
    <t>$500/fye</t>
  </si>
  <si>
    <t>g + h</t>
  </si>
  <si>
    <t>k</t>
  </si>
  <si>
    <t>Core</t>
  </si>
  <si>
    <t>Dollars per FYE</t>
  </si>
  <si>
    <t xml:space="preserve">Dollars Generated Per FYE   </t>
  </si>
  <si>
    <t>Core plus Dollars per FYE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</si>
  <si>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</si>
  <si>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</si>
  <si>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</si>
  <si>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</si>
  <si>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</si>
  <si>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# of Beds</t>
  </si>
  <si>
    <t>Residential Campus Factor ($/Bed)</t>
  </si>
  <si>
    <t>Central Steam  Plant Factor</t>
  </si>
  <si>
    <t>Gross Operations</t>
  </si>
  <si>
    <t>Gross Repair &amp; Replacement</t>
  </si>
  <si>
    <t>Net Operations</t>
  </si>
  <si>
    <t>Net Repair &amp; Replacement</t>
  </si>
  <si>
    <t>SQ FT</t>
  </si>
  <si>
    <t>HC</t>
  </si>
  <si>
    <t>Allocation</t>
  </si>
  <si>
    <t>LIBRARY</t>
  </si>
  <si>
    <t>3.5%/6% of d</t>
  </si>
  <si>
    <t>Allocation for Instruction, Academic Support, Facilities, &amp; Administrative &amp; Student Support Services</t>
  </si>
  <si>
    <t>0442</t>
  </si>
  <si>
    <t>0403</t>
  </si>
  <si>
    <t>i</t>
  </si>
  <si>
    <t>l</t>
  </si>
  <si>
    <t>Minnesota State College</t>
  </si>
  <si>
    <t>Bemidji SU &amp; Northwest TC-Bemidji</t>
  </si>
  <si>
    <t>50% Allocation Framework % Share</t>
  </si>
  <si>
    <t>P</t>
  </si>
  <si>
    <t>a*(1-b)</t>
  </si>
  <si>
    <t>e*(1-f)</t>
  </si>
  <si>
    <t>Avg (h+i+j)</t>
  </si>
  <si>
    <t>a+b+c+d</t>
  </si>
  <si>
    <t>1.17%/2.62% of e</t>
  </si>
  <si>
    <t>f*(-total d)</t>
  </si>
  <si>
    <t>3 Year Average Allocation Instruction</t>
  </si>
  <si>
    <t>3 Year Average Allocation Administrative &amp; Student Support Services</t>
  </si>
  <si>
    <t>South Central College</t>
  </si>
  <si>
    <t>0411</t>
  </si>
  <si>
    <t>Revenue Buydown</t>
  </si>
  <si>
    <t>NR/NR and MSEP Adjustment</t>
  </si>
  <si>
    <t>Sum A thru F</t>
  </si>
  <si>
    <t>g/tot g</t>
  </si>
  <si>
    <t>i/tot i</t>
  </si>
  <si>
    <t>J</t>
  </si>
  <si>
    <t>k+l</t>
  </si>
  <si>
    <t>90/110</t>
  </si>
  <si>
    <t>m-i</t>
  </si>
  <si>
    <t>m/tot m</t>
  </si>
  <si>
    <t>St. Cloud College</t>
  </si>
  <si>
    <t>a/FY10 FYE</t>
  </si>
  <si>
    <t>o/i</t>
  </si>
  <si>
    <t>j</t>
  </si>
  <si>
    <t>Avg (i+j+k)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</si>
  <si>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</si>
  <si>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</si>
  <si>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</si>
  <si>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</si>
  <si>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j*$X</t>
  </si>
  <si>
    <t>h*$X</t>
  </si>
  <si>
    <t xml:space="preserve"> Leases (from FY2011) PHASED OUT</t>
  </si>
  <si>
    <t>FY2013 FYE</t>
  </si>
  <si>
    <t>FY2015 Allocation for Instruction &amp; Academic Support</t>
  </si>
  <si>
    <t>FY2015 Allocation for Administrative &amp; Student Support Services</t>
  </si>
  <si>
    <t>FY2015 Tuition Buydown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</si>
  <si>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</si>
  <si>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</si>
  <si>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</si>
  <si>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</si>
  <si>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</si>
  <si>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</si>
  <si>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</si>
  <si>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</si>
  <si>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</si>
  <si>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FY2016 Allocation for Administrative &amp; Student Support Services</t>
  </si>
  <si>
    <t>FY2014</t>
  </si>
  <si>
    <t>FY2016 Allocation for Instruction &amp; Academic Support</t>
  </si>
  <si>
    <t xml:space="preserve">FY2016 Base Allocation </t>
  </si>
  <si>
    <t>`</t>
  </si>
  <si>
    <t>BASED ON NATIONAL BENCHMARKS -- March 2015</t>
  </si>
  <si>
    <t>BASED ON FY1999 NATIONAL DATA -- March 2015</t>
  </si>
  <si>
    <t>FY2017 Allocation for Instruction &amp; Academic Support</t>
  </si>
  <si>
    <t>FY2017 Allocation for Administrative &amp; Student Support Services</t>
  </si>
  <si>
    <t>BASED ON FY2015 MnSCU DATA -- February 2016</t>
  </si>
  <si>
    <t>FY2015 Total GEN Expenditures</t>
  </si>
  <si>
    <t>FY2015 Academic Support Net Expenditures</t>
  </si>
  <si>
    <t>FY2015 Academic Support State Appro Expended</t>
  </si>
  <si>
    <t>FY2015 FYE</t>
  </si>
  <si>
    <t>BASED ON FY2015 MnSCU DATA and FY2014 NATIONAL DATA -- February 2016</t>
  </si>
  <si>
    <t xml:space="preserve">FY2017 Base Allocation </t>
  </si>
  <si>
    <t>BASED ON FY2015 MnSCU DATA and FY2014 NATIONAL DATA --February 2016</t>
  </si>
  <si>
    <t>FY2015 Instruction &amp; Academic Support State Appro Expended</t>
  </si>
  <si>
    <t>BASED ON FY2015 MnSCU DATA  -- February 2016</t>
  </si>
  <si>
    <t>FY2015</t>
  </si>
  <si>
    <t>Utilities FY13/14/15 3 Year Average</t>
  </si>
  <si>
    <t>FY2015 - Duplicated Headcount</t>
  </si>
  <si>
    <t>FY2015 NR/NR FYE</t>
  </si>
  <si>
    <t>FY2015 MSEP FYE</t>
  </si>
  <si>
    <t>% Share of FY2017 Allocation</t>
  </si>
  <si>
    <t>s:\finance\bargain\FY17 allocation\Summary of FY2017 Institutional Allocation Draft</t>
  </si>
  <si>
    <t>Minnesota West CTC</t>
  </si>
  <si>
    <t>% Share of FY2016 Base</t>
  </si>
  <si>
    <t>50% FY2016 Base % Share</t>
  </si>
  <si>
    <t>$ Change Over FY2016</t>
  </si>
  <si>
    <t>% Change Over FY2016</t>
  </si>
  <si>
    <t>FY2015 Total Other (GEN) Revenue</t>
  </si>
  <si>
    <t>FY2017 Tuition Buydown College Only</t>
  </si>
  <si>
    <t>FY2017 Access &amp; Opportunity</t>
  </si>
  <si>
    <t>Q</t>
  </si>
  <si>
    <t>R</t>
  </si>
  <si>
    <t>S</t>
  </si>
  <si>
    <t>Hennepin Technical College</t>
  </si>
  <si>
    <t>Inver Hills Community College</t>
  </si>
  <si>
    <t>Metropolitan State University</t>
  </si>
  <si>
    <t>Minnesota State 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</si>
</sst>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0.0"/>
    <numFmt numFmtId="169" formatCode="_(* #,##0_);_(* \(#,##0\);_(* &quot;-&quot;??_);_(@_)"/>
    <numFmt numFmtId="170" formatCode="&quot;$&quot;#,##0"/>
    <numFmt numFmtId="171" formatCode="&quot;$&quot;#,##0.00"/>
    <numFmt numFmtId="172" formatCode="#,##0.0000000000"/>
  </numFmts>
  <fonts count="17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7"/>
      <name val="Courier"/>
      <family val="3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2" fillId="2" borderId="1" xfId="8" applyFont="1" applyFill="1" applyBorder="1" applyAlignment="1">
      <alignment horizontal="center" wrapText="1"/>
    </xf>
    <xf numFmtId="0" fontId="4" fillId="2" borderId="0" xfId="8" applyFont="1" applyFill="1" applyBorder="1" applyAlignment="1">
      <alignment horizontal="center" wrapText="1"/>
    </xf>
    <xf numFmtId="0" fontId="4" fillId="0" borderId="1" xfId="8" applyFont="1" applyFill="1" applyBorder="1" applyAlignment="1">
      <alignment horizontal="left" wrapText="1"/>
    </xf>
    <xf numFmtId="0" fontId="5" fillId="0" borderId="0" xfId="0" applyFont="1"/>
    <xf numFmtId="38" fontId="5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4" fillId="0" borderId="1" xfId="8" applyFont="1" applyFill="1" applyBorder="1" applyAlignment="1">
      <alignment horizontal="center" wrapText="1"/>
    </xf>
    <xf numFmtId="38" fontId="0" fillId="0" borderId="0" xfId="0" applyNumberFormat="1"/>
    <xf numFmtId="3" fontId="5" fillId="0" borderId="0" xfId="0" applyNumberFormat="1" applyFont="1"/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0" xfId="0" applyBorder="1"/>
    <xf numFmtId="49" fontId="6" fillId="0" borderId="0" xfId="0" applyNumberFormat="1" applyFont="1" applyAlignment="1">
      <alignment horizontal="left"/>
    </xf>
    <xf numFmtId="38" fontId="5" fillId="0" borderId="4" xfId="0" applyNumberFormat="1" applyFont="1" applyBorder="1" applyAlignment="1">
      <alignment horizontal="center" wrapText="1"/>
    </xf>
    <xf numFmtId="3" fontId="0" fillId="0" borderId="0" xfId="0" applyNumberFormat="1"/>
    <xf numFmtId="3" fontId="0" fillId="0" borderId="4" xfId="0" applyNumberFormat="1" applyBorder="1"/>
    <xf numFmtId="0" fontId="5" fillId="0" borderId="0" xfId="0" applyFont="1" applyBorder="1"/>
    <xf numFmtId="10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69" fontId="0" fillId="0" borderId="0" xfId="1" applyNumberFormat="1" applyFont="1"/>
    <xf numFmtId="1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8" fontId="0" fillId="2" borderId="0" xfId="0" applyNumberFormat="1" applyFill="1"/>
    <xf numFmtId="0" fontId="9" fillId="0" borderId="0" xfId="0" applyFont="1" applyBorder="1" applyAlignment="1">
      <alignment horizontal="center"/>
    </xf>
    <xf numFmtId="10" fontId="0" fillId="0" borderId="0" xfId="0" applyNumberFormat="1" applyBorder="1"/>
    <xf numFmtId="0" fontId="8" fillId="0" borderId="0" xfId="0" applyFont="1" applyBorder="1"/>
    <xf numFmtId="0" fontId="5" fillId="0" borderId="4" xfId="0" applyFont="1" applyBorder="1" applyAlignment="1">
      <alignment horizontal="center" wrapText="1"/>
    </xf>
    <xf numFmtId="38" fontId="5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9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38" fontId="5" fillId="2" borderId="5" xfId="0" applyNumberFormat="1" applyFont="1" applyFill="1" applyBorder="1" applyAlignment="1">
      <alignment horizontal="center" wrapText="1"/>
    </xf>
    <xf numFmtId="0" fontId="4" fillId="2" borderId="0" xfId="9" applyFont="1" applyFill="1" applyBorder="1" applyAlignment="1">
      <alignment horizontal="center"/>
    </xf>
    <xf numFmtId="38" fontId="0" fillId="0" borderId="4" xfId="0" applyNumberFormat="1" applyBorder="1"/>
    <xf numFmtId="0" fontId="12" fillId="0" borderId="0" xfId="0" applyFont="1"/>
    <xf numFmtId="3" fontId="5" fillId="0" borderId="0" xfId="0" applyNumberFormat="1" applyFont="1" applyAlignment="1">
      <alignment horizontal="center"/>
    </xf>
    <xf numFmtId="3" fontId="2" fillId="2" borderId="1" xfId="8" applyNumberFormat="1" applyFont="1" applyFill="1" applyBorder="1" applyAlignment="1">
      <alignment horizontal="center" wrapText="1"/>
    </xf>
    <xf numFmtId="49" fontId="4" fillId="0" borderId="1" xfId="8" applyNumberFormat="1" applyFont="1" applyFill="1" applyBorder="1" applyAlignment="1">
      <alignment horizontal="center" wrapText="1"/>
    </xf>
    <xf numFmtId="38" fontId="13" fillId="0" borderId="0" xfId="0" applyNumberFormat="1" applyFont="1"/>
    <xf numFmtId="49" fontId="6" fillId="0" borderId="0" xfId="0" applyNumberFormat="1" applyFont="1"/>
    <xf numFmtId="170" fontId="0" fillId="0" borderId="0" xfId="0" applyNumberFormat="1"/>
    <xf numFmtId="0" fontId="5" fillId="0" borderId="0" xfId="0" applyFont="1" applyAlignment="1"/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170" fontId="5" fillId="3" borderId="4" xfId="0" applyNumberFormat="1" applyFont="1" applyFill="1" applyBorder="1" applyAlignment="1">
      <alignment horizontal="center" wrapText="1"/>
    </xf>
    <xf numFmtId="170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70" fontId="5" fillId="0" borderId="7" xfId="0" applyNumberFormat="1" applyFont="1" applyBorder="1" applyAlignment="1">
      <alignment horizontal="center" wrapText="1"/>
    </xf>
    <xf numFmtId="38" fontId="5" fillId="0" borderId="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0" fillId="0" borderId="4" xfId="0" applyNumberFormat="1" applyBorder="1" applyAlignment="1"/>
    <xf numFmtId="10" fontId="0" fillId="0" borderId="4" xfId="0" applyNumberFormat="1" applyBorder="1" applyAlignment="1"/>
    <xf numFmtId="38" fontId="0" fillId="0" borderId="4" xfId="2" applyNumberFormat="1" applyFont="1" applyBorder="1" applyAlignment="1"/>
    <xf numFmtId="38" fontId="0" fillId="0" borderId="4" xfId="0" applyNumberFormat="1" applyBorder="1" applyAlignment="1"/>
    <xf numFmtId="0" fontId="0" fillId="0" borderId="8" xfId="0" applyBorder="1"/>
    <xf numFmtId="170" fontId="0" fillId="0" borderId="8" xfId="0" applyNumberFormat="1" applyBorder="1"/>
    <xf numFmtId="10" fontId="0" fillId="0" borderId="8" xfId="0" applyNumberFormat="1" applyBorder="1"/>
    <xf numFmtId="5" fontId="0" fillId="0" borderId="8" xfId="2" applyNumberFormat="1" applyFont="1" applyBorder="1" applyAlignment="1">
      <alignment horizontal="right" vertical="top"/>
    </xf>
    <xf numFmtId="38" fontId="0" fillId="0" borderId="8" xfId="0" applyNumberFormat="1" applyBorder="1"/>
    <xf numFmtId="0" fontId="13" fillId="0" borderId="0" xfId="0" applyFont="1"/>
    <xf numFmtId="0" fontId="13" fillId="0" borderId="0" xfId="0" applyFont="1" applyBorder="1" applyAlignment="1"/>
    <xf numFmtId="3" fontId="13" fillId="0" borderId="0" xfId="2" applyNumberFormat="1" applyFont="1" applyBorder="1" applyAlignment="1">
      <alignment horizontal="right"/>
    </xf>
    <xf numFmtId="10" fontId="13" fillId="0" borderId="0" xfId="2" applyNumberFormat="1" applyFont="1" applyBorder="1" applyAlignment="1">
      <alignment horizontal="right"/>
    </xf>
    <xf numFmtId="38" fontId="13" fillId="0" borderId="0" xfId="2" applyNumberFormat="1" applyFont="1" applyBorder="1" applyAlignment="1">
      <alignment horizontal="right"/>
    </xf>
    <xf numFmtId="9" fontId="13" fillId="0" borderId="0" xfId="11" applyFont="1" applyBorder="1" applyAlignment="1"/>
    <xf numFmtId="5" fontId="5" fillId="0" borderId="0" xfId="2" applyNumberFormat="1" applyFont="1" applyAlignment="1">
      <alignment horizontal="right" vertical="top"/>
    </xf>
    <xf numFmtId="38" fontId="0" fillId="0" borderId="0" xfId="2" applyNumberFormat="1" applyFont="1" applyBorder="1" applyAlignment="1"/>
    <xf numFmtId="3" fontId="12" fillId="0" borderId="0" xfId="0" applyNumberFormat="1" applyFont="1"/>
    <xf numFmtId="0" fontId="16" fillId="0" borderId="0" xfId="0" applyFont="1"/>
    <xf numFmtId="3" fontId="4" fillId="2" borderId="0" xfId="8" applyNumberFormat="1" applyFont="1" applyFill="1" applyBorder="1" applyAlignment="1">
      <alignment horizontal="center" wrapText="1"/>
    </xf>
    <xf numFmtId="0" fontId="4" fillId="0" borderId="1" xfId="6" applyFont="1" applyFill="1" applyBorder="1" applyAlignment="1">
      <alignment horizontal="center" wrapText="1"/>
    </xf>
    <xf numFmtId="3" fontId="0" fillId="0" borderId="1" xfId="0" applyNumberFormat="1" applyBorder="1"/>
    <xf numFmtId="3" fontId="13" fillId="0" borderId="0" xfId="0" applyNumberFormat="1" applyFont="1"/>
    <xf numFmtId="3" fontId="6" fillId="0" borderId="0" xfId="0" applyNumberFormat="1" applyFont="1"/>
    <xf numFmtId="38" fontId="0" fillId="2" borderId="4" xfId="0" applyNumberFormat="1" applyFill="1" applyBorder="1"/>
    <xf numFmtId="170" fontId="5" fillId="0" borderId="0" xfId="0" applyNumberFormat="1" applyFont="1" applyAlignment="1">
      <alignment horizontal="center" vertical="top"/>
    </xf>
    <xf numFmtId="38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10" fontId="5" fillId="2" borderId="14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1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7" fontId="0" fillId="0" borderId="4" xfId="11" applyNumberFormat="1" applyFont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5" fillId="2" borderId="0" xfId="0" applyNumberFormat="1" applyFont="1" applyFill="1" applyAlignment="1">
      <alignment horizontal="center" vertical="top"/>
    </xf>
    <xf numFmtId="38" fontId="5" fillId="2" borderId="7" xfId="0" applyNumberFormat="1" applyFont="1" applyFill="1" applyBorder="1" applyAlignment="1">
      <alignment horizontal="center" wrapText="1"/>
    </xf>
    <xf numFmtId="38" fontId="0" fillId="3" borderId="4" xfId="2" applyNumberFormat="1" applyFont="1" applyFill="1" applyBorder="1" applyAlignment="1"/>
    <xf numFmtId="38" fontId="0" fillId="3" borderId="8" xfId="2" applyNumberFormat="1" applyFont="1" applyFill="1" applyBorder="1" applyAlignment="1">
      <alignment horizontal="right" vertical="top"/>
    </xf>
    <xf numFmtId="38" fontId="13" fillId="3" borderId="0" xfId="2" applyNumberFormat="1" applyFont="1" applyFill="1" applyBorder="1" applyAlignment="1">
      <alignment horizontal="right"/>
    </xf>
    <xf numFmtId="38" fontId="0" fillId="3" borderId="0" xfId="2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 wrapText="1"/>
    </xf>
    <xf numFmtId="10" fontId="0" fillId="2" borderId="1" xfId="11" applyNumberFormat="1" applyFont="1" applyFill="1" applyBorder="1"/>
    <xf numFmtId="10" fontId="5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5" fillId="0" borderId="0" xfId="0" applyNumberFormat="1" applyFont="1" applyFill="1"/>
    <xf numFmtId="169" fontId="0" fillId="0" borderId="0" xfId="1" applyNumberFormat="1" applyFont="1" applyFill="1"/>
    <xf numFmtId="0" fontId="0" fillId="0" borderId="0" xfId="0" applyFill="1" applyBorder="1"/>
    <xf numFmtId="0" fontId="7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horizontal="center"/>
    </xf>
    <xf numFmtId="38" fontId="5" fillId="4" borderId="4" xfId="0" applyNumberFormat="1" applyFont="1" applyFill="1" applyBorder="1" applyAlignment="1">
      <alignment horizontal="center" wrapText="1"/>
    </xf>
    <xf numFmtId="38" fontId="0" fillId="4" borderId="0" xfId="0" applyNumberFormat="1" applyFill="1"/>
    <xf numFmtId="38" fontId="0" fillId="4" borderId="4" xfId="0" applyNumberFormat="1" applyFill="1" applyBorder="1"/>
    <xf numFmtId="0" fontId="0" fillId="5" borderId="0" xfId="0" applyFill="1"/>
    <xf numFmtId="3" fontId="5" fillId="5" borderId="0" xfId="0" applyNumberFormat="1" applyFont="1" applyFill="1"/>
    <xf numFmtId="10" fontId="7" fillId="5" borderId="0" xfId="0" applyNumberFormat="1" applyFont="1" applyFill="1" applyBorder="1" applyAlignment="1">
      <alignment horizontal="center"/>
    </xf>
    <xf numFmtId="10" fontId="7" fillId="5" borderId="3" xfId="0" applyNumberFormat="1" applyFont="1" applyFill="1" applyBorder="1" applyAlignment="1">
      <alignment horizontal="center"/>
    </xf>
    <xf numFmtId="10" fontId="0" fillId="5" borderId="0" xfId="0" applyNumberFormat="1" applyFill="1"/>
    <xf numFmtId="38" fontId="0" fillId="5" borderId="1" xfId="0" applyNumberFormat="1" applyFill="1" applyBorder="1"/>
    <xf numFmtId="10" fontId="5" fillId="5" borderId="0" xfId="0" applyNumberFormat="1" applyFont="1" applyFill="1"/>
    <xf numFmtId="0" fontId="12" fillId="5" borderId="0" xfId="0" applyFont="1" applyFill="1" applyAlignment="1">
      <alignment horizontal="left"/>
    </xf>
    <xf numFmtId="38" fontId="0" fillId="5" borderId="0" xfId="0" applyNumberFormat="1" applyFill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38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2" fillId="5" borderId="1" xfId="9" applyFont="1" applyFill="1" applyBorder="1" applyAlignment="1">
      <alignment horizontal="center" wrapText="1"/>
    </xf>
    <xf numFmtId="38" fontId="5" fillId="5" borderId="1" xfId="0" applyNumberFormat="1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0" fontId="4" fillId="5" borderId="0" xfId="9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wrapText="1"/>
    </xf>
    <xf numFmtId="38" fontId="0" fillId="5" borderId="4" xfId="0" applyNumberFormat="1" applyFill="1" applyBorder="1"/>
    <xf numFmtId="49" fontId="4" fillId="5" borderId="1" xfId="8" applyNumberFormat="1" applyFont="1" applyFill="1" applyBorder="1" applyAlignment="1">
      <alignment horizontal="center" wrapText="1"/>
    </xf>
    <xf numFmtId="3" fontId="0" fillId="5" borderId="0" xfId="0" applyNumberFormat="1" applyFill="1"/>
    <xf numFmtId="49" fontId="6" fillId="5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/>
    <xf numFmtId="38" fontId="0" fillId="0" borderId="0" xfId="0" applyNumberFormat="1" applyFill="1" applyBorder="1"/>
    <xf numFmtId="38" fontId="5" fillId="0" borderId="0" xfId="0" applyNumberFormat="1" applyFont="1" applyFill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2" fillId="0" borderId="1" xfId="8" applyNumberFormat="1" applyFont="1" applyFill="1" applyBorder="1" applyAlignment="1">
      <alignment horizontal="center" wrapText="1"/>
    </xf>
    <xf numFmtId="38" fontId="4" fillId="0" borderId="9" xfId="8" applyNumberFormat="1" applyFont="1" applyFill="1" applyBorder="1" applyAlignment="1">
      <alignment horizontal="center" wrapText="1"/>
    </xf>
    <xf numFmtId="38" fontId="4" fillId="0" borderId="0" xfId="8" applyNumberFormat="1" applyFont="1" applyFill="1" applyBorder="1" applyAlignment="1">
      <alignment horizontal="center" wrapText="1"/>
    </xf>
    <xf numFmtId="38" fontId="4" fillId="0" borderId="4" xfId="8" applyNumberFormat="1" applyFont="1" applyFill="1" applyBorder="1" applyAlignment="1">
      <alignment horizontal="right" wrapText="1"/>
    </xf>
    <xf numFmtId="38" fontId="4" fillId="0" borderId="0" xfId="8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horizontal="right"/>
    </xf>
    <xf numFmtId="38" fontId="0" fillId="0" borderId="0" xfId="0" applyNumberFormat="1" applyFill="1" applyAlignment="1">
      <alignment horizontal="right"/>
    </xf>
    <xf numFmtId="38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4" fillId="0" borderId="1" xfId="8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38" fontId="0" fillId="0" borderId="1" xfId="0" applyNumberFormat="1" applyFill="1" applyBorder="1" applyAlignment="1">
      <alignment horizontal="right"/>
    </xf>
    <xf numFmtId="7" fontId="5" fillId="0" borderId="4" xfId="0" applyNumberFormat="1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70" fontId="5" fillId="0" borderId="4" xfId="2" applyNumberFormat="1" applyFont="1" applyFill="1" applyBorder="1" applyAlignment="1">
      <alignment horizontal="center"/>
    </xf>
    <xf numFmtId="170" fontId="5" fillId="0" borderId="0" xfId="2" applyNumberFormat="1" applyFont="1" applyFill="1" applyBorder="1" applyAlignment="1">
      <alignment horizontal="center"/>
    </xf>
    <xf numFmtId="171" fontId="5" fillId="0" borderId="4" xfId="2" applyNumberFormat="1" applyFont="1" applyFill="1" applyBorder="1" applyAlignment="1">
      <alignment horizontal="center"/>
    </xf>
    <xf numFmtId="5" fontId="5" fillId="0" borderId="4" xfId="0" applyNumberFormat="1" applyFont="1" applyFill="1" applyBorder="1" applyAlignment="1">
      <alignment horizontal="center"/>
    </xf>
    <xf numFmtId="171" fontId="5" fillId="0" borderId="0" xfId="2" applyNumberFormat="1" applyFont="1" applyFill="1" applyBorder="1" applyAlignment="1">
      <alignment horizontal="center"/>
    </xf>
    <xf numFmtId="5" fontId="5" fillId="0" borderId="0" xfId="0" applyNumberFormat="1" applyFont="1" applyFill="1" applyBorder="1" applyAlignment="1">
      <alignment horizontal="center"/>
    </xf>
    <xf numFmtId="10" fontId="0" fillId="0" borderId="4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0" fillId="0" borderId="0" xfId="0" applyNumberFormat="1" applyFill="1"/>
    <xf numFmtId="38" fontId="5" fillId="0" borderId="4" xfId="0" applyNumberFormat="1" applyFont="1" applyFill="1" applyBorder="1" applyAlignment="1">
      <alignment horizontal="center" wrapText="1"/>
    </xf>
    <xf numFmtId="0" fontId="12" fillId="0" borderId="0" xfId="0" applyFont="1" applyFill="1"/>
    <xf numFmtId="6" fontId="0" fillId="0" borderId="0" xfId="0" applyNumberFormat="1" applyFill="1"/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 vertical="top"/>
    </xf>
    <xf numFmtId="0" fontId="2" fillId="0" borderId="3" xfId="8" applyFont="1" applyFill="1" applyBorder="1" applyAlignment="1">
      <alignment horizontal="center"/>
    </xf>
    <xf numFmtId="6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12" xfId="0" applyFill="1" applyBorder="1"/>
    <xf numFmtId="170" fontId="0" fillId="0" borderId="12" xfId="0" applyNumberFormat="1" applyFill="1" applyBorder="1"/>
    <xf numFmtId="171" fontId="0" fillId="0" borderId="0" xfId="0" applyNumberFormat="1" applyFill="1" applyBorder="1" applyAlignment="1">
      <alignment horizontal="center"/>
    </xf>
    <xf numFmtId="0" fontId="0" fillId="0" borderId="13" xfId="0" applyFill="1" applyBorder="1"/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1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38" fontId="0" fillId="0" borderId="4" xfId="0" applyNumberFormat="1" applyFill="1" applyBorder="1"/>
    <xf numFmtId="10" fontId="4" fillId="0" borderId="1" xfId="8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4" fillId="0" borderId="1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 wrapText="1"/>
    </xf>
    <xf numFmtId="170" fontId="0" fillId="0" borderId="0" xfId="0" applyNumberFormat="1" applyFill="1" applyBorder="1"/>
    <xf numFmtId="6" fontId="0" fillId="0" borderId="0" xfId="0" applyNumberForma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Border="1"/>
    <xf numFmtId="5" fontId="13" fillId="0" borderId="0" xfId="0" applyNumberFormat="1" applyFont="1" applyFill="1" applyBorder="1" applyAlignment="1">
      <alignment horizontal="right"/>
    </xf>
    <xf numFmtId="10" fontId="4" fillId="0" borderId="0" xfId="8" applyNumberFormat="1" applyFont="1" applyFill="1" applyBorder="1" applyAlignment="1">
      <alignment horizontal="right" wrapText="1"/>
    </xf>
    <xf numFmtId="49" fontId="6" fillId="0" borderId="0" xfId="0" applyNumberFormat="1" applyFont="1" applyFill="1"/>
    <xf numFmtId="2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4" fillId="0" borderId="1" xfId="8" applyNumberFormat="1" applyFont="1" applyFill="1" applyBorder="1" applyAlignment="1">
      <alignment horizontal="right" wrapText="1"/>
    </xf>
    <xf numFmtId="0" fontId="4" fillId="0" borderId="16" xfId="5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0" fontId="4" fillId="0" borderId="4" xfId="8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0" fontId="0" fillId="0" borderId="0" xfId="0" applyNumberFormat="1" applyFill="1"/>
    <xf numFmtId="38" fontId="0" fillId="0" borderId="5" xfId="0" applyNumberFormat="1" applyFill="1" applyBorder="1"/>
    <xf numFmtId="38" fontId="4" fillId="0" borderId="1" xfId="1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3" fontId="0" fillId="0" borderId="1" xfId="0" applyNumberFormat="1" applyFill="1" applyBorder="1"/>
    <xf numFmtId="10" fontId="0" fillId="0" borderId="1" xfId="11" applyNumberFormat="1" applyFont="1" applyFill="1" applyBorder="1"/>
    <xf numFmtId="10" fontId="0" fillId="0" borderId="4" xfId="0" applyNumberFormat="1" applyFill="1" applyBorder="1"/>
    <xf numFmtId="167" fontId="0" fillId="0" borderId="4" xfId="11" applyNumberFormat="1" applyFont="1" applyFill="1" applyBorder="1"/>
    <xf numFmtId="1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1" xfId="8" applyFont="1" applyFill="1" applyBorder="1" applyAlignment="1">
      <alignment horizontal="center" wrapText="1"/>
    </xf>
    <xf numFmtId="3" fontId="2" fillId="0" borderId="1" xfId="8" applyNumberFormat="1" applyFont="1" applyFill="1" applyBorder="1" applyAlignment="1">
      <alignment horizontal="center" wrapText="1"/>
    </xf>
    <xf numFmtId="10" fontId="5" fillId="0" borderId="1" xfId="0" applyNumberFormat="1" applyFont="1" applyFill="1" applyBorder="1" applyAlignment="1">
      <alignment horizontal="center" wrapText="1"/>
    </xf>
    <xf numFmtId="1" fontId="2" fillId="0" borderId="1" xfId="8" applyNumberFormat="1" applyFont="1" applyFill="1" applyBorder="1" applyAlignment="1">
      <alignment horizontal="center" wrapText="1" shrinkToFit="1"/>
    </xf>
    <xf numFmtId="0" fontId="2" fillId="0" borderId="6" xfId="8" applyFont="1" applyFill="1" applyBorder="1" applyAlignment="1">
      <alignment horizontal="center" wrapText="1"/>
    </xf>
    <xf numFmtId="38" fontId="4" fillId="0" borderId="6" xfId="3" applyNumberFormat="1" applyFont="1" applyFill="1" applyBorder="1" applyAlignment="1">
      <alignment horizontal="center"/>
    </xf>
    <xf numFmtId="3" fontId="2" fillId="0" borderId="0" xfId="8" applyNumberFormat="1" applyFont="1" applyFill="1" applyBorder="1" applyAlignment="1">
      <alignment horizontal="center" wrapText="1"/>
    </xf>
    <xf numFmtId="3" fontId="2" fillId="0" borderId="0" xfId="8" applyNumberFormat="1" applyFont="1" applyFill="1" applyBorder="1" applyAlignment="1">
      <alignment horizontal="center"/>
    </xf>
    <xf numFmtId="38" fontId="4" fillId="0" borderId="4" xfId="3" applyNumberFormat="1" applyFont="1" applyFill="1" applyBorder="1" applyAlignment="1">
      <alignment horizontal="right" wrapText="1"/>
    </xf>
    <xf numFmtId="10" fontId="4" fillId="0" borderId="10" xfId="8" applyNumberFormat="1" applyFont="1" applyFill="1" applyBorder="1" applyAlignment="1">
      <alignment horizontal="right" wrapText="1"/>
    </xf>
    <xf numFmtId="3" fontId="4" fillId="0" borderId="1" xfId="8" applyNumberFormat="1" applyFont="1" applyFill="1" applyBorder="1" applyAlignment="1">
      <alignment horizontal="right" wrapText="1"/>
    </xf>
    <xf numFmtId="10" fontId="0" fillId="0" borderId="0" xfId="11" applyNumberFormat="1" applyFont="1" applyFill="1"/>
    <xf numFmtId="4" fontId="0" fillId="0" borderId="0" xfId="0" applyNumberFormat="1" applyFill="1"/>
    <xf numFmtId="172" fontId="0" fillId="0" borderId="0" xfId="0" applyNumberFormat="1" applyFill="1"/>
    <xf numFmtId="0" fontId="12" fillId="0" borderId="0" xfId="0" applyFont="1" applyFill="1" applyAlignment="1"/>
    <xf numFmtId="0" fontId="0" fillId="0" borderId="0" xfId="0" applyFill="1" applyAlignment="1"/>
    <xf numFmtId="0" fontId="8" fillId="0" borderId="0" xfId="0" applyFont="1" applyFill="1"/>
    <xf numFmtId="0" fontId="1" fillId="0" borderId="0" xfId="0" applyFont="1" applyFill="1"/>
    <xf numFmtId="169" fontId="4" fillId="0" borderId="1" xfId="1" applyNumberFormat="1" applyFont="1" applyFill="1" applyBorder="1" applyAlignment="1">
      <alignment horizontal="right" wrapText="1"/>
    </xf>
    <xf numFmtId="0" fontId="15" fillId="0" borderId="0" xfId="0" applyFont="1" applyFill="1"/>
    <xf numFmtId="0" fontId="15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2" fillId="0" borderId="11" xfId="8" applyFont="1" applyFill="1" applyBorder="1" applyAlignment="1">
      <alignment horizontal="center"/>
    </xf>
    <xf numFmtId="38" fontId="2" fillId="0" borderId="0" xfId="8" applyNumberFormat="1" applyFont="1" applyFill="1" applyBorder="1" applyAlignment="1">
      <alignment horizontal="center" wrapText="1"/>
    </xf>
    <xf numFmtId="38" fontId="2" fillId="0" borderId="11" xfId="8" applyNumberFormat="1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69" fontId="0" fillId="0" borderId="0" xfId="0" applyNumberFormat="1" applyFill="1"/>
    <xf numFmtId="3" fontId="0" fillId="0" borderId="0" xfId="0" applyNumberFormat="1" applyFill="1" applyBorder="1"/>
    <xf numFmtId="49" fontId="6" fillId="0" borderId="0" xfId="0" applyNumberFormat="1" applyFont="1" applyFill="1" applyAlignment="1"/>
    <xf numFmtId="10" fontId="14" fillId="0" borderId="0" xfId="8" applyNumberFormat="1" applyFont="1" applyFill="1" applyBorder="1" applyAlignment="1">
      <alignment horizontal="right" wrapText="1"/>
    </xf>
    <xf numFmtId="10" fontId="2" fillId="0" borderId="0" xfId="8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9" fontId="4" fillId="0" borderId="0" xfId="1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/>
    <xf numFmtId="10" fontId="0" fillId="0" borderId="4" xfId="0" applyNumberFormat="1" applyFill="1" applyBorder="1" applyAlignment="1"/>
    <xf numFmtId="38" fontId="0" fillId="0" borderId="4" xfId="2" applyNumberFormat="1" applyFont="1" applyFill="1" applyBorder="1" applyAlignment="1"/>
    <xf numFmtId="38" fontId="0" fillId="0" borderId="4" xfId="0" applyNumberFormat="1" applyFill="1" applyBorder="1" applyAlignment="1"/>
    <xf numFmtId="38" fontId="0" fillId="0" borderId="1" xfId="0" applyNumberFormat="1" applyFill="1" applyBorder="1" applyAlignment="1"/>
    <xf numFmtId="0" fontId="5" fillId="6" borderId="0" xfId="0" applyFont="1" applyFill="1" applyBorder="1"/>
    <xf numFmtId="169" fontId="4" fillId="0" borderId="4" xfId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top"/>
    </xf>
    <xf numFmtId="170" fontId="5" fillId="0" borderId="4" xfId="0" applyNumberFormat="1" applyFont="1" applyFill="1" applyBorder="1" applyAlignment="1">
      <alignment horizontal="center" wrapText="1"/>
    </xf>
    <xf numFmtId="2" fontId="0" fillId="0" borderId="4" xfId="0" applyNumberFormat="1" applyFill="1" applyBorder="1" applyAlignment="1"/>
    <xf numFmtId="40" fontId="14" fillId="0" borderId="1" xfId="10" applyNumberFormat="1" applyFont="1" applyFill="1" applyBorder="1" applyAlignment="1">
      <alignment horizontal="right" wrapText="1"/>
    </xf>
    <xf numFmtId="2" fontId="0" fillId="0" borderId="0" xfId="0" applyNumberFormat="1" applyFill="1" applyAlignment="1"/>
    <xf numFmtId="38" fontId="0" fillId="0" borderId="0" xfId="0" applyNumberFormat="1" applyFill="1" applyAlignment="1"/>
    <xf numFmtId="3" fontId="0" fillId="0" borderId="0" xfId="1" applyNumberFormat="1" applyFont="1" applyFill="1" applyAlignment="1"/>
    <xf numFmtId="1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8" fontId="5" fillId="0" borderId="1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8" fontId="0" fillId="0" borderId="0" xfId="0" applyNumberFormat="1" applyFill="1" applyBorder="1" applyAlignment="1">
      <alignment horizontal="center" wrapText="1"/>
    </xf>
    <xf numFmtId="10" fontId="0" fillId="0" borderId="0" xfId="0" applyNumberFormat="1" applyFill="1" applyAlignment="1">
      <alignment wrapText="1"/>
    </xf>
    <xf numFmtId="38" fontId="4" fillId="0" borderId="5" xfId="8" applyNumberFormat="1" applyFont="1" applyFill="1" applyBorder="1" applyAlignment="1">
      <alignment horizontal="right" wrapText="1"/>
    </xf>
    <xf numFmtId="38" fontId="4" fillId="0" borderId="10" xfId="8" applyNumberFormat="1" applyFont="1" applyFill="1" applyBorder="1" applyAlignment="1">
      <alignment horizontal="right" wrapText="1"/>
    </xf>
    <xf numFmtId="49" fontId="4" fillId="0" borderId="4" xfId="8" applyNumberFormat="1" applyFont="1" applyFill="1" applyBorder="1" applyAlignment="1">
      <alignment horizontal="center" wrapText="1"/>
    </xf>
    <xf numFmtId="10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7" borderId="22" xfId="0" applyFont="1" applyFill="1" applyBorder="1" applyAlignment="1">
      <alignment horizontal="center" wrapText="1"/>
    </xf>
    <xf numFmtId="0" fontId="0" fillId="7" borderId="0" xfId="0" applyFill="1"/>
    <xf numFmtId="169" fontId="0" fillId="0" borderId="0" xfId="0" applyNumberFormat="1"/>
    <xf numFmtId="0" fontId="12" fillId="0" borderId="0" xfId="0" applyFont="1" applyFill="1" applyBorder="1"/>
    <xf numFmtId="0" fontId="5" fillId="0" borderId="3" xfId="0" applyFont="1" applyFill="1" applyBorder="1"/>
    <xf numFmtId="0" fontId="2" fillId="0" borderId="2" xfId="8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/>
    </xf>
    <xf numFmtId="38" fontId="4" fillId="0" borderId="1" xfId="4" applyNumberFormat="1" applyFont="1" applyFill="1" applyBorder="1" applyAlignment="1">
      <alignment horizontal="right" wrapText="1"/>
    </xf>
    <xf numFmtId="38" fontId="1" fillId="0" borderId="1" xfId="4" applyNumberFormat="1" applyFont="1" applyFill="1" applyBorder="1" applyAlignment="1">
      <alignment horizontal="right" wrapText="1"/>
    </xf>
    <xf numFmtId="3" fontId="5" fillId="0" borderId="0" xfId="0" applyNumberFormat="1" applyFont="1" applyFill="1"/>
    <xf numFmtId="49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38" fontId="5" fillId="0" borderId="5" xfId="0" applyNumberFormat="1" applyFont="1" applyFill="1" applyBorder="1" applyAlignment="1">
      <alignment horizontal="center" wrapText="1"/>
    </xf>
    <xf numFmtId="0" fontId="4" fillId="0" borderId="18" xfId="5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/>
    </xf>
    <xf numFmtId="38" fontId="4" fillId="0" borderId="11" xfId="8" applyNumberFormat="1" applyFont="1" applyFill="1" applyBorder="1" applyAlignment="1">
      <alignment horizontal="right" wrapText="1"/>
    </xf>
    <xf numFmtId="38" fontId="4" fillId="0" borderId="1" xfId="5" applyNumberFormat="1" applyFont="1" applyFill="1" applyBorder="1" applyAlignment="1">
      <alignment horizontal="right" wrapText="1"/>
    </xf>
    <xf numFmtId="169" fontId="4" fillId="0" borderId="10" xfId="1" applyNumberFormat="1" applyFont="1" applyFill="1" applyBorder="1" applyAlignment="1">
      <alignment horizontal="right" wrapText="1"/>
    </xf>
    <xf numFmtId="169" fontId="4" fillId="0" borderId="7" xfId="5" applyNumberFormat="1" applyFont="1" applyFill="1" applyBorder="1" applyAlignment="1">
      <alignment horizontal="right" wrapText="1"/>
    </xf>
    <xf numFmtId="169" fontId="4" fillId="0" borderId="11" xfId="8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5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12" xfId="8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38" fontId="13" fillId="0" borderId="17" xfId="0" applyNumberFormat="1" applyFont="1" applyFill="1" applyBorder="1"/>
    <xf numFmtId="169" fontId="0" fillId="0" borderId="1" xfId="1" applyNumberFormat="1" applyFont="1" applyFill="1" applyBorder="1"/>
    <xf numFmtId="38" fontId="13" fillId="0" borderId="14" xfId="0" applyNumberFormat="1" applyFont="1" applyFill="1" applyBorder="1"/>
    <xf numFmtId="38" fontId="0" fillId="0" borderId="1" xfId="1" applyNumberFormat="1" applyFont="1" applyFill="1" applyBorder="1"/>
    <xf numFmtId="38" fontId="14" fillId="0" borderId="1" xfId="8" applyNumberFormat="1" applyFont="1" applyFill="1" applyBorder="1" applyAlignment="1">
      <alignment horizontal="right"/>
    </xf>
    <xf numFmtId="38" fontId="4" fillId="0" borderId="4" xfId="8" applyNumberFormat="1" applyFont="1" applyFill="1" applyBorder="1" applyAlignment="1">
      <alignment horizontal="right"/>
    </xf>
    <xf numFmtId="38" fontId="4" fillId="0" borderId="1" xfId="1" applyNumberFormat="1" applyFont="1" applyFill="1" applyBorder="1" applyAlignment="1">
      <alignment horizontal="right"/>
    </xf>
    <xf numFmtId="3" fontId="4" fillId="0" borderId="0" xfId="8" applyNumberFormat="1" applyFont="1" applyFill="1" applyBorder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2" fontId="0" fillId="0" borderId="0" xfId="0" applyNumberFormat="1" applyFill="1"/>
    <xf numFmtId="9" fontId="0" fillId="0" borderId="0" xfId="11" applyFont="1" applyFill="1"/>
    <xf numFmtId="9" fontId="8" fillId="0" borderId="0" xfId="11" applyFont="1" applyFill="1"/>
    <xf numFmtId="167" fontId="0" fillId="0" borderId="0" xfId="11" applyNumberFormat="1" applyFont="1" applyFill="1"/>
    <xf numFmtId="9" fontId="5" fillId="0" borderId="0" xfId="0" applyNumberFormat="1" applyFont="1" applyFill="1"/>
    <xf numFmtId="0" fontId="5" fillId="0" borderId="0" xfId="0" applyFont="1" applyAlignment="1">
      <alignment horizontal="center"/>
    </xf>
    <xf numFmtId="40" fontId="0" fillId="0" borderId="0" xfId="0" applyNumberFormat="1" applyFill="1"/>
    <xf numFmtId="9" fontId="0" fillId="5" borderId="0" xfId="11" applyFont="1" applyFill="1"/>
    <xf numFmtId="3" fontId="4" fillId="0" borderId="0" xfId="8" applyNumberFormat="1" applyFont="1" applyFill="1" applyBorder="1" applyAlignment="1">
      <alignment horizontal="center" wrapText="1"/>
    </xf>
    <xf numFmtId="3" fontId="4" fillId="0" borderId="4" xfId="1" applyNumberFormat="1" applyFont="1" applyFill="1" applyBorder="1" applyAlignment="1">
      <alignment horizontal="right" wrapText="1"/>
    </xf>
    <xf numFmtId="38" fontId="4" fillId="0" borderId="4" xfId="7" applyNumberFormat="1" applyFont="1" applyFill="1" applyBorder="1" applyAlignment="1">
      <alignment horizontal="right" wrapText="1"/>
    </xf>
    <xf numFmtId="3" fontId="4" fillId="0" borderId="4" xfId="7" applyNumberFormat="1" applyFont="1" applyFill="1" applyBorder="1" applyAlignment="1">
      <alignment horizontal="right" wrapText="1"/>
    </xf>
    <xf numFmtId="0" fontId="1" fillId="0" borderId="0" xfId="0" applyFont="1"/>
    <xf numFmtId="0" fontId="5" fillId="9" borderId="22" xfId="0" applyFont="1" applyFill="1" applyBorder="1" applyAlignment="1">
      <alignment horizontal="center" wrapText="1"/>
    </xf>
    <xf numFmtId="0" fontId="0" fillId="9" borderId="0" xfId="0" applyFill="1"/>
    <xf numFmtId="169" fontId="1" fillId="10" borderId="22" xfId="1" applyNumberFormat="1" applyFont="1" applyFill="1" applyBorder="1"/>
    <xf numFmtId="169" fontId="5" fillId="0" borderId="0" xfId="0" applyNumberFormat="1" applyFont="1"/>
    <xf numFmtId="167" fontId="5" fillId="0" borderId="0" xfId="11" applyNumberFormat="1" applyFont="1" applyFill="1" applyBorder="1"/>
    <xf numFmtId="169" fontId="4" fillId="0" borderId="4" xfId="7" applyNumberFormat="1" applyFont="1" applyFill="1" applyBorder="1" applyAlignment="1">
      <alignment horizontal="right" wrapText="1"/>
    </xf>
    <xf numFmtId="3" fontId="1" fillId="8" borderId="22" xfId="1" applyNumberFormat="1" applyFont="1" applyFill="1" applyBorder="1"/>
    <xf numFmtId="38" fontId="7" fillId="0" borderId="0" xfId="0" applyNumberFormat="1" applyFont="1" applyFill="1" applyBorder="1" applyAlignment="1">
      <alignment horizontal="center"/>
    </xf>
    <xf numFmtId="38" fontId="7" fillId="0" borderId="3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 wrapText="1"/>
    </xf>
    <xf numFmtId="38" fontId="5" fillId="0" borderId="2" xfId="0" applyNumberFormat="1" applyFont="1" applyFill="1" applyBorder="1" applyAlignment="1">
      <alignment horizontal="center" wrapText="1"/>
    </xf>
    <xf numFmtId="9" fontId="0" fillId="0" borderId="0" xfId="11" applyNumberFormat="1" applyFont="1" applyFill="1"/>
    <xf numFmtId="0" fontId="2" fillId="0" borderId="0" xfId="8" applyFont="1" applyFill="1" applyBorder="1" applyAlignment="1">
      <alignment horizontal="center"/>
    </xf>
    <xf numFmtId="0" fontId="2" fillId="0" borderId="12" xfId="8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8" fillId="0" borderId="0" xfId="0" applyFont="1" applyFill="1" applyBorder="1"/>
    <xf numFmtId="169" fontId="0" fillId="0" borderId="0" xfId="0" applyNumberFormat="1" applyFill="1" applyBorder="1"/>
    <xf numFmtId="169" fontId="0" fillId="0" borderId="1" xfId="0" applyNumberFormat="1" applyFill="1" applyBorder="1"/>
    <xf numFmtId="38" fontId="2" fillId="0" borderId="0" xfId="8" applyNumberFormat="1" applyFont="1" applyFill="1" applyBorder="1" applyAlignment="1">
      <alignment horizontal="right" wrapText="1"/>
    </xf>
    <xf numFmtId="167" fontId="0" fillId="0" borderId="0" xfId="0" applyNumberFormat="1"/>
    <xf numFmtId="10" fontId="0" fillId="0" borderId="0" xfId="1" applyNumberFormat="1" applyFont="1" applyFill="1"/>
    <xf numFmtId="38" fontId="0" fillId="0" borderId="0" xfId="11" applyNumberFormat="1" applyFont="1"/>
    <xf numFmtId="169" fontId="0" fillId="0" borderId="0" xfId="1" applyNumberFormat="1" applyFont="1" applyBorder="1"/>
    <xf numFmtId="0" fontId="5" fillId="11" borderId="22" xfId="0" applyFont="1" applyFill="1" applyBorder="1" applyAlignment="1">
      <alignment horizontal="center" wrapText="1"/>
    </xf>
    <xf numFmtId="169" fontId="0" fillId="11" borderId="4" xfId="1" applyNumberFormat="1" applyFont="1" applyFill="1" applyBorder="1"/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5" fillId="0" borderId="1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6" fontId="5" fillId="0" borderId="4" xfId="0" applyNumberFormat="1" applyFont="1" applyFill="1" applyBorder="1" applyAlignment="1">
      <alignment horizontal="center" wrapText="1"/>
    </xf>
    <xf numFmtId="6" fontId="0" fillId="0" borderId="4" xfId="0" applyNumberFormat="1" applyFill="1" applyBorder="1" applyAlignment="1"/>
  </cellXfs>
  <cellStyles count="12">
    <cellStyle name="Comma" xfId="1" builtinId="3"/>
    <cellStyle name="Currency" xfId="2" builtinId="4"/>
    <cellStyle name="Normal" xfId="0" builtinId="0"/>
    <cellStyle name="Normal_Academic Support Per FYE" xfId="3"/>
    <cellStyle name="Normal_FY2006 Detail" xfId="4"/>
    <cellStyle name="Normal_INSTRUCTION" xfId="5"/>
    <cellStyle name="Normal_Library" xfId="6"/>
    <cellStyle name="Normal_Revenue Offset" xfId="7"/>
    <cellStyle name="Normal_Sheet1" xfId="8"/>
    <cellStyle name="Normal_Sheet2" xfId="9"/>
    <cellStyle name="Normal_Sheet3" xfId="10"/>
    <cellStyle name="Percent" xfId="1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1"/>
  <sheetViews>
    <sheetView zoomScale="80" workbookViewId="0">
      <pane xSplit="3" ySplit="5" topLeftCell="D18" activePane="bottomRight" state="frozen"/>
      <selection activeCell="F2" sqref="F2"/>
      <selection pane="topRight" activeCell="F2" sqref="F2"/>
      <selection pane="bottomLeft" activeCell="F2" sqref="F2"/>
      <selection pane="bottomRight" activeCell="B42" sqref="B42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109" customWidth="1"/>
  </cols>
  <sheetData>
    <row r="1" spans="1:4" s="15" customFormat="1" ht="15.75" x14ac:dyDescent="0.25">
      <c r="A1" s="22"/>
      <c r="B1" s="87"/>
      <c r="D1" s="301"/>
    </row>
    <row r="2" spans="1:4" s="15" customFormat="1" ht="24.75" customHeight="1" x14ac:dyDescent="0.2">
      <c r="A2" s="22"/>
      <c r="B2" s="22"/>
      <c r="C2" s="22"/>
      <c r="D2" s="157"/>
    </row>
    <row r="3" spans="1:4" s="15" customFormat="1" x14ac:dyDescent="0.2">
      <c r="A3" s="31"/>
      <c r="B3" s="20"/>
      <c r="C3" s="20"/>
      <c r="D3" s="302"/>
    </row>
    <row r="4" spans="1:4" ht="92.25" customHeight="1" x14ac:dyDescent="0.2">
      <c r="B4" s="1" t="s">
        <v>0</v>
      </c>
      <c r="C4" s="1" t="s">
        <v>1</v>
      </c>
      <c r="D4" s="303" t="s">
        <v>195</v>
      </c>
    </row>
    <row r="5" spans="1:4" x14ac:dyDescent="0.2">
      <c r="B5" s="2"/>
      <c r="C5" s="2"/>
      <c r="D5" s="304"/>
    </row>
    <row r="6" spans="1:4" x14ac:dyDescent="0.2">
      <c r="A6">
        <v>1</v>
      </c>
      <c r="B6" s="10" t="s">
        <v>2</v>
      </c>
      <c r="C6" s="3" t="s">
        <v>3</v>
      </c>
      <c r="D6" s="305">
        <v>2046</v>
      </c>
    </row>
    <row r="7" spans="1:4" s="109" customFormat="1" x14ac:dyDescent="0.2">
      <c r="A7" s="109">
        <v>2</v>
      </c>
      <c r="B7" s="10" t="s">
        <v>4</v>
      </c>
      <c r="C7" s="3" t="s">
        <v>188</v>
      </c>
      <c r="D7" s="305">
        <v>7123</v>
      </c>
    </row>
    <row r="8" spans="1:4" ht="12" customHeight="1" x14ac:dyDescent="0.2">
      <c r="A8">
        <v>4</v>
      </c>
      <c r="B8" s="10" t="s">
        <v>5</v>
      </c>
      <c r="C8" s="3" t="s">
        <v>160</v>
      </c>
      <c r="D8" s="305">
        <v>4953</v>
      </c>
    </row>
    <row r="9" spans="1:4" x14ac:dyDescent="0.2">
      <c r="A9">
        <v>3</v>
      </c>
      <c r="B9" s="45" t="s">
        <v>6</v>
      </c>
      <c r="C9" s="3" t="s">
        <v>7</v>
      </c>
      <c r="D9" s="305">
        <v>2993</v>
      </c>
    </row>
    <row r="10" spans="1:4" x14ac:dyDescent="0.2">
      <c r="A10">
        <v>3</v>
      </c>
      <c r="B10" s="45" t="s">
        <v>8</v>
      </c>
      <c r="C10" s="3" t="s">
        <v>9</v>
      </c>
      <c r="D10" s="305">
        <v>6410</v>
      </c>
    </row>
    <row r="11" spans="1:4" x14ac:dyDescent="0.2">
      <c r="A11">
        <v>1</v>
      </c>
      <c r="B11" s="45" t="s">
        <v>10</v>
      </c>
      <c r="C11" s="3" t="s">
        <v>11</v>
      </c>
      <c r="D11" s="305">
        <v>2069</v>
      </c>
    </row>
    <row r="12" spans="1:4" x14ac:dyDescent="0.2">
      <c r="A12">
        <v>2</v>
      </c>
      <c r="B12" s="45" t="s">
        <v>12</v>
      </c>
      <c r="C12" s="3" t="s">
        <v>13</v>
      </c>
      <c r="D12" s="305">
        <v>1223</v>
      </c>
    </row>
    <row r="13" spans="1:4" x14ac:dyDescent="0.2">
      <c r="A13">
        <v>1</v>
      </c>
      <c r="B13" s="45" t="s">
        <v>14</v>
      </c>
      <c r="C13" s="3" t="s">
        <v>15</v>
      </c>
      <c r="D13" s="305">
        <v>3927</v>
      </c>
    </row>
    <row r="14" spans="1:4" x14ac:dyDescent="0.2">
      <c r="A14">
        <v>2</v>
      </c>
      <c r="B14" s="45" t="s">
        <v>16</v>
      </c>
      <c r="C14" s="3" t="s">
        <v>17</v>
      </c>
      <c r="D14" s="305">
        <v>3809</v>
      </c>
    </row>
    <row r="15" spans="1:4" x14ac:dyDescent="0.2">
      <c r="A15">
        <v>3</v>
      </c>
      <c r="B15" s="45" t="s">
        <v>18</v>
      </c>
      <c r="C15" s="3" t="s">
        <v>19</v>
      </c>
      <c r="D15" s="305">
        <v>3431</v>
      </c>
    </row>
    <row r="16" spans="1:4" x14ac:dyDescent="0.2">
      <c r="A16">
        <v>4</v>
      </c>
      <c r="B16" s="45" t="s">
        <v>20</v>
      </c>
      <c r="C16" s="3" t="s">
        <v>76</v>
      </c>
      <c r="D16" s="305">
        <v>6052</v>
      </c>
    </row>
    <row r="17" spans="1:4" x14ac:dyDescent="0.2">
      <c r="A17">
        <v>3</v>
      </c>
      <c r="B17" s="45" t="s">
        <v>21</v>
      </c>
      <c r="C17" s="3" t="s">
        <v>22</v>
      </c>
      <c r="D17" s="305">
        <v>6026</v>
      </c>
    </row>
    <row r="18" spans="1:4" ht="12" customHeight="1" x14ac:dyDescent="0.2">
      <c r="A18">
        <v>1</v>
      </c>
      <c r="B18" s="45" t="s">
        <v>23</v>
      </c>
      <c r="C18" s="3" t="s">
        <v>79</v>
      </c>
      <c r="D18" s="305">
        <v>1454</v>
      </c>
    </row>
    <row r="19" spans="1:4" ht="12" customHeight="1" x14ac:dyDescent="0.2">
      <c r="B19" s="45" t="s">
        <v>155</v>
      </c>
      <c r="C19" s="3" t="s">
        <v>159</v>
      </c>
      <c r="D19" s="305">
        <v>4398</v>
      </c>
    </row>
    <row r="20" spans="1:4" x14ac:dyDescent="0.2">
      <c r="A20">
        <v>4</v>
      </c>
      <c r="B20" s="45" t="s">
        <v>28</v>
      </c>
      <c r="C20" s="3" t="s">
        <v>64</v>
      </c>
      <c r="D20" s="305">
        <v>5697</v>
      </c>
    </row>
    <row r="21" spans="1:4" x14ac:dyDescent="0.2">
      <c r="A21">
        <v>4</v>
      </c>
      <c r="B21" s="45" t="s">
        <v>24</v>
      </c>
      <c r="C21" s="3" t="s">
        <v>25</v>
      </c>
      <c r="D21" s="305">
        <v>13861</v>
      </c>
    </row>
    <row r="22" spans="1:4" x14ac:dyDescent="0.2">
      <c r="A22">
        <v>3</v>
      </c>
      <c r="B22" s="45" t="s">
        <v>26</v>
      </c>
      <c r="C22" s="3" t="s">
        <v>27</v>
      </c>
      <c r="D22" s="305">
        <v>1948</v>
      </c>
    </row>
    <row r="23" spans="1:4" x14ac:dyDescent="0.2">
      <c r="A23">
        <v>2</v>
      </c>
      <c r="B23" s="45" t="s">
        <v>29</v>
      </c>
      <c r="C23" s="3" t="s">
        <v>30</v>
      </c>
      <c r="D23" s="305">
        <v>6799</v>
      </c>
    </row>
    <row r="24" spans="1:4" x14ac:dyDescent="0.2">
      <c r="A24">
        <v>2</v>
      </c>
      <c r="B24" s="45" t="s">
        <v>31</v>
      </c>
      <c r="C24" s="3" t="s">
        <v>32</v>
      </c>
      <c r="D24" s="305">
        <v>4644</v>
      </c>
    </row>
    <row r="25" spans="1:4" ht="12.75" customHeight="1" x14ac:dyDescent="0.2">
      <c r="A25">
        <v>3</v>
      </c>
      <c r="B25" s="45" t="s">
        <v>172</v>
      </c>
      <c r="C25" s="3" t="s">
        <v>65</v>
      </c>
      <c r="D25" s="306">
        <v>3742</v>
      </c>
    </row>
    <row r="26" spans="1:4" x14ac:dyDescent="0.2">
      <c r="A26">
        <v>3</v>
      </c>
      <c r="B26" s="45" t="s">
        <v>156</v>
      </c>
      <c r="C26" s="3" t="s">
        <v>34</v>
      </c>
      <c r="D26" s="305">
        <v>2299</v>
      </c>
    </row>
    <row r="27" spans="1:4" x14ac:dyDescent="0.2">
      <c r="A27">
        <v>1</v>
      </c>
      <c r="B27" s="45" t="s">
        <v>35</v>
      </c>
      <c r="C27" s="3" t="s">
        <v>36</v>
      </c>
      <c r="D27" s="305">
        <v>723</v>
      </c>
    </row>
    <row r="28" spans="1:4" x14ac:dyDescent="0.2">
      <c r="A28">
        <v>3</v>
      </c>
      <c r="B28" s="45" t="s">
        <v>37</v>
      </c>
      <c r="C28" s="3" t="s">
        <v>38</v>
      </c>
      <c r="D28" s="305">
        <v>2860</v>
      </c>
    </row>
    <row r="29" spans="1:4" x14ac:dyDescent="0.2">
      <c r="A29">
        <v>3</v>
      </c>
      <c r="B29" s="45" t="s">
        <v>39</v>
      </c>
      <c r="C29" s="3" t="s">
        <v>40</v>
      </c>
      <c r="D29" s="305">
        <v>2078</v>
      </c>
    </row>
    <row r="30" spans="1:4" x14ac:dyDescent="0.2">
      <c r="A30">
        <v>3</v>
      </c>
      <c r="B30" s="45" t="s">
        <v>41</v>
      </c>
      <c r="C30" s="3" t="s">
        <v>42</v>
      </c>
      <c r="D30" s="305">
        <v>4134</v>
      </c>
    </row>
    <row r="31" spans="1:4" x14ac:dyDescent="0.2">
      <c r="A31">
        <v>1</v>
      </c>
      <c r="B31" s="45" t="s">
        <v>48</v>
      </c>
      <c r="C31" s="3" t="s">
        <v>78</v>
      </c>
      <c r="D31" s="305">
        <v>4642</v>
      </c>
    </row>
    <row r="32" spans="1:4" x14ac:dyDescent="0.2">
      <c r="A32">
        <v>4</v>
      </c>
      <c r="B32" s="45" t="s">
        <v>43</v>
      </c>
      <c r="C32" s="3" t="s">
        <v>171</v>
      </c>
      <c r="D32" s="305">
        <v>2490</v>
      </c>
    </row>
    <row r="33" spans="1:4" x14ac:dyDescent="0.2">
      <c r="A33">
        <v>4</v>
      </c>
      <c r="B33" s="45" t="s">
        <v>44</v>
      </c>
      <c r="C33" s="3" t="s">
        <v>77</v>
      </c>
      <c r="D33" s="305">
        <v>3679</v>
      </c>
    </row>
    <row r="34" spans="1:4" x14ac:dyDescent="0.2">
      <c r="A34">
        <v>1</v>
      </c>
      <c r="B34" s="45" t="s">
        <v>45</v>
      </c>
      <c r="C34" s="3" t="s">
        <v>46</v>
      </c>
      <c r="D34" s="305">
        <v>11851</v>
      </c>
    </row>
    <row r="35" spans="1:4" x14ac:dyDescent="0.2">
      <c r="A35">
        <v>1</v>
      </c>
      <c r="B35" s="45" t="s">
        <v>47</v>
      </c>
      <c r="C35" s="3" t="s">
        <v>183</v>
      </c>
      <c r="D35" s="305">
        <v>3462</v>
      </c>
    </row>
    <row r="36" spans="1:4" x14ac:dyDescent="0.2">
      <c r="A36">
        <v>4</v>
      </c>
      <c r="B36" s="45" t="s">
        <v>49</v>
      </c>
      <c r="C36" s="3" t="s">
        <v>50</v>
      </c>
      <c r="D36" s="305">
        <v>8149</v>
      </c>
    </row>
    <row r="38" spans="1:4" x14ac:dyDescent="0.2">
      <c r="B38" s="4"/>
      <c r="C38" s="4" t="s">
        <v>51</v>
      </c>
      <c r="D38" s="307">
        <f t="shared" ref="D38" si="0">SUM(D6:D37)</f>
        <v>138972</v>
      </c>
    </row>
    <row r="39" spans="1:4" ht="14.25" customHeight="1" x14ac:dyDescent="0.2">
      <c r="B39" s="4"/>
      <c r="C39" s="4"/>
      <c r="D39" s="307"/>
    </row>
    <row r="40" spans="1:4" ht="16.5" customHeight="1" x14ac:dyDescent="0.2">
      <c r="B40" s="16" t="s">
        <v>52</v>
      </c>
    </row>
    <row r="41" spans="1:4" ht="12" customHeight="1" x14ac:dyDescent="0.2">
      <c r="B41" s="375" t="s">
        <v>233</v>
      </c>
      <c r="C41" s="376"/>
    </row>
  </sheetData>
  <mergeCells count="1">
    <mergeCell ref="B41:C41"/>
  </mergeCells>
  <phoneticPr fontId="10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M44"/>
  <sheetViews>
    <sheetView zoomScale="80" workbookViewId="0">
      <pane xSplit="2" ySplit="7" topLeftCell="C8" activePane="bottomRight" state="frozen"/>
      <selection activeCell="F2" sqref="F2"/>
      <selection pane="topRight" activeCell="F2" sqref="F2"/>
      <selection pane="bottomLeft" activeCell="F2" sqref="F2"/>
      <selection pane="bottomRight" activeCell="B8" sqref="B8:B38"/>
    </sheetView>
  </sheetViews>
  <sheetFormatPr defaultRowHeight="15" customHeight="1" x14ac:dyDescent="0.2"/>
  <cols>
    <col min="1" max="1" width="8" style="109" customWidth="1"/>
    <col min="2" max="2" width="31.7109375" style="109" customWidth="1"/>
    <col min="3" max="3" width="14.28515625" style="109" customWidth="1"/>
    <col min="4" max="4" width="16.28515625" style="109" customWidth="1"/>
    <col min="5" max="5" width="11.85546875" style="109" customWidth="1"/>
    <col min="6" max="6" width="19.140625" style="109" customWidth="1"/>
    <col min="7" max="7" width="2.7109375" style="109" customWidth="1"/>
    <col min="8" max="9" width="9.140625" style="109"/>
    <col min="10" max="10" width="2.7109375" style="109" customWidth="1"/>
    <col min="11" max="11" width="4.140625" style="109" customWidth="1"/>
    <col min="12" max="16384" width="9.140625" style="109"/>
  </cols>
  <sheetData>
    <row r="1" spans="1:13" ht="15" customHeight="1" x14ac:dyDescent="0.25">
      <c r="A1" s="178" t="s">
        <v>80</v>
      </c>
    </row>
    <row r="2" spans="1:13" ht="15" customHeight="1" x14ac:dyDescent="0.2">
      <c r="A2" s="145" t="s">
        <v>118</v>
      </c>
    </row>
    <row r="3" spans="1:13" ht="15" customHeight="1" x14ac:dyDescent="0.2">
      <c r="A3" s="145" t="str">
        <f>Enrollment!A3</f>
        <v>BASED ON FY2015 MnSCU DATA -- February 2016</v>
      </c>
    </row>
    <row r="4" spans="1:13" ht="15" customHeight="1" x14ac:dyDescent="0.25">
      <c r="B4" s="178"/>
      <c r="C4" s="278"/>
      <c r="D4" s="278"/>
      <c r="E4" s="278"/>
      <c r="F4" s="278" t="s">
        <v>119</v>
      </c>
    </row>
    <row r="5" spans="1:13" ht="15" customHeight="1" x14ac:dyDescent="0.2">
      <c r="C5" s="278" t="s">
        <v>89</v>
      </c>
      <c r="D5" s="278" t="s">
        <v>82</v>
      </c>
      <c r="E5" s="278" t="s">
        <v>83</v>
      </c>
      <c r="F5" s="278" t="s">
        <v>84</v>
      </c>
      <c r="H5" s="278" t="s">
        <v>86</v>
      </c>
      <c r="I5" s="278" t="s">
        <v>91</v>
      </c>
    </row>
    <row r="6" spans="1:13" ht="69" customHeight="1" x14ac:dyDescent="0.2">
      <c r="A6" s="255" t="s">
        <v>0</v>
      </c>
      <c r="B6" s="222" t="s">
        <v>93</v>
      </c>
      <c r="C6" s="177" t="s">
        <v>68</v>
      </c>
      <c r="D6" s="177" t="s">
        <v>74</v>
      </c>
      <c r="E6" s="222" t="s">
        <v>70</v>
      </c>
      <c r="F6" s="279" t="s">
        <v>120</v>
      </c>
      <c r="H6" s="222" t="s">
        <v>230</v>
      </c>
      <c r="I6" s="222" t="s">
        <v>231</v>
      </c>
    </row>
    <row r="7" spans="1:13" ht="15" customHeight="1" x14ac:dyDescent="0.2">
      <c r="C7" s="110"/>
      <c r="D7" s="110"/>
    </row>
    <row r="8" spans="1:13" ht="15" customHeight="1" x14ac:dyDescent="0.2">
      <c r="A8" s="10" t="s">
        <v>2</v>
      </c>
      <c r="B8" s="3" t="s">
        <v>199</v>
      </c>
      <c r="C8" s="275">
        <f>Instruction!M8</f>
        <v>5195040.666666667</v>
      </c>
      <c r="D8" s="158">
        <f>'Student &amp; Institutional Support'!N9</f>
        <v>2884266.259285456</v>
      </c>
      <c r="E8" s="158">
        <f>Library!G8</f>
        <v>318585.88475073496</v>
      </c>
      <c r="F8" s="275">
        <f t="shared" ref="F8:F38" si="0">SUM(C8:E8)</f>
        <v>8397892.8107028585</v>
      </c>
      <c r="H8" s="280">
        <v>71.3</v>
      </c>
      <c r="I8" s="281">
        <v>0</v>
      </c>
      <c r="L8" s="337"/>
      <c r="M8" s="343"/>
    </row>
    <row r="9" spans="1:13" ht="15" customHeight="1" x14ac:dyDescent="0.2">
      <c r="A9" s="10" t="s">
        <v>4</v>
      </c>
      <c r="B9" s="3" t="s">
        <v>188</v>
      </c>
      <c r="C9" s="275">
        <f>Instruction!M9</f>
        <v>13392637.666666666</v>
      </c>
      <c r="D9" s="158">
        <f>'Student &amp; Institutional Support'!N10</f>
        <v>7013454.5693440763</v>
      </c>
      <c r="E9" s="158">
        <f>Library!G9</f>
        <v>776816.40800603246</v>
      </c>
      <c r="F9" s="275">
        <f t="shared" si="0"/>
        <v>21182908.644016773</v>
      </c>
      <c r="H9" s="280">
        <f>233.3+42.8</f>
        <v>276.10000000000002</v>
      </c>
      <c r="I9" s="281">
        <v>0</v>
      </c>
      <c r="L9" s="337"/>
      <c r="M9" s="343"/>
    </row>
    <row r="10" spans="1:13" ht="15" customHeight="1" x14ac:dyDescent="0.2">
      <c r="A10" s="10" t="s">
        <v>5</v>
      </c>
      <c r="B10" s="3" t="s">
        <v>160</v>
      </c>
      <c r="C10" s="275">
        <f>Instruction!M10</f>
        <v>11051626.379849007</v>
      </c>
      <c r="D10" s="158">
        <f>'Student &amp; Institutional Support'!N11</f>
        <v>6811917.1103164954</v>
      </c>
      <c r="E10" s="158">
        <f>Library!G10</f>
        <v>1191482.2319172348</v>
      </c>
      <c r="F10" s="275">
        <f t="shared" si="0"/>
        <v>19055025.722082738</v>
      </c>
      <c r="H10" s="280">
        <f>395.8+45.9</f>
        <v>441.7</v>
      </c>
      <c r="I10" s="281">
        <v>0</v>
      </c>
      <c r="L10" s="337"/>
      <c r="M10" s="343"/>
    </row>
    <row r="11" spans="1:13" ht="15" customHeight="1" x14ac:dyDescent="0.2">
      <c r="A11" s="10" t="s">
        <v>6</v>
      </c>
      <c r="B11" s="3" t="s">
        <v>7</v>
      </c>
      <c r="C11" s="275">
        <f>Instruction!M11</f>
        <v>6748350.8589756712</v>
      </c>
      <c r="D11" s="158">
        <f>'Student &amp; Institutional Support'!N12</f>
        <v>3964631.98264969</v>
      </c>
      <c r="E11" s="158">
        <f>Library!G11</f>
        <v>422622.96284667443</v>
      </c>
      <c r="F11" s="275">
        <f t="shared" si="0"/>
        <v>11135605.804472035</v>
      </c>
      <c r="H11" s="280">
        <v>105.6</v>
      </c>
      <c r="I11" s="281">
        <v>0</v>
      </c>
      <c r="L11" s="337"/>
      <c r="M11" s="343"/>
    </row>
    <row r="12" spans="1:13" ht="15" customHeight="1" x14ac:dyDescent="0.2">
      <c r="A12" s="10" t="s">
        <v>8</v>
      </c>
      <c r="B12" s="3" t="s">
        <v>9</v>
      </c>
      <c r="C12" s="275">
        <f>Instruction!M12</f>
        <v>12888754.666666666</v>
      </c>
      <c r="D12" s="158">
        <f>'Student &amp; Institutional Support'!N13</f>
        <v>6292823.0338115608</v>
      </c>
      <c r="E12" s="158">
        <f>Library!G12</f>
        <v>722248.54850515525</v>
      </c>
      <c r="F12" s="275">
        <f t="shared" si="0"/>
        <v>19903826.248983379</v>
      </c>
      <c r="H12" s="280">
        <v>690.4</v>
      </c>
      <c r="I12" s="281">
        <v>0</v>
      </c>
      <c r="L12" s="337"/>
      <c r="M12" s="343"/>
    </row>
    <row r="13" spans="1:13" ht="15" customHeight="1" x14ac:dyDescent="0.2">
      <c r="A13" s="10" t="s">
        <v>10</v>
      </c>
      <c r="B13" s="3" t="s">
        <v>11</v>
      </c>
      <c r="C13" s="275">
        <f>Instruction!M13</f>
        <v>5424647</v>
      </c>
      <c r="D13" s="158">
        <f>'Student &amp; Institutional Support'!N14</f>
        <v>2861718.7799051069</v>
      </c>
      <c r="E13" s="158">
        <f>Library!G13</f>
        <v>333017.26727985003</v>
      </c>
      <c r="F13" s="275">
        <f t="shared" si="0"/>
        <v>8619383.0471849572</v>
      </c>
      <c r="H13" s="280">
        <v>193.5</v>
      </c>
      <c r="I13" s="281">
        <v>0</v>
      </c>
      <c r="L13" s="337"/>
      <c r="M13" s="343"/>
    </row>
    <row r="14" spans="1:13" ht="15" customHeight="1" x14ac:dyDescent="0.2">
      <c r="A14" s="10" t="s">
        <v>12</v>
      </c>
      <c r="B14" s="3" t="s">
        <v>13</v>
      </c>
      <c r="C14" s="275">
        <f>Instruction!M14</f>
        <v>2269535.3333333335</v>
      </c>
      <c r="D14" s="158">
        <f>'Student &amp; Institutional Support'!N15</f>
        <v>1922587.2136475891</v>
      </c>
      <c r="E14" s="158">
        <f>Library!G14</f>
        <v>160131.65761008553</v>
      </c>
      <c r="F14" s="275">
        <f t="shared" si="0"/>
        <v>4352254.2045910079</v>
      </c>
      <c r="H14" s="280">
        <v>99.5</v>
      </c>
      <c r="I14" s="281">
        <v>0</v>
      </c>
      <c r="L14" s="337"/>
      <c r="M14" s="343"/>
    </row>
    <row r="15" spans="1:13" ht="15.75" customHeight="1" x14ac:dyDescent="0.2">
      <c r="A15" s="10" t="s">
        <v>14</v>
      </c>
      <c r="B15" s="3" t="s">
        <v>245</v>
      </c>
      <c r="C15" s="275">
        <f>Instruction!M15</f>
        <v>10476494</v>
      </c>
      <c r="D15" s="158">
        <f>'Student &amp; Institutional Support'!N16</f>
        <v>5255482.1645418536</v>
      </c>
      <c r="E15" s="158">
        <f>Library!G15</f>
        <v>626272.4053427527</v>
      </c>
      <c r="F15" s="275">
        <f t="shared" si="0"/>
        <v>16358248.569884606</v>
      </c>
      <c r="H15" s="280">
        <v>355.9</v>
      </c>
      <c r="I15" s="281">
        <v>0</v>
      </c>
      <c r="L15" s="337"/>
      <c r="M15" s="343"/>
    </row>
    <row r="16" spans="1:13" ht="15" customHeight="1" x14ac:dyDescent="0.2">
      <c r="A16" s="10" t="s">
        <v>16</v>
      </c>
      <c r="B16" s="3" t="s">
        <v>246</v>
      </c>
      <c r="C16" s="275">
        <f>Instruction!M16</f>
        <v>7306370.333333333</v>
      </c>
      <c r="D16" s="158">
        <f>'Student &amp; Institutional Support'!N17</f>
        <v>4121311.0087213567</v>
      </c>
      <c r="E16" s="158">
        <f>Library!G16</f>
        <v>425121.0324796653</v>
      </c>
      <c r="F16" s="275">
        <f t="shared" si="0"/>
        <v>11852802.374534355</v>
      </c>
      <c r="H16" s="280">
        <v>233</v>
      </c>
      <c r="I16" s="281">
        <v>0</v>
      </c>
      <c r="L16" s="337"/>
      <c r="M16" s="343"/>
    </row>
    <row r="17" spans="1:13" ht="15" customHeight="1" x14ac:dyDescent="0.2">
      <c r="A17" s="10" t="s">
        <v>18</v>
      </c>
      <c r="B17" s="3" t="s">
        <v>19</v>
      </c>
      <c r="C17" s="275">
        <f>Instruction!M17</f>
        <v>7682271</v>
      </c>
      <c r="D17" s="158">
        <f>'Student &amp; Institutional Support'!N18</f>
        <v>4112726.2630064543</v>
      </c>
      <c r="E17" s="158">
        <f>Library!G17</f>
        <v>447946.81421985093</v>
      </c>
      <c r="F17" s="275">
        <f t="shared" si="0"/>
        <v>12242944.077226305</v>
      </c>
      <c r="H17" s="280">
        <v>181.4</v>
      </c>
      <c r="I17" s="281">
        <v>7</v>
      </c>
      <c r="L17" s="337"/>
      <c r="M17" s="343"/>
    </row>
    <row r="18" spans="1:13" ht="15" customHeight="1" x14ac:dyDescent="0.2">
      <c r="A18" s="10" t="s">
        <v>20</v>
      </c>
      <c r="B18" s="3" t="s">
        <v>247</v>
      </c>
      <c r="C18" s="275">
        <f>Instruction!M18</f>
        <v>14749371.621681431</v>
      </c>
      <c r="D18" s="158">
        <f>'Student &amp; Institutional Support'!N19</f>
        <v>8055189.8450713567</v>
      </c>
      <c r="E18" s="158">
        <f>Library!G18</f>
        <v>1413409.4410224378</v>
      </c>
      <c r="F18" s="275">
        <f t="shared" si="0"/>
        <v>24217970.907775227</v>
      </c>
      <c r="H18" s="280">
        <v>149.5</v>
      </c>
      <c r="I18" s="281">
        <v>0</v>
      </c>
      <c r="L18" s="337"/>
      <c r="M18" s="343"/>
    </row>
    <row r="19" spans="1:13" ht="15" customHeight="1" x14ac:dyDescent="0.2">
      <c r="A19" s="10" t="s">
        <v>21</v>
      </c>
      <c r="B19" s="3" t="s">
        <v>200</v>
      </c>
      <c r="C19" s="275">
        <f>Instruction!M19</f>
        <v>12140089.666666666</v>
      </c>
      <c r="D19" s="158">
        <f>'Student &amp; Institutional Support'!N20</f>
        <v>6223587.3831509622</v>
      </c>
      <c r="E19" s="158">
        <f>Library!G19</f>
        <v>713866.03373114578</v>
      </c>
      <c r="F19" s="275">
        <f t="shared" si="0"/>
        <v>19077543.083548777</v>
      </c>
      <c r="H19" s="280">
        <v>818.2</v>
      </c>
      <c r="I19" s="281">
        <v>0</v>
      </c>
      <c r="L19" s="337"/>
      <c r="M19" s="343"/>
    </row>
    <row r="20" spans="1:13" ht="15" customHeight="1" x14ac:dyDescent="0.2">
      <c r="A20" s="10" t="s">
        <v>23</v>
      </c>
      <c r="B20" s="200" t="s">
        <v>79</v>
      </c>
      <c r="C20" s="275">
        <f>Instruction!M20</f>
        <v>4133808.6666666665</v>
      </c>
      <c r="D20" s="158">
        <f>'Student &amp; Institutional Support'!N21</f>
        <v>2810468.9726689332</v>
      </c>
      <c r="E20" s="158">
        <f>Library!G20</f>
        <v>267756.36670487042</v>
      </c>
      <c r="F20" s="275">
        <f t="shared" si="0"/>
        <v>7212034.0060404697</v>
      </c>
      <c r="H20" s="280">
        <v>150.5</v>
      </c>
      <c r="I20" s="281">
        <v>10.5</v>
      </c>
      <c r="L20" s="337"/>
      <c r="M20" s="343"/>
    </row>
    <row r="21" spans="1:13" ht="14.25" customHeight="1" x14ac:dyDescent="0.2">
      <c r="A21" s="45" t="s">
        <v>155</v>
      </c>
      <c r="B21" s="3" t="s">
        <v>248</v>
      </c>
      <c r="C21" s="275">
        <f>Instruction!M21</f>
        <v>10798224.666666666</v>
      </c>
      <c r="D21" s="158">
        <f>'Student &amp; Institutional Support'!N22</f>
        <v>5779480.1559887081</v>
      </c>
      <c r="E21" s="158">
        <f>Library!G21</f>
        <v>636551.19258962292</v>
      </c>
      <c r="F21" s="275">
        <f>SUM(C21:E21)</f>
        <v>17214256.015244998</v>
      </c>
      <c r="H21" s="280">
        <v>169.9</v>
      </c>
      <c r="I21" s="281">
        <v>0</v>
      </c>
      <c r="L21" s="337"/>
      <c r="M21" s="343"/>
    </row>
    <row r="22" spans="1:13" ht="15" customHeight="1" x14ac:dyDescent="0.2">
      <c r="A22" s="10" t="s">
        <v>28</v>
      </c>
      <c r="B22" s="3" t="s">
        <v>64</v>
      </c>
      <c r="C22" s="275">
        <f>Instruction!M22</f>
        <v>14914534.335218407</v>
      </c>
      <c r="D22" s="158">
        <f>'Student &amp; Institutional Support'!N23</f>
        <v>8620494.1765627246</v>
      </c>
      <c r="E22" s="158">
        <f>Library!G22</f>
        <v>1565048.7110811844</v>
      </c>
      <c r="F22" s="275">
        <f t="shared" si="0"/>
        <v>25100077.222862318</v>
      </c>
      <c r="H22" s="280">
        <v>592.20000000000005</v>
      </c>
      <c r="I22" s="281">
        <v>28.4</v>
      </c>
      <c r="L22" s="337"/>
      <c r="M22" s="343"/>
    </row>
    <row r="23" spans="1:13" ht="15" customHeight="1" x14ac:dyDescent="0.2">
      <c r="A23" s="10" t="s">
        <v>24</v>
      </c>
      <c r="B23" s="3" t="s">
        <v>25</v>
      </c>
      <c r="C23" s="275">
        <f>Instruction!M23</f>
        <v>30967131.06232053</v>
      </c>
      <c r="D23" s="158">
        <f>'Student &amp; Institutional Support'!N24</f>
        <v>14665459.727731666</v>
      </c>
      <c r="E23" s="158">
        <f>Library!G23</f>
        <v>2939745.5244108625</v>
      </c>
      <c r="F23" s="275">
        <f t="shared" si="0"/>
        <v>48572336.314463064</v>
      </c>
      <c r="H23" s="280">
        <v>1311.6</v>
      </c>
      <c r="I23" s="281">
        <f>60.7+9.2</f>
        <v>69.900000000000006</v>
      </c>
      <c r="L23" s="337"/>
      <c r="M23" s="343"/>
    </row>
    <row r="24" spans="1:13" ht="15" customHeight="1" x14ac:dyDescent="0.2">
      <c r="A24" s="10" t="s">
        <v>26</v>
      </c>
      <c r="B24" s="3" t="s">
        <v>234</v>
      </c>
      <c r="C24" s="275">
        <f>Instruction!M24</f>
        <v>5501633.6931713419</v>
      </c>
      <c r="D24" s="158">
        <f>'Student &amp; Institutional Support'!N25</f>
        <v>3393666.0831440371</v>
      </c>
      <c r="E24" s="158">
        <f>Library!G24</f>
        <v>355683.21543525439</v>
      </c>
      <c r="F24" s="275">
        <f t="shared" si="0"/>
        <v>9250982.9917506352</v>
      </c>
      <c r="H24" s="280">
        <v>140.9</v>
      </c>
      <c r="I24" s="281">
        <v>0</v>
      </c>
      <c r="L24" s="337"/>
      <c r="M24" s="343"/>
    </row>
    <row r="25" spans="1:13" ht="15" customHeight="1" x14ac:dyDescent="0.2">
      <c r="A25" s="10" t="s">
        <v>29</v>
      </c>
      <c r="B25" s="3" t="s">
        <v>203</v>
      </c>
      <c r="C25" s="275">
        <f>Instruction!M25</f>
        <v>11980687.333333334</v>
      </c>
      <c r="D25" s="158">
        <f>'Student &amp; Institutional Support'!N26</f>
        <v>5981851.8173012463</v>
      </c>
      <c r="E25" s="158">
        <f>Library!G25</f>
        <v>667072.03403104772</v>
      </c>
      <c r="F25" s="275">
        <f t="shared" si="0"/>
        <v>18629611.184665628</v>
      </c>
      <c r="H25" s="280">
        <v>498.5</v>
      </c>
      <c r="I25" s="281">
        <v>0</v>
      </c>
      <c r="L25" s="337"/>
      <c r="M25" s="343"/>
    </row>
    <row r="26" spans="1:13" ht="15" customHeight="1" x14ac:dyDescent="0.2">
      <c r="A26" s="10" t="s">
        <v>31</v>
      </c>
      <c r="B26" s="3" t="s">
        <v>204</v>
      </c>
      <c r="C26" s="275">
        <f>Instruction!M26</f>
        <v>8819383.333333334</v>
      </c>
      <c r="D26" s="158">
        <f>'Student &amp; Institutional Support'!N27</f>
        <v>4532083.7195887407</v>
      </c>
      <c r="E26" s="158">
        <f>Library!G26</f>
        <v>504368.84162845183</v>
      </c>
      <c r="F26" s="275">
        <f t="shared" si="0"/>
        <v>13855835.894550525</v>
      </c>
      <c r="H26" s="280">
        <v>380.7</v>
      </c>
      <c r="I26" s="281">
        <v>0</v>
      </c>
      <c r="L26" s="337"/>
      <c r="M26" s="343"/>
    </row>
    <row r="27" spans="1:13" ht="15" customHeight="1" x14ac:dyDescent="0.2">
      <c r="A27" s="45" t="s">
        <v>172</v>
      </c>
      <c r="B27" s="3" t="s">
        <v>65</v>
      </c>
      <c r="C27" s="275">
        <f>Instruction!M27</f>
        <v>9054263</v>
      </c>
      <c r="D27" s="158">
        <f>'Student &amp; Institutional Support'!N28</f>
        <v>6082554.1846065894</v>
      </c>
      <c r="E27" s="158">
        <f>Library!G27</f>
        <v>623137.52690626518</v>
      </c>
      <c r="F27" s="275">
        <f t="shared" si="0"/>
        <v>15759954.711512854</v>
      </c>
      <c r="H27" s="280">
        <f>35.7+68.2+65.6+40.2+50.2</f>
        <v>259.89999999999998</v>
      </c>
      <c r="I27" s="281">
        <f>2.9+3+16.6</f>
        <v>22.5</v>
      </c>
      <c r="L27" s="337"/>
      <c r="M27" s="343"/>
    </row>
    <row r="28" spans="1:13" ht="15" customHeight="1" x14ac:dyDescent="0.2">
      <c r="A28" s="10" t="s">
        <v>33</v>
      </c>
      <c r="B28" s="3" t="s">
        <v>205</v>
      </c>
      <c r="C28" s="275">
        <f>Instruction!M28</f>
        <v>6183339.5817604465</v>
      </c>
      <c r="D28" s="158">
        <f>'Student &amp; Institutional Support'!N29</f>
        <v>3393696.8321637702</v>
      </c>
      <c r="E28" s="158">
        <f>Library!G28</f>
        <v>378182.7110895699</v>
      </c>
      <c r="F28" s="275">
        <f t="shared" si="0"/>
        <v>9955219.1250137873</v>
      </c>
      <c r="H28" s="280">
        <v>121.6</v>
      </c>
      <c r="I28" s="281">
        <v>14</v>
      </c>
      <c r="L28" s="337"/>
      <c r="M28" s="343"/>
    </row>
    <row r="29" spans="1:13" ht="15" customHeight="1" x14ac:dyDescent="0.2">
      <c r="A29" s="10" t="s">
        <v>35</v>
      </c>
      <c r="B29" s="3" t="s">
        <v>201</v>
      </c>
      <c r="C29" s="275">
        <f>Instruction!M29</f>
        <v>1703310.6666666667</v>
      </c>
      <c r="D29" s="158">
        <f>'Student &amp; Institutional Support'!N30</f>
        <v>1495935.8193751581</v>
      </c>
      <c r="E29" s="158">
        <f>Library!G29</f>
        <v>120255.84170503099</v>
      </c>
      <c r="F29" s="275">
        <f t="shared" si="0"/>
        <v>3319502.327746856</v>
      </c>
      <c r="H29" s="280">
        <v>9.9</v>
      </c>
      <c r="I29" s="281">
        <v>0</v>
      </c>
      <c r="L29" s="337"/>
      <c r="M29" s="343"/>
    </row>
    <row r="30" spans="1:13" ht="15" customHeight="1" x14ac:dyDescent="0.2">
      <c r="A30" s="10" t="s">
        <v>37</v>
      </c>
      <c r="B30" s="3" t="s">
        <v>38</v>
      </c>
      <c r="C30" s="275">
        <f>Instruction!M30</f>
        <v>7704171.9149981886</v>
      </c>
      <c r="D30" s="158">
        <f>'Student &amp; Institutional Support'!N31</f>
        <v>4029408.1958386279</v>
      </c>
      <c r="E30" s="158">
        <f>Library!G30</f>
        <v>463390.81006132241</v>
      </c>
      <c r="F30" s="275">
        <f t="shared" si="0"/>
        <v>12196970.920898139</v>
      </c>
      <c r="H30" s="280">
        <v>133</v>
      </c>
      <c r="I30" s="281">
        <v>0</v>
      </c>
      <c r="L30" s="337"/>
      <c r="M30" s="343"/>
    </row>
    <row r="31" spans="1:13" ht="15" customHeight="1" x14ac:dyDescent="0.2">
      <c r="A31" s="10" t="s">
        <v>39</v>
      </c>
      <c r="B31" s="3" t="s">
        <v>202</v>
      </c>
      <c r="C31" s="275">
        <f>Instruction!M31</f>
        <v>5394066.71</v>
      </c>
      <c r="D31" s="158">
        <f>'Student &amp; Institutional Support'!N32</f>
        <v>3520824.1650419012</v>
      </c>
      <c r="E31" s="158">
        <f>Library!G31</f>
        <v>358735.42617905338</v>
      </c>
      <c r="F31" s="275">
        <f t="shared" si="0"/>
        <v>9273626.3012209553</v>
      </c>
      <c r="H31" s="280">
        <v>196.5</v>
      </c>
      <c r="I31" s="281">
        <v>0</v>
      </c>
      <c r="L31" s="337"/>
      <c r="M31" s="343"/>
    </row>
    <row r="32" spans="1:13" ht="15" customHeight="1" x14ac:dyDescent="0.2">
      <c r="A32" s="10" t="s">
        <v>41</v>
      </c>
      <c r="B32" s="3" t="s">
        <v>206</v>
      </c>
      <c r="C32" s="275">
        <f>Instruction!M32</f>
        <v>8641577</v>
      </c>
      <c r="D32" s="158">
        <f>'Student &amp; Institutional Support'!N33</f>
        <v>4067808.4954724479</v>
      </c>
      <c r="E32" s="158">
        <f>Library!G32</f>
        <v>506093.58864101063</v>
      </c>
      <c r="F32" s="275">
        <f t="shared" si="0"/>
        <v>13215479.084113458</v>
      </c>
      <c r="H32" s="280">
        <v>527.20000000000005</v>
      </c>
      <c r="I32" s="281">
        <v>2.1</v>
      </c>
      <c r="L32" s="337"/>
      <c r="M32" s="343"/>
    </row>
    <row r="33" spans="1:13" ht="15" customHeight="1" x14ac:dyDescent="0.2">
      <c r="A33" s="10" t="s">
        <v>48</v>
      </c>
      <c r="B33" s="3" t="s">
        <v>78</v>
      </c>
      <c r="C33" s="275">
        <f>Instruction!M33</f>
        <v>9109690</v>
      </c>
      <c r="D33" s="158">
        <f>'Student &amp; Institutional Support'!N34</f>
        <v>4081617.8760511409</v>
      </c>
      <c r="E33" s="158">
        <f>Library!G33</f>
        <v>497395.64325574227</v>
      </c>
      <c r="F33" s="275">
        <f t="shared" si="0"/>
        <v>13688703.519306883</v>
      </c>
      <c r="H33" s="280">
        <v>496</v>
      </c>
      <c r="I33" s="281">
        <v>0</v>
      </c>
      <c r="L33" s="337"/>
      <c r="M33" s="343"/>
    </row>
    <row r="34" spans="1:13" ht="15" customHeight="1" x14ac:dyDescent="0.2">
      <c r="A34" s="10" t="s">
        <v>43</v>
      </c>
      <c r="B34" s="3" t="s">
        <v>171</v>
      </c>
      <c r="C34" s="275">
        <f>Instruction!M34</f>
        <v>6527266.6560652675</v>
      </c>
      <c r="D34" s="158">
        <f>'Student &amp; Institutional Support'!N35</f>
        <v>3556071.513317117</v>
      </c>
      <c r="E34" s="158">
        <f>Library!G34</f>
        <v>384666.62502831832</v>
      </c>
      <c r="F34" s="275">
        <f t="shared" si="0"/>
        <v>10468004.794410702</v>
      </c>
      <c r="H34" s="280">
        <v>98.4</v>
      </c>
      <c r="I34" s="281">
        <v>0</v>
      </c>
      <c r="L34" s="337"/>
      <c r="M34" s="343"/>
    </row>
    <row r="35" spans="1:13" ht="15" customHeight="1" x14ac:dyDescent="0.2">
      <c r="A35" s="10" t="s">
        <v>44</v>
      </c>
      <c r="B35" s="3" t="s">
        <v>77</v>
      </c>
      <c r="C35" s="275">
        <f>Instruction!M35</f>
        <v>7993761.1200337512</v>
      </c>
      <c r="D35" s="158">
        <f>'Student &amp; Institutional Support'!N36</f>
        <v>6293323.3903303789</v>
      </c>
      <c r="E35" s="158">
        <f>Library!G35</f>
        <v>960319.21608132927</v>
      </c>
      <c r="F35" s="275">
        <f t="shared" si="0"/>
        <v>15247403.726445459</v>
      </c>
      <c r="H35" s="280">
        <v>321</v>
      </c>
      <c r="I35" s="281">
        <f>21.4+0.5</f>
        <v>21.9</v>
      </c>
      <c r="L35" s="337"/>
      <c r="M35" s="343"/>
    </row>
    <row r="36" spans="1:13" ht="15" customHeight="1" x14ac:dyDescent="0.2">
      <c r="A36" s="10" t="s">
        <v>45</v>
      </c>
      <c r="B36" s="3" t="s">
        <v>46</v>
      </c>
      <c r="C36" s="275">
        <f>Instruction!M36</f>
        <v>31220698.377134278</v>
      </c>
      <c r="D36" s="158">
        <f>'Student &amp; Institutional Support'!N37</f>
        <v>17479727.991208989</v>
      </c>
      <c r="E36" s="158">
        <f>Library!G36</f>
        <v>3209428.6784329768</v>
      </c>
      <c r="F36" s="275">
        <f t="shared" si="0"/>
        <v>51909855.046776243</v>
      </c>
      <c r="H36" s="280">
        <v>985.5</v>
      </c>
      <c r="I36" s="281">
        <f>25.1+1.7</f>
        <v>26.8</v>
      </c>
      <c r="L36" s="337"/>
      <c r="M36" s="343"/>
    </row>
    <row r="37" spans="1:13" ht="15" customHeight="1" x14ac:dyDescent="0.2">
      <c r="A37" s="10" t="s">
        <v>47</v>
      </c>
      <c r="B37" s="3" t="s">
        <v>207</v>
      </c>
      <c r="C37" s="275">
        <f>Instruction!M37</f>
        <v>7261647</v>
      </c>
      <c r="D37" s="158">
        <f>'Student &amp; Institutional Support'!N38</f>
        <v>3435499.0109807006</v>
      </c>
      <c r="E37" s="158">
        <f>Library!G37</f>
        <v>404072.16085903533</v>
      </c>
      <c r="F37" s="275">
        <f t="shared" si="0"/>
        <v>11101218.171839736</v>
      </c>
      <c r="H37" s="280">
        <v>111.5</v>
      </c>
      <c r="I37" s="281">
        <v>4.0999999999999996</v>
      </c>
      <c r="L37" s="337"/>
      <c r="M37" s="343"/>
    </row>
    <row r="38" spans="1:13" ht="15" customHeight="1" x14ac:dyDescent="0.2">
      <c r="A38" s="10" t="s">
        <v>49</v>
      </c>
      <c r="B38" s="3" t="s">
        <v>50</v>
      </c>
      <c r="C38" s="275">
        <f>Instruction!M38</f>
        <v>18925125.140009951</v>
      </c>
      <c r="D38" s="158">
        <f>'Student &amp; Institutional Support'!N39</f>
        <v>10041286.308955006</v>
      </c>
      <c r="E38" s="158">
        <f>Library!G38</f>
        <v>1879624.0174183962</v>
      </c>
      <c r="F38" s="275">
        <f t="shared" si="0"/>
        <v>30846035.466383353</v>
      </c>
      <c r="H38" s="280">
        <v>737.1</v>
      </c>
      <c r="I38" s="281">
        <v>0.6</v>
      </c>
      <c r="L38" s="337"/>
      <c r="M38" s="343"/>
    </row>
    <row r="39" spans="1:13" ht="15" customHeight="1" x14ac:dyDescent="0.2">
      <c r="C39" s="110"/>
      <c r="D39" s="110"/>
      <c r="E39" s="110"/>
      <c r="F39" s="110"/>
      <c r="H39" s="282"/>
    </row>
    <row r="40" spans="1:13" ht="15" customHeight="1" x14ac:dyDescent="0.2">
      <c r="B40" s="245" t="s">
        <v>51</v>
      </c>
      <c r="C40" s="283">
        <f>SUM(C8:C39)</f>
        <v>316159509.45121825</v>
      </c>
      <c r="D40" s="283">
        <f>SUM(D8:D39)</f>
        <v>172780954.04977986</v>
      </c>
      <c r="E40" s="283">
        <f>SUM(E8:E39)</f>
        <v>24273048.819250967</v>
      </c>
      <c r="F40" s="283">
        <f>SUM(F8:F39)</f>
        <v>513213512.32024908</v>
      </c>
      <c r="H40" s="284">
        <f>SUM(H8:H39)</f>
        <v>10858</v>
      </c>
      <c r="I40" s="284">
        <f>SUM(I8:I39)</f>
        <v>207.8</v>
      </c>
    </row>
    <row r="41" spans="1:13" ht="12" customHeight="1" x14ac:dyDescent="0.2"/>
    <row r="42" spans="1:13" ht="12" customHeight="1" x14ac:dyDescent="0.2">
      <c r="A42" s="211" t="str">
        <f>'FY2015 Detail'!B40</f>
        <v>MnSCU Finance Division</v>
      </c>
    </row>
    <row r="43" spans="1:13" ht="12" customHeight="1" x14ac:dyDescent="0.2">
      <c r="A43" s="211" t="str">
        <f>'FY2015 Detail'!B41</f>
        <v>s:\finance\bargain\FY17 allocation\Summary of FY2017 Institutional Allocation Draft</v>
      </c>
    </row>
    <row r="44" spans="1:13" ht="12" customHeight="1" x14ac:dyDescent="0.2">
      <c r="A44" s="211"/>
    </row>
  </sheetData>
  <phoneticPr fontId="10" type="noConversion"/>
  <pageMargins left="0.38" right="0.16" top="0.38" bottom="0.5" header="0.38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48"/>
  <sheetViews>
    <sheetView zoomScale="80" workbookViewId="0">
      <selection activeCell="K10" sqref="K10"/>
    </sheetView>
  </sheetViews>
  <sheetFormatPr defaultRowHeight="15" customHeight="1" x14ac:dyDescent="0.2"/>
  <cols>
    <col min="1" max="1" width="6" style="286" customWidth="1"/>
    <col min="2" max="2" width="31.85546875" style="109" customWidth="1"/>
    <col min="3" max="3" width="16.42578125" style="107" bestFit="1" customWidth="1"/>
    <col min="4" max="4" width="12" style="110" customWidth="1"/>
    <col min="5" max="5" width="14.42578125" style="110" bestFit="1" customWidth="1"/>
    <col min="6" max="6" width="2.7109375" style="146" customWidth="1"/>
    <col min="7" max="7" width="14.7109375" style="107" customWidth="1"/>
    <col min="8" max="8" width="11.5703125" style="110" bestFit="1" customWidth="1"/>
    <col min="9" max="9" width="14.7109375" style="110" customWidth="1"/>
    <col min="10" max="10" width="1.140625" style="109" customWidth="1"/>
    <col min="11" max="11" width="17.85546875" style="218" customWidth="1"/>
    <col min="12" max="12" width="2.42578125" style="218" customWidth="1"/>
    <col min="13" max="13" width="7.85546875" style="109" bestFit="1" customWidth="1"/>
    <col min="14" max="14" width="3.5703125" style="109" customWidth="1"/>
    <col min="15" max="15" width="9.140625" style="109"/>
    <col min="16" max="16" width="13.85546875" style="109" bestFit="1" customWidth="1"/>
    <col min="17" max="17" width="5.7109375" style="109" customWidth="1"/>
    <col min="18" max="18" width="12.28515625" style="109" bestFit="1" customWidth="1"/>
    <col min="19" max="16384" width="9.140625" style="109"/>
  </cols>
  <sheetData>
    <row r="1" spans="1:22" ht="15" customHeight="1" x14ac:dyDescent="0.25">
      <c r="A1" s="178" t="s">
        <v>80</v>
      </c>
    </row>
    <row r="2" spans="1:22" ht="15" customHeight="1" x14ac:dyDescent="0.2">
      <c r="A2" s="145" t="s">
        <v>121</v>
      </c>
      <c r="E2" s="152"/>
    </row>
    <row r="3" spans="1:22" ht="15" customHeight="1" x14ac:dyDescent="0.2">
      <c r="A3" s="145" t="s">
        <v>217</v>
      </c>
    </row>
    <row r="4" spans="1:22" s="175" customFormat="1" ht="10.5" customHeight="1" x14ac:dyDescent="0.2">
      <c r="C4" s="229"/>
      <c r="D4" s="147"/>
      <c r="E4" s="147" t="s">
        <v>122</v>
      </c>
      <c r="F4" s="148"/>
      <c r="G4" s="229"/>
      <c r="H4" s="147"/>
      <c r="I4" s="147" t="s">
        <v>123</v>
      </c>
      <c r="K4" s="285" t="s">
        <v>124</v>
      </c>
      <c r="L4" s="285"/>
    </row>
    <row r="5" spans="1:22" ht="15" customHeight="1" x14ac:dyDescent="0.2">
      <c r="C5" s="229" t="s">
        <v>89</v>
      </c>
      <c r="D5" s="147" t="s">
        <v>82</v>
      </c>
      <c r="E5" s="147" t="s">
        <v>83</v>
      </c>
      <c r="F5" s="148"/>
      <c r="G5" s="229" t="s">
        <v>84</v>
      </c>
      <c r="H5" s="147" t="s">
        <v>85</v>
      </c>
      <c r="I5" s="147" t="s">
        <v>86</v>
      </c>
      <c r="J5" s="175"/>
      <c r="K5" s="285" t="s">
        <v>91</v>
      </c>
      <c r="L5" s="285"/>
    </row>
    <row r="6" spans="1:22" s="289" customFormat="1" ht="57" customHeight="1" x14ac:dyDescent="0.2">
      <c r="A6" s="230" t="s">
        <v>0</v>
      </c>
      <c r="B6" s="230" t="s">
        <v>1</v>
      </c>
      <c r="C6" s="231" t="s">
        <v>218</v>
      </c>
      <c r="D6" s="149" t="s">
        <v>125</v>
      </c>
      <c r="E6" s="149" t="s">
        <v>126</v>
      </c>
      <c r="F6" s="150"/>
      <c r="G6" s="231" t="s">
        <v>239</v>
      </c>
      <c r="H6" s="287" t="s">
        <v>125</v>
      </c>
      <c r="I6" s="287" t="s">
        <v>127</v>
      </c>
      <c r="J6" s="258"/>
      <c r="K6" s="232" t="s">
        <v>173</v>
      </c>
      <c r="L6" s="288"/>
    </row>
    <row r="7" spans="1:22" s="289" customFormat="1" ht="15" customHeight="1" x14ac:dyDescent="0.2">
      <c r="A7" s="201"/>
      <c r="B7" s="201"/>
      <c r="C7" s="345"/>
      <c r="D7" s="151"/>
      <c r="E7" s="151"/>
      <c r="F7" s="151"/>
      <c r="G7" s="345"/>
      <c r="H7" s="290"/>
      <c r="I7" s="290"/>
      <c r="K7" s="291"/>
      <c r="L7" s="291"/>
    </row>
    <row r="8" spans="1:22" ht="15" customHeight="1" x14ac:dyDescent="0.2">
      <c r="A8" s="216" t="s">
        <v>2</v>
      </c>
      <c r="B8" s="3" t="s">
        <v>199</v>
      </c>
      <c r="C8" s="346">
        <v>20409617.440000001</v>
      </c>
      <c r="D8" s="347">
        <v>775935.78</v>
      </c>
      <c r="E8" s="152">
        <f>C8-D8</f>
        <v>19633681.66</v>
      </c>
      <c r="F8" s="153"/>
      <c r="G8" s="355">
        <v>11298318.470000006</v>
      </c>
      <c r="H8" s="292">
        <f t="shared" ref="H8:H38" si="0">+D8</f>
        <v>775935.78</v>
      </c>
      <c r="I8" s="293">
        <f t="shared" ref="I8:I38" si="1">G8-H8</f>
        <v>10522382.690000007</v>
      </c>
      <c r="J8" s="217"/>
      <c r="K8" s="173">
        <f>+I8/E8</f>
        <v>0.5359352806171559</v>
      </c>
      <c r="L8" s="174"/>
      <c r="M8" s="218"/>
      <c r="O8" s="218"/>
      <c r="P8" s="218"/>
      <c r="Q8" s="218"/>
      <c r="R8" s="218"/>
      <c r="T8" s="110"/>
      <c r="U8" s="110"/>
      <c r="V8" s="340"/>
    </row>
    <row r="9" spans="1:22" ht="15" customHeight="1" x14ac:dyDescent="0.2">
      <c r="A9" s="216" t="s">
        <v>4</v>
      </c>
      <c r="B9" s="3" t="s">
        <v>188</v>
      </c>
      <c r="C9" s="348">
        <v>57376515.880000003</v>
      </c>
      <c r="D9" s="348">
        <v>398758.33</v>
      </c>
      <c r="E9" s="152">
        <f>C9-D9</f>
        <v>56977757.550000004</v>
      </c>
      <c r="F9" s="153"/>
      <c r="G9" s="355">
        <v>34869549.759999998</v>
      </c>
      <c r="H9" s="292">
        <f t="shared" si="0"/>
        <v>398758.33</v>
      </c>
      <c r="I9" s="293">
        <f t="shared" si="1"/>
        <v>34470791.43</v>
      </c>
      <c r="J9" s="217"/>
      <c r="K9" s="173">
        <f>+I9/E9</f>
        <v>0.60498680383745629</v>
      </c>
      <c r="L9" s="174"/>
      <c r="M9" s="218"/>
      <c r="O9" s="218"/>
      <c r="P9" s="218"/>
      <c r="Q9" s="218"/>
      <c r="R9" s="218"/>
      <c r="T9" s="110"/>
      <c r="U9" s="110"/>
      <c r="V9" s="340"/>
    </row>
    <row r="10" spans="1:22" ht="15" customHeight="1" x14ac:dyDescent="0.2">
      <c r="A10" s="216" t="s">
        <v>5</v>
      </c>
      <c r="B10" s="3" t="s">
        <v>160</v>
      </c>
      <c r="C10" s="346">
        <v>64153342.469999999</v>
      </c>
      <c r="D10" s="347">
        <v>1706318.19</v>
      </c>
      <c r="E10" s="152">
        <f t="shared" ref="E10:E38" si="2">C10-D10</f>
        <v>62447024.280000001</v>
      </c>
      <c r="F10" s="153"/>
      <c r="G10" s="277">
        <v>40802079.980000012</v>
      </c>
      <c r="H10" s="292">
        <f t="shared" si="0"/>
        <v>1706318.19</v>
      </c>
      <c r="I10" s="293">
        <f t="shared" si="1"/>
        <v>39095761.790000014</v>
      </c>
      <c r="J10" s="217"/>
      <c r="K10" s="173">
        <f>+I10/E10</f>
        <v>0.626062846721125</v>
      </c>
      <c r="L10" s="174"/>
      <c r="M10" s="218"/>
      <c r="O10" s="218"/>
      <c r="P10" s="218"/>
      <c r="Q10" s="218"/>
      <c r="R10" s="218"/>
      <c r="T10" s="110"/>
      <c r="U10" s="110"/>
      <c r="V10" s="340"/>
    </row>
    <row r="11" spans="1:22" ht="15" customHeight="1" x14ac:dyDescent="0.2">
      <c r="A11" s="216" t="s">
        <v>6</v>
      </c>
      <c r="B11" s="3" t="s">
        <v>7</v>
      </c>
      <c r="C11" s="346">
        <v>26824146.460000001</v>
      </c>
      <c r="D11" s="347">
        <v>575382.24</v>
      </c>
      <c r="E11" s="152">
        <f t="shared" si="2"/>
        <v>26248764.220000003</v>
      </c>
      <c r="F11" s="153"/>
      <c r="G11" s="355">
        <v>14940954.33</v>
      </c>
      <c r="H11" s="292">
        <f t="shared" si="0"/>
        <v>575382.24</v>
      </c>
      <c r="I11" s="293">
        <f t="shared" si="1"/>
        <v>14365572.09</v>
      </c>
      <c r="J11" s="217"/>
      <c r="K11" s="173">
        <f t="shared" ref="K11:K38" si="3">+I11/E11</f>
        <v>0.54728565389201389</v>
      </c>
      <c r="L11" s="174"/>
      <c r="M11" s="218"/>
      <c r="O11" s="218"/>
      <c r="P11" s="218"/>
      <c r="Q11" s="218"/>
      <c r="R11" s="218"/>
      <c r="T11" s="110"/>
      <c r="U11" s="110"/>
      <c r="V11" s="340"/>
    </row>
    <row r="12" spans="1:22" ht="15" customHeight="1" x14ac:dyDescent="0.2">
      <c r="A12" s="216" t="s">
        <v>8</v>
      </c>
      <c r="B12" s="3" t="s">
        <v>9</v>
      </c>
      <c r="C12" s="348">
        <v>57923739.530000001</v>
      </c>
      <c r="D12" s="347">
        <v>740076.68</v>
      </c>
      <c r="E12" s="152">
        <f t="shared" si="2"/>
        <v>57183662.850000001</v>
      </c>
      <c r="F12" s="153"/>
      <c r="G12" s="355">
        <v>35983740.170000002</v>
      </c>
      <c r="H12" s="292">
        <f t="shared" si="0"/>
        <v>740076.68</v>
      </c>
      <c r="I12" s="293">
        <f t="shared" si="1"/>
        <v>35243663.490000002</v>
      </c>
      <c r="J12" s="217"/>
      <c r="K12" s="173">
        <f t="shared" si="3"/>
        <v>0.61632399418779105</v>
      </c>
      <c r="L12" s="174"/>
      <c r="M12" s="218"/>
      <c r="O12" s="218"/>
      <c r="P12" s="218"/>
      <c r="Q12" s="218"/>
      <c r="R12" s="218"/>
      <c r="T12" s="110"/>
      <c r="U12" s="110"/>
      <c r="V12" s="340"/>
    </row>
    <row r="13" spans="1:22" ht="15" customHeight="1" x14ac:dyDescent="0.2">
      <c r="A13" s="216" t="s">
        <v>10</v>
      </c>
      <c r="B13" s="3" t="s">
        <v>11</v>
      </c>
      <c r="C13" s="348">
        <v>22294494.829999998</v>
      </c>
      <c r="D13" s="347">
        <v>451837.11</v>
      </c>
      <c r="E13" s="152">
        <f t="shared" si="2"/>
        <v>21842657.719999999</v>
      </c>
      <c r="F13" s="153"/>
      <c r="G13" s="355">
        <v>12026383.960000003</v>
      </c>
      <c r="H13" s="292">
        <f t="shared" si="0"/>
        <v>451837.11</v>
      </c>
      <c r="I13" s="293">
        <f t="shared" si="1"/>
        <v>11574546.850000003</v>
      </c>
      <c r="J13" s="217"/>
      <c r="K13" s="173">
        <f>+I13/E13</f>
        <v>0.52990560939852538</v>
      </c>
      <c r="L13" s="174"/>
      <c r="M13" s="218"/>
      <c r="O13" s="218"/>
      <c r="P13" s="218"/>
      <c r="Q13" s="218"/>
      <c r="R13" s="218"/>
      <c r="T13" s="110"/>
      <c r="U13" s="110"/>
      <c r="V13" s="340"/>
    </row>
    <row r="14" spans="1:22" ht="15" customHeight="1" x14ac:dyDescent="0.2">
      <c r="A14" s="216" t="s">
        <v>12</v>
      </c>
      <c r="B14" s="3" t="s">
        <v>13</v>
      </c>
      <c r="C14" s="348">
        <v>8668489.2100000009</v>
      </c>
      <c r="D14" s="347">
        <v>80144.5</v>
      </c>
      <c r="E14" s="152">
        <f t="shared" si="2"/>
        <v>8588344.7100000009</v>
      </c>
      <c r="F14" s="153"/>
      <c r="G14" s="355">
        <v>4693481.5199999996</v>
      </c>
      <c r="H14" s="292">
        <f t="shared" si="0"/>
        <v>80144.5</v>
      </c>
      <c r="I14" s="293">
        <f t="shared" si="1"/>
        <v>4613337.0199999996</v>
      </c>
      <c r="J14" s="217"/>
      <c r="K14" s="173">
        <f t="shared" si="3"/>
        <v>0.53716253548001791</v>
      </c>
      <c r="L14" s="174"/>
      <c r="M14" s="218"/>
      <c r="O14" s="218"/>
      <c r="P14" s="218"/>
      <c r="Q14" s="218"/>
      <c r="R14" s="218"/>
      <c r="T14" s="110"/>
      <c r="U14" s="110"/>
      <c r="V14" s="340"/>
    </row>
    <row r="15" spans="1:22" ht="15" customHeight="1" x14ac:dyDescent="0.2">
      <c r="A15" s="216" t="s">
        <v>14</v>
      </c>
      <c r="B15" s="3" t="s">
        <v>245</v>
      </c>
      <c r="C15" s="348">
        <v>39264684.670000002</v>
      </c>
      <c r="D15" s="347">
        <v>444377.62</v>
      </c>
      <c r="E15" s="152">
        <f t="shared" si="2"/>
        <v>38820307.050000004</v>
      </c>
      <c r="F15" s="153"/>
      <c r="G15" s="355">
        <v>20963985.210000001</v>
      </c>
      <c r="H15" s="292">
        <f t="shared" si="0"/>
        <v>444377.62</v>
      </c>
      <c r="I15" s="293">
        <f t="shared" si="1"/>
        <v>20519607.59</v>
      </c>
      <c r="J15" s="217"/>
      <c r="K15" s="173">
        <f t="shared" si="3"/>
        <v>0.52857921921047757</v>
      </c>
      <c r="L15" s="174"/>
      <c r="M15" s="218"/>
      <c r="O15" s="218"/>
      <c r="P15" s="218"/>
      <c r="Q15" s="218"/>
      <c r="R15" s="218"/>
      <c r="T15" s="110"/>
      <c r="U15" s="110"/>
      <c r="V15" s="340"/>
    </row>
    <row r="16" spans="1:22" ht="15" customHeight="1" x14ac:dyDescent="0.2">
      <c r="A16" s="216" t="s">
        <v>16</v>
      </c>
      <c r="B16" s="3" t="s">
        <v>246</v>
      </c>
      <c r="C16" s="348">
        <v>32548542.449999999</v>
      </c>
      <c r="D16" s="347">
        <v>77715.25</v>
      </c>
      <c r="E16" s="152">
        <f t="shared" si="2"/>
        <v>32470827.199999999</v>
      </c>
      <c r="F16" s="153"/>
      <c r="G16" s="355">
        <v>19224686.070000004</v>
      </c>
      <c r="H16" s="292">
        <f t="shared" si="0"/>
        <v>77715.25</v>
      </c>
      <c r="I16" s="293">
        <f t="shared" si="1"/>
        <v>19146970.820000004</v>
      </c>
      <c r="J16" s="217"/>
      <c r="K16" s="173">
        <f t="shared" si="3"/>
        <v>0.58966686318357808</v>
      </c>
      <c r="L16" s="174"/>
      <c r="M16" s="218"/>
      <c r="O16" s="218"/>
      <c r="P16" s="218"/>
      <c r="Q16" s="218"/>
      <c r="R16" s="218"/>
      <c r="T16" s="110"/>
      <c r="U16" s="110"/>
      <c r="V16" s="340"/>
    </row>
    <row r="17" spans="1:22" ht="15" customHeight="1" x14ac:dyDescent="0.2">
      <c r="A17" s="216" t="s">
        <v>18</v>
      </c>
      <c r="B17" s="3" t="s">
        <v>19</v>
      </c>
      <c r="C17" s="348">
        <v>32944747.329999998</v>
      </c>
      <c r="D17" s="347">
        <v>1804810.17</v>
      </c>
      <c r="E17" s="152">
        <f t="shared" si="2"/>
        <v>31139937.159999996</v>
      </c>
      <c r="F17" s="153"/>
      <c r="G17" s="355">
        <v>18357817.559999995</v>
      </c>
      <c r="H17" s="292">
        <f t="shared" si="0"/>
        <v>1804810.17</v>
      </c>
      <c r="I17" s="293">
        <f t="shared" si="1"/>
        <v>16553007.389999995</v>
      </c>
      <c r="J17" s="217"/>
      <c r="K17" s="173">
        <f t="shared" si="3"/>
        <v>0.53156842626075473</v>
      </c>
      <c r="L17" s="174"/>
      <c r="M17" s="218"/>
      <c r="O17" s="218"/>
      <c r="P17" s="218"/>
      <c r="Q17" s="218"/>
      <c r="R17" s="218"/>
      <c r="T17" s="110"/>
      <c r="U17" s="110"/>
      <c r="V17" s="340"/>
    </row>
    <row r="18" spans="1:22" ht="15" customHeight="1" x14ac:dyDescent="0.2">
      <c r="A18" s="216" t="s">
        <v>20</v>
      </c>
      <c r="B18" s="3" t="s">
        <v>247</v>
      </c>
      <c r="C18" s="348">
        <v>77327099.400000006</v>
      </c>
      <c r="D18" s="347">
        <v>149535.92000000001</v>
      </c>
      <c r="E18" s="152">
        <f t="shared" si="2"/>
        <v>77177563.480000004</v>
      </c>
      <c r="F18" s="153"/>
      <c r="G18" s="355">
        <v>44893717.459999993</v>
      </c>
      <c r="H18" s="292">
        <f t="shared" si="0"/>
        <v>149535.92000000001</v>
      </c>
      <c r="I18" s="293">
        <f t="shared" si="1"/>
        <v>44744181.539999992</v>
      </c>
      <c r="J18" s="217"/>
      <c r="K18" s="173">
        <f t="shared" si="3"/>
        <v>0.57975633749561317</v>
      </c>
      <c r="L18" s="174"/>
      <c r="M18" s="218"/>
      <c r="O18" s="218"/>
      <c r="P18" s="218"/>
      <c r="Q18" s="218"/>
      <c r="R18" s="218"/>
      <c r="T18" s="110"/>
      <c r="U18" s="110"/>
      <c r="V18" s="340"/>
    </row>
    <row r="19" spans="1:22" ht="15" customHeight="1" x14ac:dyDescent="0.2">
      <c r="A19" s="216" t="s">
        <v>21</v>
      </c>
      <c r="B19" s="3" t="s">
        <v>200</v>
      </c>
      <c r="C19" s="346">
        <v>50074601.880000003</v>
      </c>
      <c r="D19" s="347">
        <v>37679.86</v>
      </c>
      <c r="E19" s="152">
        <f t="shared" si="2"/>
        <v>50036922.020000003</v>
      </c>
      <c r="F19" s="153"/>
      <c r="G19" s="355">
        <v>30524152.79999999</v>
      </c>
      <c r="H19" s="292">
        <f t="shared" si="0"/>
        <v>37679.86</v>
      </c>
      <c r="I19" s="293">
        <f t="shared" si="1"/>
        <v>30486472.93999999</v>
      </c>
      <c r="J19" s="217"/>
      <c r="K19" s="173">
        <f t="shared" si="3"/>
        <v>0.60927954217116709</v>
      </c>
      <c r="L19" s="174"/>
      <c r="M19" s="218"/>
      <c r="O19" s="218"/>
      <c r="P19" s="218"/>
      <c r="Q19" s="218"/>
      <c r="R19" s="218"/>
      <c r="T19" s="110"/>
      <c r="U19" s="110"/>
      <c r="V19" s="340"/>
    </row>
    <row r="20" spans="1:22" ht="15" customHeight="1" x14ac:dyDescent="0.2">
      <c r="A20" s="216" t="s">
        <v>23</v>
      </c>
      <c r="B20" s="200" t="s">
        <v>79</v>
      </c>
      <c r="C20" s="348">
        <v>16850458.350000001</v>
      </c>
      <c r="D20" s="347">
        <v>434007.46</v>
      </c>
      <c r="E20" s="152">
        <f t="shared" si="2"/>
        <v>16416450.890000001</v>
      </c>
      <c r="F20" s="153"/>
      <c r="G20" s="355">
        <v>8436644.6400000006</v>
      </c>
      <c r="H20" s="292">
        <f t="shared" si="0"/>
        <v>434007.46</v>
      </c>
      <c r="I20" s="293">
        <f t="shared" si="1"/>
        <v>8002637.1800000006</v>
      </c>
      <c r="J20" s="217"/>
      <c r="K20" s="173">
        <f t="shared" si="3"/>
        <v>0.48747669235101038</v>
      </c>
      <c r="L20" s="174"/>
      <c r="M20" s="218"/>
      <c r="O20" s="218"/>
      <c r="P20" s="218"/>
      <c r="Q20" s="218"/>
      <c r="R20" s="218"/>
      <c r="T20" s="110"/>
      <c r="U20" s="110"/>
      <c r="V20" s="340"/>
    </row>
    <row r="21" spans="1:22" ht="15" customHeight="1" x14ac:dyDescent="0.2">
      <c r="A21" s="45" t="s">
        <v>155</v>
      </c>
      <c r="B21" s="3" t="s">
        <v>248</v>
      </c>
      <c r="C21" s="348">
        <v>43466475.340000004</v>
      </c>
      <c r="D21" s="347">
        <v>801161.64</v>
      </c>
      <c r="E21" s="152">
        <f>C21-D21</f>
        <v>42665313.700000003</v>
      </c>
      <c r="F21" s="153"/>
      <c r="G21" s="355">
        <v>23907073.160000008</v>
      </c>
      <c r="H21" s="292">
        <f>+D21</f>
        <v>801161.64</v>
      </c>
      <c r="I21" s="293">
        <f>G21-H21</f>
        <v>23105911.520000007</v>
      </c>
      <c r="J21" s="217"/>
      <c r="K21" s="173">
        <f>+I21/E21</f>
        <v>0.54156197426482311</v>
      </c>
      <c r="L21" s="174"/>
      <c r="M21" s="218"/>
      <c r="O21" s="218"/>
      <c r="P21" s="218"/>
      <c r="Q21" s="218"/>
      <c r="R21" s="218"/>
      <c r="T21" s="110"/>
      <c r="U21" s="110"/>
      <c r="V21" s="340"/>
    </row>
    <row r="22" spans="1:22" ht="15" customHeight="1" x14ac:dyDescent="0.2">
      <c r="A22" s="216" t="s">
        <v>28</v>
      </c>
      <c r="B22" s="3" t="s">
        <v>64</v>
      </c>
      <c r="C22" s="348">
        <v>75206773.099999994</v>
      </c>
      <c r="D22" s="347">
        <v>1115991.74</v>
      </c>
      <c r="E22" s="152">
        <f t="shared" si="2"/>
        <v>74090781.359999999</v>
      </c>
      <c r="F22" s="153"/>
      <c r="G22" s="355">
        <v>44873841.609999992</v>
      </c>
      <c r="H22" s="292">
        <f t="shared" si="0"/>
        <v>1115991.74</v>
      </c>
      <c r="I22" s="293">
        <f t="shared" si="1"/>
        <v>43757849.86999999</v>
      </c>
      <c r="J22" s="217"/>
      <c r="K22" s="173">
        <f t="shared" si="3"/>
        <v>0.59059776488770976</v>
      </c>
      <c r="L22" s="174"/>
      <c r="M22" s="218"/>
      <c r="O22" s="218"/>
      <c r="P22" s="218"/>
      <c r="Q22" s="218"/>
      <c r="R22" s="218"/>
      <c r="T22" s="110"/>
      <c r="U22" s="110"/>
      <c r="V22" s="340"/>
    </row>
    <row r="23" spans="1:22" ht="15" customHeight="1" x14ac:dyDescent="0.2">
      <c r="A23" s="216" t="s">
        <v>24</v>
      </c>
      <c r="B23" s="3" t="s">
        <v>25</v>
      </c>
      <c r="C23" s="346">
        <v>160772084.24000001</v>
      </c>
      <c r="D23" s="347">
        <v>2957664.22</v>
      </c>
      <c r="E23" s="152">
        <f t="shared" si="2"/>
        <v>157814420.02000001</v>
      </c>
      <c r="F23" s="153"/>
      <c r="G23" s="355">
        <v>107812539.81000003</v>
      </c>
      <c r="H23" s="292">
        <f t="shared" si="0"/>
        <v>2957664.22</v>
      </c>
      <c r="I23" s="293">
        <f t="shared" si="1"/>
        <v>104854875.59000003</v>
      </c>
      <c r="J23" s="217"/>
      <c r="K23" s="173">
        <f t="shared" si="3"/>
        <v>0.66441885080407515</v>
      </c>
      <c r="L23" s="174"/>
      <c r="M23" s="218"/>
      <c r="O23" s="218"/>
      <c r="P23" s="218"/>
      <c r="Q23" s="218"/>
      <c r="R23" s="218"/>
      <c r="T23" s="110"/>
      <c r="U23" s="110"/>
      <c r="V23" s="340"/>
    </row>
    <row r="24" spans="1:22" ht="15" customHeight="1" x14ac:dyDescent="0.2">
      <c r="A24" s="216" t="s">
        <v>26</v>
      </c>
      <c r="B24" s="3" t="s">
        <v>234</v>
      </c>
      <c r="C24" s="348">
        <v>21469937.09</v>
      </c>
      <c r="D24" s="347">
        <v>241998.41</v>
      </c>
      <c r="E24" s="152">
        <f t="shared" si="2"/>
        <v>21227938.68</v>
      </c>
      <c r="F24" s="153"/>
      <c r="G24" s="355">
        <v>11122279.080000004</v>
      </c>
      <c r="H24" s="292">
        <f t="shared" si="0"/>
        <v>241998.41</v>
      </c>
      <c r="I24" s="293">
        <f t="shared" si="1"/>
        <v>10880280.670000004</v>
      </c>
      <c r="J24" s="217"/>
      <c r="K24" s="173">
        <f t="shared" si="3"/>
        <v>0.51254532218198412</v>
      </c>
      <c r="L24" s="174"/>
      <c r="M24" s="218"/>
      <c r="O24" s="218"/>
      <c r="P24" s="218"/>
      <c r="Q24" s="218"/>
      <c r="R24" s="218"/>
      <c r="T24" s="110"/>
      <c r="U24" s="110"/>
      <c r="V24" s="340"/>
    </row>
    <row r="25" spans="1:22" ht="15" customHeight="1" x14ac:dyDescent="0.2">
      <c r="A25" s="216" t="s">
        <v>29</v>
      </c>
      <c r="B25" s="3" t="s">
        <v>203</v>
      </c>
      <c r="C25" s="348">
        <v>55279451.07</v>
      </c>
      <c r="D25" s="347">
        <v>203928.52</v>
      </c>
      <c r="E25" s="152">
        <f t="shared" si="2"/>
        <v>55075522.549999997</v>
      </c>
      <c r="F25" s="153"/>
      <c r="G25" s="355">
        <v>35652805.88000001</v>
      </c>
      <c r="H25" s="292">
        <f t="shared" si="0"/>
        <v>203928.52</v>
      </c>
      <c r="I25" s="293">
        <f t="shared" si="1"/>
        <v>35448877.360000007</v>
      </c>
      <c r="J25" s="217"/>
      <c r="K25" s="173">
        <f t="shared" si="3"/>
        <v>0.64364123513885774</v>
      </c>
      <c r="L25" s="174"/>
      <c r="M25" s="218"/>
      <c r="O25" s="218"/>
      <c r="P25" s="218"/>
      <c r="Q25" s="218"/>
      <c r="R25" s="218"/>
      <c r="T25" s="110"/>
      <c r="U25" s="110"/>
      <c r="V25" s="340"/>
    </row>
    <row r="26" spans="1:22" ht="15" customHeight="1" x14ac:dyDescent="0.2">
      <c r="A26" s="216" t="s">
        <v>31</v>
      </c>
      <c r="B26" s="3" t="s">
        <v>204</v>
      </c>
      <c r="C26" s="348">
        <v>42396395.149999999</v>
      </c>
      <c r="D26" s="347">
        <v>124104.3</v>
      </c>
      <c r="E26" s="152">
        <f t="shared" si="2"/>
        <v>42272290.850000001</v>
      </c>
      <c r="F26" s="153"/>
      <c r="G26" s="355">
        <v>24835396.79000001</v>
      </c>
      <c r="H26" s="292">
        <f t="shared" si="0"/>
        <v>124104.3</v>
      </c>
      <c r="I26" s="293">
        <f t="shared" si="1"/>
        <v>24711292.49000001</v>
      </c>
      <c r="J26" s="217"/>
      <c r="K26" s="173">
        <f t="shared" si="3"/>
        <v>0.58457424457278995</v>
      </c>
      <c r="L26" s="174"/>
      <c r="M26" s="218"/>
      <c r="O26" s="218"/>
      <c r="P26" s="218"/>
      <c r="Q26" s="218"/>
      <c r="R26" s="218"/>
      <c r="T26" s="110"/>
      <c r="U26" s="110"/>
      <c r="V26" s="340"/>
    </row>
    <row r="27" spans="1:22" ht="15" customHeight="1" x14ac:dyDescent="0.2">
      <c r="A27" s="45" t="s">
        <v>172</v>
      </c>
      <c r="B27" s="3" t="s">
        <v>65</v>
      </c>
      <c r="C27" s="348">
        <v>40858972.689999998</v>
      </c>
      <c r="D27" s="347">
        <v>749431.63</v>
      </c>
      <c r="E27" s="152">
        <f t="shared" si="2"/>
        <v>40109541.059999995</v>
      </c>
      <c r="F27" s="153"/>
      <c r="G27" s="277">
        <v>20474905.510000005</v>
      </c>
      <c r="H27" s="292">
        <f t="shared" si="0"/>
        <v>749431.63</v>
      </c>
      <c r="I27" s="293">
        <f t="shared" si="1"/>
        <v>19725473.880000006</v>
      </c>
      <c r="J27" s="217"/>
      <c r="K27" s="173">
        <f t="shared" si="3"/>
        <v>0.49179006686944149</v>
      </c>
      <c r="L27" s="174"/>
      <c r="M27" s="218"/>
      <c r="O27" s="218"/>
      <c r="P27" s="218"/>
      <c r="Q27" s="218"/>
      <c r="R27" s="218"/>
      <c r="T27" s="110"/>
      <c r="U27" s="110"/>
      <c r="V27" s="340"/>
    </row>
    <row r="28" spans="1:22" ht="15" customHeight="1" x14ac:dyDescent="0.2">
      <c r="A28" s="294" t="s">
        <v>156</v>
      </c>
      <c r="B28" s="3" t="s">
        <v>205</v>
      </c>
      <c r="C28" s="348">
        <v>24800211.460000001</v>
      </c>
      <c r="D28" s="347">
        <v>218862.23</v>
      </c>
      <c r="E28" s="152">
        <f t="shared" si="2"/>
        <v>24581349.23</v>
      </c>
      <c r="F28" s="153"/>
      <c r="G28" s="355">
        <v>12958898.830000006</v>
      </c>
      <c r="H28" s="292">
        <f t="shared" si="0"/>
        <v>218862.23</v>
      </c>
      <c r="I28" s="293">
        <f t="shared" si="1"/>
        <v>12740036.600000005</v>
      </c>
      <c r="J28" s="217"/>
      <c r="K28" s="173">
        <f t="shared" si="3"/>
        <v>0.51828060700799883</v>
      </c>
      <c r="L28" s="174"/>
      <c r="M28" s="218"/>
      <c r="O28" s="218"/>
      <c r="P28" s="218"/>
      <c r="Q28" s="218"/>
      <c r="R28" s="218"/>
      <c r="T28" s="110"/>
      <c r="U28" s="110"/>
      <c r="V28" s="340"/>
    </row>
    <row r="29" spans="1:22" ht="15" customHeight="1" x14ac:dyDescent="0.2">
      <c r="A29" s="216" t="s">
        <v>35</v>
      </c>
      <c r="B29" s="3" t="s">
        <v>201</v>
      </c>
      <c r="C29" s="348">
        <v>7166717.1699999999</v>
      </c>
      <c r="D29" s="347">
        <v>98273.54</v>
      </c>
      <c r="E29" s="152">
        <f t="shared" si="2"/>
        <v>7068443.6299999999</v>
      </c>
      <c r="F29" s="153"/>
      <c r="G29" s="355">
        <v>4091971.919999999</v>
      </c>
      <c r="H29" s="292">
        <f t="shared" si="0"/>
        <v>98273.54</v>
      </c>
      <c r="I29" s="293">
        <f t="shared" si="1"/>
        <v>3993698.379999999</v>
      </c>
      <c r="J29" s="217"/>
      <c r="K29" s="173">
        <f t="shared" si="3"/>
        <v>0.56500392293571977</v>
      </c>
      <c r="L29" s="174"/>
      <c r="M29" s="218"/>
      <c r="O29" s="218"/>
      <c r="P29" s="218"/>
      <c r="Q29" s="218"/>
      <c r="R29" s="218"/>
      <c r="T29" s="110"/>
      <c r="U29" s="110"/>
      <c r="V29" s="340"/>
    </row>
    <row r="30" spans="1:22" ht="15" customHeight="1" x14ac:dyDescent="0.2">
      <c r="A30" s="216" t="s">
        <v>37</v>
      </c>
      <c r="B30" s="3" t="s">
        <v>38</v>
      </c>
      <c r="C30" s="348">
        <v>29937214.82</v>
      </c>
      <c r="D30" s="347">
        <v>1093923.3899999999</v>
      </c>
      <c r="E30" s="152">
        <f t="shared" si="2"/>
        <v>28843291.43</v>
      </c>
      <c r="F30" s="153"/>
      <c r="G30" s="355">
        <v>16091102.889999999</v>
      </c>
      <c r="H30" s="292">
        <f t="shared" si="0"/>
        <v>1093923.3899999999</v>
      </c>
      <c r="I30" s="293">
        <f t="shared" si="1"/>
        <v>14997179.499999998</v>
      </c>
      <c r="J30" s="217"/>
      <c r="K30" s="173">
        <f t="shared" si="3"/>
        <v>0.51995381790586437</v>
      </c>
      <c r="L30" s="174"/>
      <c r="M30" s="218"/>
      <c r="O30" s="218"/>
      <c r="P30" s="218"/>
      <c r="Q30" s="218"/>
      <c r="R30" s="218"/>
      <c r="T30" s="110"/>
      <c r="U30" s="110"/>
      <c r="V30" s="340"/>
    </row>
    <row r="31" spans="1:22" ht="15" customHeight="1" x14ac:dyDescent="0.2">
      <c r="A31" s="216" t="s">
        <v>39</v>
      </c>
      <c r="B31" s="3" t="s">
        <v>202</v>
      </c>
      <c r="C31" s="348">
        <v>22938850.199999999</v>
      </c>
      <c r="D31" s="347">
        <v>502053.01</v>
      </c>
      <c r="E31" s="152">
        <f t="shared" si="2"/>
        <v>22436797.189999998</v>
      </c>
      <c r="F31" s="153"/>
      <c r="G31" s="355">
        <v>11410307.219999999</v>
      </c>
      <c r="H31" s="292">
        <f t="shared" si="0"/>
        <v>502053.01</v>
      </c>
      <c r="I31" s="293">
        <f t="shared" si="1"/>
        <v>10908254.209999999</v>
      </c>
      <c r="J31" s="217"/>
      <c r="K31" s="173">
        <f t="shared" si="3"/>
        <v>0.48617697604637483</v>
      </c>
      <c r="L31" s="174"/>
      <c r="M31" s="218"/>
      <c r="O31" s="218"/>
      <c r="P31" s="218"/>
      <c r="Q31" s="218"/>
      <c r="R31" s="218"/>
      <c r="T31" s="110"/>
      <c r="U31" s="110"/>
      <c r="V31" s="340"/>
    </row>
    <row r="32" spans="1:22" ht="15" customHeight="1" x14ac:dyDescent="0.2">
      <c r="A32" s="216" t="s">
        <v>41</v>
      </c>
      <c r="B32" s="3" t="s">
        <v>206</v>
      </c>
      <c r="C32" s="348">
        <v>42064682.829999998</v>
      </c>
      <c r="D32" s="347">
        <v>2914986.59</v>
      </c>
      <c r="E32" s="152">
        <f t="shared" si="2"/>
        <v>39149696.239999995</v>
      </c>
      <c r="F32" s="153"/>
      <c r="G32" s="355">
        <v>26852471.580000002</v>
      </c>
      <c r="H32" s="292">
        <f t="shared" si="0"/>
        <v>2914986.59</v>
      </c>
      <c r="I32" s="293">
        <f t="shared" si="1"/>
        <v>23937484.990000002</v>
      </c>
      <c r="J32" s="217"/>
      <c r="K32" s="173">
        <f t="shared" si="3"/>
        <v>0.61143475656249446</v>
      </c>
      <c r="L32" s="174"/>
      <c r="M32" s="218"/>
      <c r="O32" s="218"/>
      <c r="P32" s="218"/>
      <c r="Q32" s="218"/>
      <c r="R32" s="218"/>
      <c r="T32" s="110"/>
      <c r="U32" s="110"/>
      <c r="V32" s="340"/>
    </row>
    <row r="33" spans="1:22" ht="15" customHeight="1" x14ac:dyDescent="0.2">
      <c r="A33" s="216" t="s">
        <v>48</v>
      </c>
      <c r="B33" s="3" t="s">
        <v>78</v>
      </c>
      <c r="C33" s="348">
        <v>37711295.659999996</v>
      </c>
      <c r="D33" s="347">
        <v>235702.64</v>
      </c>
      <c r="E33" s="152">
        <f t="shared" si="2"/>
        <v>37475593.019999996</v>
      </c>
      <c r="F33" s="153"/>
      <c r="G33" s="355">
        <v>25086566.789999999</v>
      </c>
      <c r="H33" s="292">
        <f t="shared" si="0"/>
        <v>235702.64</v>
      </c>
      <c r="I33" s="293">
        <f t="shared" si="1"/>
        <v>24850864.149999999</v>
      </c>
      <c r="J33" s="217"/>
      <c r="K33" s="173">
        <f>+I33/E33</f>
        <v>0.66312130502478173</v>
      </c>
      <c r="L33" s="174"/>
      <c r="M33" s="218"/>
      <c r="O33" s="218"/>
      <c r="P33" s="370"/>
      <c r="Q33" s="218"/>
      <c r="R33" s="218"/>
      <c r="T33" s="110"/>
      <c r="U33" s="110"/>
      <c r="V33" s="340"/>
    </row>
    <row r="34" spans="1:22" ht="15" customHeight="1" x14ac:dyDescent="0.2">
      <c r="A34" s="216" t="s">
        <v>43</v>
      </c>
      <c r="B34" s="3" t="s">
        <v>171</v>
      </c>
      <c r="C34" s="348">
        <v>25947980.260000002</v>
      </c>
      <c r="D34" s="347">
        <v>359210.05</v>
      </c>
      <c r="E34" s="152">
        <f t="shared" si="2"/>
        <v>25588770.210000001</v>
      </c>
      <c r="F34" s="153"/>
      <c r="G34" s="355">
        <v>14184361.000000006</v>
      </c>
      <c r="H34" s="292">
        <f t="shared" si="0"/>
        <v>359210.05</v>
      </c>
      <c r="I34" s="293">
        <f>G34-H34</f>
        <v>13825150.950000005</v>
      </c>
      <c r="J34" s="217"/>
      <c r="K34" s="173">
        <f>+I34/E34</f>
        <v>0.54028196105325865</v>
      </c>
      <c r="L34" s="174"/>
      <c r="M34" s="218"/>
      <c r="O34" s="218"/>
      <c r="P34" s="218"/>
      <c r="Q34" s="218"/>
      <c r="R34" s="218"/>
      <c r="T34" s="110"/>
      <c r="U34" s="110"/>
      <c r="V34" s="340"/>
    </row>
    <row r="35" spans="1:22" ht="15" customHeight="1" x14ac:dyDescent="0.2">
      <c r="A35" s="216" t="s">
        <v>44</v>
      </c>
      <c r="B35" s="3" t="s">
        <v>77</v>
      </c>
      <c r="C35" s="348">
        <v>40067856.729999997</v>
      </c>
      <c r="D35" s="347">
        <v>641620.9</v>
      </c>
      <c r="E35" s="152">
        <f t="shared" si="2"/>
        <v>39426235.829999998</v>
      </c>
      <c r="F35" s="153"/>
      <c r="G35" s="355">
        <v>23142186.039999995</v>
      </c>
      <c r="H35" s="292">
        <f t="shared" si="0"/>
        <v>641620.9</v>
      </c>
      <c r="I35" s="293">
        <f t="shared" si="1"/>
        <v>22500565.139999997</v>
      </c>
      <c r="J35" s="217"/>
      <c r="K35" s="173">
        <f t="shared" si="3"/>
        <v>0.5707003132893298</v>
      </c>
      <c r="L35" s="174"/>
      <c r="M35" s="218"/>
      <c r="O35" s="218"/>
      <c r="P35" s="218"/>
      <c r="Q35" s="218"/>
      <c r="R35" s="218"/>
      <c r="T35" s="110"/>
      <c r="U35" s="110"/>
      <c r="V35" s="340"/>
    </row>
    <row r="36" spans="1:22" ht="15" customHeight="1" x14ac:dyDescent="0.2">
      <c r="A36" s="216" t="s">
        <v>45</v>
      </c>
      <c r="B36" s="3" t="s">
        <v>46</v>
      </c>
      <c r="C36" s="348">
        <v>155459786.43000001</v>
      </c>
      <c r="D36" s="347">
        <v>868929.9</v>
      </c>
      <c r="E36" s="152">
        <f t="shared" si="2"/>
        <v>154590856.53</v>
      </c>
      <c r="F36" s="153"/>
      <c r="G36" s="355">
        <v>87162664.089999959</v>
      </c>
      <c r="H36" s="292">
        <f t="shared" si="0"/>
        <v>868929.9</v>
      </c>
      <c r="I36" s="293">
        <f t="shared" si="1"/>
        <v>86293734.189999953</v>
      </c>
      <c r="J36" s="217"/>
      <c r="K36" s="173">
        <f t="shared" si="3"/>
        <v>0.5582072324779036</v>
      </c>
      <c r="L36" s="174"/>
      <c r="M36" s="218"/>
      <c r="O36" s="218"/>
      <c r="P36" s="218"/>
      <c r="Q36" s="218"/>
      <c r="R36" s="218"/>
      <c r="T36" s="110"/>
      <c r="U36" s="110"/>
      <c r="V36" s="340"/>
    </row>
    <row r="37" spans="1:22" ht="15" customHeight="1" x14ac:dyDescent="0.2">
      <c r="A37" s="216" t="s">
        <v>47</v>
      </c>
      <c r="B37" s="3" t="s">
        <v>207</v>
      </c>
      <c r="C37" s="348">
        <v>29529827.5</v>
      </c>
      <c r="D37" s="347">
        <v>292246.67</v>
      </c>
      <c r="E37" s="152">
        <f t="shared" si="2"/>
        <v>29237580.829999998</v>
      </c>
      <c r="F37" s="153"/>
      <c r="G37" s="355">
        <v>18940310.699999999</v>
      </c>
      <c r="H37" s="292">
        <f t="shared" si="0"/>
        <v>292246.67</v>
      </c>
      <c r="I37" s="293">
        <f t="shared" si="1"/>
        <v>18648064.029999997</v>
      </c>
      <c r="J37" s="217"/>
      <c r="K37" s="173">
        <f t="shared" si="3"/>
        <v>0.63781145705685938</v>
      </c>
      <c r="L37" s="174"/>
      <c r="M37" s="218"/>
      <c r="O37" s="218"/>
      <c r="P37" s="218"/>
      <c r="Q37" s="218"/>
      <c r="R37" s="218"/>
      <c r="T37" s="110"/>
      <c r="U37" s="110"/>
      <c r="V37" s="340"/>
    </row>
    <row r="38" spans="1:22" ht="15" customHeight="1" x14ac:dyDescent="0.2">
      <c r="A38" s="216" t="s">
        <v>49</v>
      </c>
      <c r="B38" s="3" t="s">
        <v>50</v>
      </c>
      <c r="C38" s="346">
        <v>98139228.159999996</v>
      </c>
      <c r="D38" s="347">
        <v>1001986.95</v>
      </c>
      <c r="E38" s="152">
        <f t="shared" si="2"/>
        <v>97137241.209999993</v>
      </c>
      <c r="F38" s="153"/>
      <c r="G38" s="355">
        <v>63586639.579999946</v>
      </c>
      <c r="H38" s="292">
        <f t="shared" si="0"/>
        <v>1001986.95</v>
      </c>
      <c r="I38" s="293">
        <f t="shared" si="1"/>
        <v>62584652.629999943</v>
      </c>
      <c r="J38" s="217"/>
      <c r="K38" s="173">
        <f t="shared" si="3"/>
        <v>0.64429102422930495</v>
      </c>
      <c r="L38" s="174"/>
      <c r="M38" s="218"/>
      <c r="O38" s="218"/>
      <c r="P38" s="218"/>
      <c r="Q38" s="218"/>
      <c r="R38" s="218"/>
      <c r="T38" s="110"/>
      <c r="U38" s="110"/>
      <c r="V38" s="340"/>
    </row>
    <row r="39" spans="1:22" ht="15" customHeight="1" x14ac:dyDescent="0.2">
      <c r="C39" s="154"/>
      <c r="D39" s="155"/>
      <c r="E39" s="155"/>
      <c r="F39" s="156"/>
      <c r="G39" s="154"/>
      <c r="H39" s="155"/>
      <c r="I39" s="155"/>
      <c r="J39" s="217"/>
      <c r="K39" s="295"/>
      <c r="L39" s="295"/>
    </row>
    <row r="40" spans="1:22" ht="15" customHeight="1" x14ac:dyDescent="0.2">
      <c r="B40" s="109" t="s">
        <v>51</v>
      </c>
      <c r="C40" s="154">
        <f>SUM(C8:C39)</f>
        <v>1459874219.8000004</v>
      </c>
      <c r="D40" s="155">
        <f>SUM(D8:D39)</f>
        <v>22098655.440000001</v>
      </c>
      <c r="E40" s="155">
        <f>SUM(E8:E39)</f>
        <v>1437775564.3599997</v>
      </c>
      <c r="F40" s="156"/>
      <c r="G40" s="154">
        <f>SUM(G8:G39)</f>
        <v>869201834.40999997</v>
      </c>
      <c r="H40" s="155">
        <f>SUM(H8:H39)</f>
        <v>22098655.440000001</v>
      </c>
      <c r="I40" s="155">
        <f>SUM(I8:I39)</f>
        <v>847103178.97000003</v>
      </c>
      <c r="J40" s="217"/>
      <c r="K40" s="295">
        <f>+I40/E40</f>
        <v>0.58917622469614928</v>
      </c>
      <c r="L40" s="295"/>
    </row>
    <row r="41" spans="1:22" ht="15" customHeight="1" x14ac:dyDescent="0.2">
      <c r="A41" s="296" t="s">
        <v>189</v>
      </c>
      <c r="C41" s="154"/>
      <c r="D41" s="155"/>
      <c r="E41" s="155"/>
      <c r="F41" s="156"/>
      <c r="G41" s="154"/>
      <c r="H41" s="155"/>
      <c r="I41" s="155"/>
      <c r="J41" s="217"/>
      <c r="L41" s="295"/>
    </row>
    <row r="42" spans="1:22" ht="11.25" customHeight="1" x14ac:dyDescent="0.2">
      <c r="A42" s="297"/>
      <c r="C42" s="154"/>
      <c r="D42" s="155"/>
      <c r="E42" s="155"/>
      <c r="F42" s="156"/>
      <c r="G42" s="154"/>
      <c r="H42" s="155"/>
      <c r="I42" s="155"/>
      <c r="J42" s="217"/>
      <c r="L42" s="295"/>
    </row>
    <row r="43" spans="1:22" ht="12" customHeight="1" x14ac:dyDescent="0.2">
      <c r="A43" s="211" t="str">
        <f>'FY2015 Detail'!B40</f>
        <v>MnSCU Finance Division</v>
      </c>
      <c r="C43" s="154"/>
      <c r="D43" s="155"/>
      <c r="E43" s="155"/>
      <c r="F43" s="156"/>
      <c r="G43" s="154"/>
      <c r="H43" s="155"/>
      <c r="I43" s="155"/>
      <c r="J43" s="217"/>
      <c r="K43" s="295"/>
      <c r="L43" s="295"/>
    </row>
    <row r="44" spans="1:22" ht="12" customHeight="1" x14ac:dyDescent="0.2">
      <c r="A44" s="211" t="str">
        <f>'FY2015 Detail'!B41</f>
        <v>s:\finance\bargain\FY17 allocation\Summary of FY2017 Institutional Allocation Draft</v>
      </c>
      <c r="C44" s="154"/>
      <c r="D44" s="155"/>
      <c r="E44" s="155"/>
      <c r="F44" s="156"/>
      <c r="G44" s="154"/>
      <c r="H44" s="155"/>
      <c r="I44" s="155"/>
      <c r="J44" s="217"/>
      <c r="K44" s="295"/>
      <c r="L44" s="295"/>
    </row>
    <row r="45" spans="1:22" ht="12" customHeight="1" x14ac:dyDescent="0.2">
      <c r="A45" s="211"/>
      <c r="C45" s="154"/>
      <c r="D45" s="155"/>
      <c r="E45" s="155"/>
      <c r="F45" s="156"/>
      <c r="G45" s="154"/>
      <c r="H45" s="155"/>
      <c r="I45" s="155"/>
      <c r="J45" s="217"/>
      <c r="K45" s="295"/>
      <c r="L45" s="295"/>
    </row>
    <row r="46" spans="1:22" ht="15" customHeight="1" x14ac:dyDescent="0.2">
      <c r="C46" s="154"/>
      <c r="D46" s="154"/>
      <c r="E46" s="154"/>
      <c r="F46" s="156"/>
      <c r="G46" s="154"/>
      <c r="H46" s="154"/>
      <c r="I46" s="154"/>
      <c r="J46" s="217"/>
      <c r="K46" s="295"/>
      <c r="L46" s="295"/>
    </row>
    <row r="47" spans="1:22" ht="15" customHeight="1" x14ac:dyDescent="0.2">
      <c r="C47" s="154"/>
      <c r="D47" s="155"/>
      <c r="E47" s="155"/>
      <c r="F47" s="156"/>
      <c r="G47" s="154"/>
      <c r="H47" s="155"/>
      <c r="I47" s="155"/>
      <c r="J47" s="217"/>
      <c r="K47" s="295"/>
      <c r="L47" s="295"/>
    </row>
    <row r="48" spans="1:22" ht="15" customHeight="1" x14ac:dyDescent="0.2">
      <c r="C48" s="154"/>
      <c r="D48" s="155"/>
      <c r="E48" s="155"/>
      <c r="F48" s="156"/>
      <c r="G48" s="154"/>
      <c r="H48" s="155"/>
      <c r="I48" s="155"/>
      <c r="J48" s="217"/>
      <c r="K48" s="295"/>
      <c r="L48" s="295"/>
    </row>
  </sheetData>
  <phoneticPr fontId="10" type="noConversion"/>
  <pageMargins left="0.75" right="0.56999999999999995" top="0.49" bottom="0.26" header="0.47" footer="0.26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52"/>
  <sheetViews>
    <sheetView tabSelected="1" zoomScale="80" zoomScaleNormal="80" workbookViewId="0">
      <pane xSplit="3" ySplit="5" topLeftCell="D6" activePane="bottomRight" state="frozen"/>
      <selection activeCell="F2" sqref="F2"/>
      <selection pane="topRight" activeCell="F2" sqref="F2"/>
      <selection pane="bottomLeft" activeCell="F2" sqref="F2"/>
      <selection pane="bottomRight" activeCell="Q23" sqref="Q23"/>
    </sheetView>
  </sheetViews>
  <sheetFormatPr defaultRowHeight="12.75" x14ac:dyDescent="0.2"/>
  <cols>
    <col min="1" max="1" width="4.7109375" hidden="1" customWidth="1"/>
    <col min="2" max="2" width="20.140625" hidden="1" customWidth="1"/>
    <col min="3" max="3" width="32.140625" bestFit="1" customWidth="1"/>
    <col min="4" max="4" width="8" style="109" customWidth="1"/>
    <col min="5" max="5" width="12.85546875" style="109" customWidth="1"/>
    <col min="6" max="6" width="13.85546875" style="109" customWidth="1"/>
    <col min="7" max="7" width="10.7109375" style="109" customWidth="1"/>
    <col min="8" max="8" width="10.5703125" style="109" customWidth="1"/>
    <col min="9" max="9" width="15.5703125" style="109" customWidth="1"/>
    <col min="10" max="10" width="12.42578125" style="110" customWidth="1"/>
    <col min="11" max="11" width="17" bestFit="1" customWidth="1"/>
    <col min="12" max="12" width="11" style="6" customWidth="1"/>
    <col min="13" max="13" width="13.140625" style="124" bestFit="1" customWidth="1"/>
    <col min="14" max="14" width="9" style="91" customWidth="1"/>
    <col min="15" max="15" width="12.5703125" customWidth="1"/>
    <col min="16" max="16" width="13.42578125" style="109" customWidth="1"/>
    <col min="17" max="17" width="14.28515625" style="109" customWidth="1"/>
    <col min="18" max="18" width="11.5703125" style="6" bestFit="1" customWidth="1"/>
    <col min="19" max="19" width="13" bestFit="1" customWidth="1"/>
    <col min="20" max="20" width="8.28515625" customWidth="1"/>
    <col min="21" max="21" width="2.7109375" customWidth="1"/>
    <col min="22" max="22" width="13.42578125" bestFit="1" customWidth="1"/>
    <col min="23" max="23" width="13.140625" customWidth="1"/>
    <col min="24" max="24" width="14.5703125" style="25" bestFit="1" customWidth="1"/>
    <col min="25" max="25" width="1.5703125" customWidth="1"/>
    <col min="27" max="27" width="11.5703125" bestFit="1" customWidth="1"/>
  </cols>
  <sheetData>
    <row r="1" spans="1:28" s="15" customFormat="1" ht="15.75" x14ac:dyDescent="0.25">
      <c r="A1" s="325"/>
      <c r="B1" s="87"/>
      <c r="D1" s="301"/>
      <c r="E1" s="157"/>
      <c r="F1" s="157"/>
      <c r="G1" s="157"/>
      <c r="H1" s="157"/>
      <c r="I1" s="95"/>
      <c r="J1" s="357"/>
      <c r="K1" s="29"/>
      <c r="L1" s="23"/>
      <c r="M1" s="122"/>
      <c r="N1" s="103"/>
      <c r="P1" s="113"/>
      <c r="Q1" s="146" t="s">
        <v>186</v>
      </c>
      <c r="R1" s="30"/>
      <c r="X1" s="372"/>
    </row>
    <row r="2" spans="1:28" s="15" customFormat="1" ht="24.75" customHeight="1" x14ac:dyDescent="0.2">
      <c r="A2" s="325"/>
      <c r="B2" s="325"/>
      <c r="C2" s="325"/>
      <c r="D2" s="157"/>
      <c r="E2" s="157"/>
      <c r="F2" s="157"/>
      <c r="G2" s="157"/>
      <c r="H2" s="157"/>
      <c r="I2" s="95"/>
      <c r="J2" s="357"/>
      <c r="K2" s="27" t="s">
        <v>175</v>
      </c>
      <c r="L2" s="26" t="s">
        <v>176</v>
      </c>
      <c r="M2" s="122"/>
      <c r="N2" s="92" t="s">
        <v>177</v>
      </c>
      <c r="O2" s="144" t="s">
        <v>192</v>
      </c>
      <c r="P2" s="144" t="s">
        <v>193</v>
      </c>
      <c r="Q2" s="96" t="s">
        <v>179</v>
      </c>
      <c r="R2" s="26" t="s">
        <v>182</v>
      </c>
      <c r="S2" s="27" t="s">
        <v>181</v>
      </c>
      <c r="T2" s="96" t="s">
        <v>185</v>
      </c>
      <c r="V2" s="342"/>
      <c r="W2" s="342"/>
      <c r="X2" s="372"/>
    </row>
    <row r="3" spans="1:28" s="15" customFormat="1" x14ac:dyDescent="0.2">
      <c r="A3" s="31"/>
      <c r="B3" s="20"/>
      <c r="C3" s="20"/>
      <c r="D3" s="302"/>
      <c r="E3" s="114" t="s">
        <v>54</v>
      </c>
      <c r="F3" s="114" t="s">
        <v>55</v>
      </c>
      <c r="G3" s="114" t="s">
        <v>57</v>
      </c>
      <c r="H3" s="114" t="s">
        <v>56</v>
      </c>
      <c r="I3" s="114" t="s">
        <v>58</v>
      </c>
      <c r="J3" s="358" t="s">
        <v>59</v>
      </c>
      <c r="K3" s="14" t="s">
        <v>60</v>
      </c>
      <c r="L3" s="24" t="s">
        <v>61</v>
      </c>
      <c r="M3" s="123" t="s">
        <v>53</v>
      </c>
      <c r="N3" s="93" t="s">
        <v>178</v>
      </c>
      <c r="O3" s="14" t="s">
        <v>62</v>
      </c>
      <c r="P3" s="114" t="s">
        <v>212</v>
      </c>
      <c r="Q3" s="114" t="s">
        <v>63</v>
      </c>
      <c r="R3" s="24" t="s">
        <v>66</v>
      </c>
      <c r="S3" s="14" t="s">
        <v>67</v>
      </c>
      <c r="T3" s="95" t="s">
        <v>162</v>
      </c>
      <c r="V3" s="95" t="s">
        <v>242</v>
      </c>
      <c r="W3" s="95" t="s">
        <v>243</v>
      </c>
      <c r="X3" s="95" t="s">
        <v>244</v>
      </c>
    </row>
    <row r="4" spans="1:28" ht="92.25" customHeight="1" x14ac:dyDescent="0.2">
      <c r="B4" s="1" t="s">
        <v>0</v>
      </c>
      <c r="C4" s="1" t="s">
        <v>1</v>
      </c>
      <c r="D4" s="303" t="s">
        <v>221</v>
      </c>
      <c r="E4" s="115" t="s">
        <v>68</v>
      </c>
      <c r="F4" s="115" t="s">
        <v>74</v>
      </c>
      <c r="G4" s="115" t="s">
        <v>69</v>
      </c>
      <c r="H4" s="359" t="s">
        <v>70</v>
      </c>
      <c r="I4" s="115" t="s">
        <v>71</v>
      </c>
      <c r="J4" s="360" t="s">
        <v>72</v>
      </c>
      <c r="K4" s="13" t="s">
        <v>75</v>
      </c>
      <c r="L4" s="21" t="s">
        <v>73</v>
      </c>
      <c r="M4" s="177" t="s">
        <v>211</v>
      </c>
      <c r="N4" s="104" t="s">
        <v>235</v>
      </c>
      <c r="O4" s="324" t="s">
        <v>236</v>
      </c>
      <c r="P4" s="115" t="s">
        <v>161</v>
      </c>
      <c r="Q4" s="117" t="s">
        <v>223</v>
      </c>
      <c r="R4" s="88" t="s">
        <v>232</v>
      </c>
      <c r="S4" s="33" t="s">
        <v>237</v>
      </c>
      <c r="T4" s="33" t="s">
        <v>238</v>
      </c>
      <c r="V4" s="298" t="s">
        <v>198</v>
      </c>
      <c r="W4" s="350" t="s">
        <v>240</v>
      </c>
      <c r="X4" s="373" t="s">
        <v>241</v>
      </c>
    </row>
    <row r="5" spans="1:28" x14ac:dyDescent="0.2">
      <c r="B5" s="2"/>
      <c r="C5" s="2"/>
      <c r="D5" s="304"/>
      <c r="O5" s="18"/>
      <c r="P5" s="107"/>
      <c r="Q5" s="118"/>
      <c r="R5" s="89"/>
      <c r="S5" s="28"/>
      <c r="V5" s="299"/>
      <c r="W5" s="351"/>
    </row>
    <row r="6" spans="1:28" x14ac:dyDescent="0.2">
      <c r="A6">
        <v>1</v>
      </c>
      <c r="B6" s="10" t="s">
        <v>2</v>
      </c>
      <c r="C6" s="3" t="s">
        <v>199</v>
      </c>
      <c r="D6" s="305">
        <v>2046</v>
      </c>
      <c r="E6" s="158">
        <f>Instruction!M8</f>
        <v>5195040.666666667</v>
      </c>
      <c r="F6" s="158">
        <f>'Student &amp; Institutional Support'!N9</f>
        <v>2884266.259285456</v>
      </c>
      <c r="G6" s="158">
        <f>Facilities!V9</f>
        <v>1023146.924068873</v>
      </c>
      <c r="H6" s="158">
        <f>Library!G8</f>
        <v>318585.88475073496</v>
      </c>
      <c r="I6" s="158">
        <f>Research!I9</f>
        <v>110226.16489682927</v>
      </c>
      <c r="J6" s="158">
        <f>Enrollment!J8</f>
        <v>193860.16959949545</v>
      </c>
      <c r="K6" s="8">
        <f t="shared" ref="K6:K36" si="0">SUM(E6:J6)</f>
        <v>9725126.0692680571</v>
      </c>
      <c r="L6" s="9">
        <f t="shared" ref="L6:L36" si="1">+K6/$K$38</f>
        <v>1.7029673118126015E-2</v>
      </c>
      <c r="M6" s="125">
        <v>8833499.1851581112</v>
      </c>
      <c r="N6" s="105">
        <f>M6/M38</f>
        <v>1.7566246565885207E-2</v>
      </c>
      <c r="O6" s="19">
        <f t="shared" ref="O6:O36" si="2">N6*$P$40</f>
        <v>4469088.9883538373</v>
      </c>
      <c r="P6" s="108">
        <f t="shared" ref="P6:P36" si="3">L6*$P$40</f>
        <v>4332577.4986722153</v>
      </c>
      <c r="Q6" s="119">
        <f>O6+P6</f>
        <v>8801666.4870260525</v>
      </c>
      <c r="R6" s="90">
        <f t="shared" ref="R6:R36" si="4">Q6/$Q$38</f>
        <v>1.7297959842005609E-2</v>
      </c>
      <c r="S6" s="84">
        <f>Q6-M6</f>
        <v>-31832.698132058606</v>
      </c>
      <c r="T6" s="94">
        <f t="shared" ref="T6:T36" si="5">S6/M6</f>
        <v>-3.603634014654503E-3</v>
      </c>
      <c r="V6" s="356">
        <v>559990</v>
      </c>
      <c r="W6" s="352">
        <v>409252.47873168282</v>
      </c>
      <c r="X6" s="374">
        <v>137555.75077870247</v>
      </c>
      <c r="Y6" s="371"/>
      <c r="AA6" s="11"/>
      <c r="AB6" s="11"/>
    </row>
    <row r="7" spans="1:28" s="109" customFormat="1" x14ac:dyDescent="0.2">
      <c r="A7" s="109">
        <v>2</v>
      </c>
      <c r="B7" s="10" t="s">
        <v>4</v>
      </c>
      <c r="C7" s="3" t="s">
        <v>188</v>
      </c>
      <c r="D7" s="305">
        <f>1469+5654</f>
        <v>7123</v>
      </c>
      <c r="E7" s="158">
        <f>Instruction!M9</f>
        <v>13392637.666666666</v>
      </c>
      <c r="F7" s="158">
        <f>'Student &amp; Institutional Support'!N10</f>
        <v>7013454.5693440763</v>
      </c>
      <c r="G7" s="158">
        <f>Facilities!V10</f>
        <v>1788662.2784473277</v>
      </c>
      <c r="H7" s="158">
        <f>Library!G9</f>
        <v>776816.40800603246</v>
      </c>
      <c r="I7" s="158">
        <f>Research!I10</f>
        <v>268767.37979282998</v>
      </c>
      <c r="J7" s="158">
        <f>Enrollment!J9</f>
        <v>445838.36978585296</v>
      </c>
      <c r="K7" s="158">
        <f t="shared" si="0"/>
        <v>23686176.67204278</v>
      </c>
      <c r="L7" s="223">
        <f t="shared" si="1"/>
        <v>4.1476875802950813E-2</v>
      </c>
      <c r="M7" s="158">
        <v>21454109.109586097</v>
      </c>
      <c r="N7" s="225">
        <f>M7/$M$38</f>
        <v>4.2663520148799081E-2</v>
      </c>
      <c r="O7" s="108">
        <f t="shared" si="2"/>
        <v>10854172.368939525</v>
      </c>
      <c r="P7" s="108">
        <f t="shared" si="3"/>
        <v>10552274.114282094</v>
      </c>
      <c r="Q7" s="119">
        <f t="shared" ref="Q7:Q35" si="6">O7+P7</f>
        <v>21406446.48322162</v>
      </c>
      <c r="R7" s="226">
        <f t="shared" si="4"/>
        <v>4.2070197975874947E-2</v>
      </c>
      <c r="S7" s="84">
        <f t="shared" ref="S7:S36" si="7">Q7-M7</f>
        <v>-47662.626364476979</v>
      </c>
      <c r="T7" s="227">
        <f t="shared" si="5"/>
        <v>-2.2216082765786076E-3</v>
      </c>
      <c r="V7" s="356">
        <v>1924585</v>
      </c>
      <c r="W7" s="352">
        <v>1396533.3945649439</v>
      </c>
      <c r="X7" s="374">
        <v>562396.95741370018</v>
      </c>
      <c r="Y7" s="371"/>
      <c r="AA7" s="110"/>
      <c r="AB7" s="11"/>
    </row>
    <row r="8" spans="1:28" ht="12" customHeight="1" x14ac:dyDescent="0.2">
      <c r="A8">
        <v>4</v>
      </c>
      <c r="B8" s="10" t="s">
        <v>5</v>
      </c>
      <c r="C8" s="3" t="s">
        <v>160</v>
      </c>
      <c r="D8" s="305">
        <f>4274+679</f>
        <v>4953</v>
      </c>
      <c r="E8" s="158">
        <f>Instruction!M10</f>
        <v>11051626.379849007</v>
      </c>
      <c r="F8" s="158">
        <f>'Student &amp; Institutional Support'!N11</f>
        <v>6811917.1103164954</v>
      </c>
      <c r="G8" s="158">
        <f>Facilities!V11</f>
        <v>1994493.7084550774</v>
      </c>
      <c r="H8" s="158">
        <f>Library!G10</f>
        <v>1191482.2319172348</v>
      </c>
      <c r="I8" s="158">
        <f>Research!I11</f>
        <v>551497.40908009082</v>
      </c>
      <c r="J8" s="158">
        <f>Enrollment!J10</f>
        <v>-99094.507120325929</v>
      </c>
      <c r="K8" s="8">
        <f t="shared" si="0"/>
        <v>21501922.332497582</v>
      </c>
      <c r="L8" s="9">
        <f t="shared" si="1"/>
        <v>3.7652026937819078E-2</v>
      </c>
      <c r="M8" s="125">
        <v>18431321.676700614</v>
      </c>
      <c r="N8" s="105">
        <f>M8/$M$38</f>
        <v>3.6652422140034717E-2</v>
      </c>
      <c r="O8" s="19">
        <f t="shared" si="2"/>
        <v>9324868.3244969063</v>
      </c>
      <c r="P8" s="108">
        <f t="shared" si="3"/>
        <v>9579181.2067468669</v>
      </c>
      <c r="Q8" s="119">
        <f t="shared" si="6"/>
        <v>18904049.531243771</v>
      </c>
      <c r="R8" s="90">
        <f t="shared" si="4"/>
        <v>3.7152224538926887E-2</v>
      </c>
      <c r="S8" s="84">
        <f t="shared" si="7"/>
        <v>472727.85454315692</v>
      </c>
      <c r="T8" s="94">
        <f t="shared" si="5"/>
        <v>2.5648071409916373E-2</v>
      </c>
      <c r="V8" s="356">
        <v>1846579</v>
      </c>
      <c r="W8" s="352">
        <v>145889.17627327115</v>
      </c>
      <c r="X8" s="374">
        <v>292280.60242472618</v>
      </c>
      <c r="Y8" s="371"/>
      <c r="AA8" s="11"/>
      <c r="AB8" s="11"/>
    </row>
    <row r="9" spans="1:28" x14ac:dyDescent="0.2">
      <c r="A9">
        <v>3</v>
      </c>
      <c r="B9" s="45" t="s">
        <v>6</v>
      </c>
      <c r="C9" s="3" t="s">
        <v>7</v>
      </c>
      <c r="D9" s="305">
        <v>2993</v>
      </c>
      <c r="E9" s="158">
        <f>Instruction!M11</f>
        <v>6748350.8589756712</v>
      </c>
      <c r="F9" s="158">
        <f>'Student &amp; Institutional Support'!N12</f>
        <v>3964631.98264969</v>
      </c>
      <c r="G9" s="158">
        <f>Facilities!V12</f>
        <v>1361958.9539939077</v>
      </c>
      <c r="H9" s="158">
        <f>Library!G11</f>
        <v>422622.96284667443</v>
      </c>
      <c r="I9" s="158">
        <f>Research!I12</f>
        <v>146221.50767405154</v>
      </c>
      <c r="J9" s="158">
        <f>Enrollment!J11</f>
        <v>254543.45926350786</v>
      </c>
      <c r="K9" s="8">
        <f t="shared" si="0"/>
        <v>12898329.725403501</v>
      </c>
      <c r="L9" s="9">
        <f t="shared" si="1"/>
        <v>2.2586271625573029E-2</v>
      </c>
      <c r="M9" s="125">
        <v>11723883.787392985</v>
      </c>
      <c r="N9" s="105">
        <f t="shared" ref="N9:N36" si="8">M9/$M$38</f>
        <v>2.3314049053760465E-2</v>
      </c>
      <c r="O9" s="19">
        <f t="shared" si="2"/>
        <v>5931407.1170133073</v>
      </c>
      <c r="P9" s="108">
        <f t="shared" si="3"/>
        <v>5746250.7674148949</v>
      </c>
      <c r="Q9" s="119">
        <f t="shared" si="6"/>
        <v>11677657.884428203</v>
      </c>
      <c r="R9" s="90">
        <f t="shared" si="4"/>
        <v>2.2950160339666747E-2</v>
      </c>
      <c r="S9" s="84">
        <f t="shared" si="7"/>
        <v>-46225.90296478197</v>
      </c>
      <c r="T9" s="94">
        <f t="shared" si="5"/>
        <v>-3.9428830755291137E-3</v>
      </c>
      <c r="V9" s="356">
        <v>658561</v>
      </c>
      <c r="W9" s="352">
        <v>480206.39353029692</v>
      </c>
      <c r="X9" s="374">
        <v>218194.40031962976</v>
      </c>
      <c r="Y9" s="371"/>
      <c r="AA9" s="11"/>
      <c r="AB9" s="11"/>
    </row>
    <row r="10" spans="1:28" x14ac:dyDescent="0.2">
      <c r="A10">
        <v>3</v>
      </c>
      <c r="B10" s="45" t="s">
        <v>8</v>
      </c>
      <c r="C10" s="3" t="s">
        <v>9</v>
      </c>
      <c r="D10" s="305">
        <v>6410</v>
      </c>
      <c r="E10" s="158">
        <f>Instruction!M12</f>
        <v>12888754.666666666</v>
      </c>
      <c r="F10" s="158">
        <f>'Student &amp; Institutional Support'!N13</f>
        <v>6292823.0338115608</v>
      </c>
      <c r="G10" s="158">
        <f>Facilities!V13</f>
        <v>1454095.1139547797</v>
      </c>
      <c r="H10" s="158">
        <f>Library!G12</f>
        <v>722248.54850515525</v>
      </c>
      <c r="I10" s="158">
        <f>Research!I13</f>
        <v>249887.67994637645</v>
      </c>
      <c r="J10" s="158">
        <f>Enrollment!J12</f>
        <v>-295503.97298322234</v>
      </c>
      <c r="K10" s="8">
        <f t="shared" si="0"/>
        <v>21312305.069901314</v>
      </c>
      <c r="L10" s="9">
        <f t="shared" si="1"/>
        <v>3.7319988054562589E-2</v>
      </c>
      <c r="M10" s="125">
        <v>19284445.67949098</v>
      </c>
      <c r="N10" s="105">
        <f t="shared" si="8"/>
        <v>3.8348939711403268E-2</v>
      </c>
      <c r="O10" s="19">
        <f t="shared" si="2"/>
        <v>9756485.1737944968</v>
      </c>
      <c r="P10" s="108">
        <f t="shared" si="3"/>
        <v>9494706.056560332</v>
      </c>
      <c r="Q10" s="119">
        <f t="shared" si="6"/>
        <v>19251191.230354831</v>
      </c>
      <c r="R10" s="90">
        <f t="shared" si="4"/>
        <v>3.7834463882982929E-2</v>
      </c>
      <c r="S10" s="84">
        <f t="shared" si="7"/>
        <v>-33254.449136149138</v>
      </c>
      <c r="T10" s="94">
        <f t="shared" si="5"/>
        <v>-1.7244182015309503E-3</v>
      </c>
      <c r="V10" s="356">
        <v>1850316.0000000002</v>
      </c>
      <c r="W10" s="352">
        <v>1352354.8858242407</v>
      </c>
      <c r="X10" s="374">
        <v>495813.55717741197</v>
      </c>
      <c r="Y10" s="371"/>
      <c r="AA10" s="11"/>
      <c r="AB10" s="11"/>
    </row>
    <row r="11" spans="1:28" x14ac:dyDescent="0.2">
      <c r="A11">
        <v>1</v>
      </c>
      <c r="B11" s="45" t="s">
        <v>10</v>
      </c>
      <c r="C11" s="3" t="s">
        <v>11</v>
      </c>
      <c r="D11" s="305">
        <v>2069</v>
      </c>
      <c r="E11" s="158">
        <f>Instruction!M13</f>
        <v>5424647</v>
      </c>
      <c r="F11" s="158">
        <f>'Student &amp; Institutional Support'!N14</f>
        <v>2861718.7799051069</v>
      </c>
      <c r="G11" s="158">
        <f>Facilities!V14</f>
        <v>1228413.285233465</v>
      </c>
      <c r="H11" s="158">
        <f>Library!G13</f>
        <v>333017.26727985003</v>
      </c>
      <c r="I11" s="158">
        <f>Research!I14</f>
        <v>115219.21708929555</v>
      </c>
      <c r="J11" s="158">
        <f>Enrollment!J13</f>
        <v>-64322.931940239621</v>
      </c>
      <c r="K11" s="8">
        <f t="shared" si="0"/>
        <v>9898692.6175674777</v>
      </c>
      <c r="L11" s="9">
        <f t="shared" si="1"/>
        <v>1.7333605587559083E-2</v>
      </c>
      <c r="M11" s="125">
        <v>9199570.7350547723</v>
      </c>
      <c r="N11" s="105">
        <f t="shared" si="8"/>
        <v>1.8294214381521047E-2</v>
      </c>
      <c r="O11" s="19">
        <f t="shared" si="2"/>
        <v>4654293.7750754552</v>
      </c>
      <c r="P11" s="108">
        <f t="shared" si="3"/>
        <v>4409901.9997972548</v>
      </c>
      <c r="Q11" s="119">
        <f t="shared" si="6"/>
        <v>9064195.7748727091</v>
      </c>
      <c r="R11" s="90">
        <f t="shared" si="4"/>
        <v>1.781390998454006E-2</v>
      </c>
      <c r="S11" s="84">
        <f t="shared" si="7"/>
        <v>-135374.96018206328</v>
      </c>
      <c r="T11" s="94">
        <f t="shared" si="5"/>
        <v>-1.4715356192242735E-2</v>
      </c>
      <c r="V11" s="356">
        <v>598879</v>
      </c>
      <c r="W11" s="352">
        <v>443383.19605637196</v>
      </c>
      <c r="X11" s="374">
        <v>153100.76911978086</v>
      </c>
      <c r="Y11" s="371"/>
      <c r="AA11" s="11"/>
      <c r="AB11" s="11"/>
    </row>
    <row r="12" spans="1:28" x14ac:dyDescent="0.2">
      <c r="A12">
        <v>2</v>
      </c>
      <c r="B12" s="45" t="s">
        <v>12</v>
      </c>
      <c r="C12" s="3" t="s">
        <v>13</v>
      </c>
      <c r="D12" s="305">
        <v>1223</v>
      </c>
      <c r="E12" s="158">
        <f>Instruction!M14</f>
        <v>2269535.3333333335</v>
      </c>
      <c r="F12" s="158">
        <f>'Student &amp; Institutional Support'!N15</f>
        <v>1922587.2136475891</v>
      </c>
      <c r="G12" s="158">
        <f>Facilities!V15</f>
        <v>383067.67045009136</v>
      </c>
      <c r="H12" s="158">
        <f>Library!G14</f>
        <v>160131.65761008553</v>
      </c>
      <c r="I12" s="158">
        <f>Research!I15</f>
        <v>55403.265937980861</v>
      </c>
      <c r="J12" s="158">
        <f>Enrollment!J14</f>
        <v>-4912.5780373793677</v>
      </c>
      <c r="K12" s="8">
        <f t="shared" si="0"/>
        <v>4785812.5629417021</v>
      </c>
      <c r="L12" s="9">
        <f t="shared" si="1"/>
        <v>8.3804387697415279E-3</v>
      </c>
      <c r="M12" s="125">
        <v>4125207.3581957142</v>
      </c>
      <c r="N12" s="105">
        <f t="shared" si="8"/>
        <v>8.2033640430083776E-3</v>
      </c>
      <c r="O12" s="19">
        <f t="shared" si="2"/>
        <v>2087045.9591103366</v>
      </c>
      <c r="P12" s="108">
        <f t="shared" si="3"/>
        <v>2132096.1471736059</v>
      </c>
      <c r="Q12" s="119">
        <f t="shared" si="6"/>
        <v>4219142.1062839422</v>
      </c>
      <c r="R12" s="90">
        <f t="shared" si="4"/>
        <v>8.2919014063749501E-3</v>
      </c>
      <c r="S12" s="84">
        <f t="shared" si="7"/>
        <v>93934.748088228051</v>
      </c>
      <c r="T12" s="94">
        <f t="shared" si="5"/>
        <v>2.2770915479340483E-2</v>
      </c>
      <c r="V12" s="356">
        <v>228085</v>
      </c>
      <c r="W12" s="352">
        <v>166262.16470468638</v>
      </c>
      <c r="X12" s="374">
        <v>97961.460675130715</v>
      </c>
      <c r="Y12" s="371"/>
      <c r="AA12" s="11"/>
      <c r="AB12" s="11"/>
    </row>
    <row r="13" spans="1:28" x14ac:dyDescent="0.2">
      <c r="A13">
        <v>1</v>
      </c>
      <c r="B13" s="45" t="s">
        <v>14</v>
      </c>
      <c r="C13" s="3" t="s">
        <v>245</v>
      </c>
      <c r="D13" s="305">
        <v>3927</v>
      </c>
      <c r="E13" s="158">
        <f>Instruction!M15</f>
        <v>10476494</v>
      </c>
      <c r="F13" s="158">
        <f>'Student &amp; Institutional Support'!N16</f>
        <v>5255482.1645418536</v>
      </c>
      <c r="G13" s="158">
        <f>Facilities!V16</f>
        <v>2161521.1309653656</v>
      </c>
      <c r="H13" s="158">
        <f>Library!G15</f>
        <v>626272.4053427527</v>
      </c>
      <c r="I13" s="158">
        <f>Research!I16</f>
        <v>216681.30549994469</v>
      </c>
      <c r="J13" s="158">
        <f>Enrollment!J15</f>
        <v>-97424.739468456013</v>
      </c>
      <c r="K13" s="8">
        <f t="shared" si="0"/>
        <v>18639026.266881462</v>
      </c>
      <c r="L13" s="9">
        <f t="shared" si="1"/>
        <v>3.2638808207146014E-2</v>
      </c>
      <c r="M13" s="125">
        <v>17815243.073344178</v>
      </c>
      <c r="N13" s="105">
        <f t="shared" si="8"/>
        <v>3.5427291710554559E-2</v>
      </c>
      <c r="O13" s="19">
        <f t="shared" si="2"/>
        <v>9013178.6934108771</v>
      </c>
      <c r="P13" s="108">
        <f t="shared" si="3"/>
        <v>8303751.049175743</v>
      </c>
      <c r="Q13" s="119">
        <f t="shared" si="6"/>
        <v>17316929.74258662</v>
      </c>
      <c r="R13" s="90">
        <f t="shared" si="4"/>
        <v>3.403304995885028E-2</v>
      </c>
      <c r="S13" s="84">
        <f t="shared" si="7"/>
        <v>-498313.33075755835</v>
      </c>
      <c r="T13" s="94">
        <f t="shared" si="5"/>
        <v>-2.7971177755253481E-2</v>
      </c>
      <c r="V13" s="356">
        <v>1133900</v>
      </c>
      <c r="W13" s="352">
        <v>823723.03563717101</v>
      </c>
      <c r="X13" s="374">
        <v>324309.14304863743</v>
      </c>
      <c r="Y13" s="371"/>
      <c r="AA13" s="11"/>
      <c r="AB13" s="11"/>
    </row>
    <row r="14" spans="1:28" x14ac:dyDescent="0.2">
      <c r="A14">
        <v>2</v>
      </c>
      <c r="B14" s="45" t="s">
        <v>16</v>
      </c>
      <c r="C14" s="3" t="s">
        <v>246</v>
      </c>
      <c r="D14" s="305">
        <v>3809</v>
      </c>
      <c r="E14" s="158">
        <f>Instruction!M16</f>
        <v>7306370.333333333</v>
      </c>
      <c r="F14" s="158">
        <f>'Student &amp; Institutional Support'!N17</f>
        <v>4121311.0087213567</v>
      </c>
      <c r="G14" s="158">
        <f>Facilities!V17</f>
        <v>718633.8716500334</v>
      </c>
      <c r="H14" s="158">
        <f>Library!G16</f>
        <v>425121.0324796653</v>
      </c>
      <c r="I14" s="158">
        <f>Research!I17</f>
        <v>147085.80408035734</v>
      </c>
      <c r="J14" s="158">
        <f>Enrollment!J16</f>
        <v>111186.07094572537</v>
      </c>
      <c r="K14" s="8">
        <f t="shared" si="0"/>
        <v>12829708.121210471</v>
      </c>
      <c r="L14" s="9">
        <f t="shared" si="1"/>
        <v>2.2466108300190381E-2</v>
      </c>
      <c r="M14" s="125">
        <v>10791504.56120998</v>
      </c>
      <c r="N14" s="105">
        <f t="shared" si="8"/>
        <v>2.1459924992985248E-2</v>
      </c>
      <c r="O14" s="19">
        <f t="shared" si="2"/>
        <v>5459693.0606283275</v>
      </c>
      <c r="P14" s="108">
        <f t="shared" si="3"/>
        <v>5715679.6040045796</v>
      </c>
      <c r="Q14" s="119">
        <f t="shared" si="6"/>
        <v>11175372.664632907</v>
      </c>
      <c r="R14" s="90">
        <f t="shared" si="4"/>
        <v>2.1963016646587813E-2</v>
      </c>
      <c r="S14" s="84">
        <f t="shared" si="7"/>
        <v>383868.10342292674</v>
      </c>
      <c r="T14" s="94">
        <f t="shared" si="5"/>
        <v>3.5571323835856872E-2</v>
      </c>
      <c r="V14" s="356">
        <v>1075755</v>
      </c>
      <c r="W14" s="352">
        <v>784291.83975810045</v>
      </c>
      <c r="X14" s="374">
        <v>286780.66949487646</v>
      </c>
      <c r="Y14" s="371"/>
      <c r="AA14" s="11"/>
      <c r="AB14" s="11"/>
    </row>
    <row r="15" spans="1:28" x14ac:dyDescent="0.2">
      <c r="A15">
        <v>3</v>
      </c>
      <c r="B15" s="45" t="s">
        <v>18</v>
      </c>
      <c r="C15" s="3" t="s">
        <v>19</v>
      </c>
      <c r="D15" s="305">
        <v>3431</v>
      </c>
      <c r="E15" s="158">
        <f>Instruction!M17</f>
        <v>7682271</v>
      </c>
      <c r="F15" s="158">
        <f>'Student &amp; Institutional Support'!N18</f>
        <v>4112726.2630064543</v>
      </c>
      <c r="G15" s="158">
        <f>Facilities!V18</f>
        <v>1003483.1432749999</v>
      </c>
      <c r="H15" s="158">
        <f>Library!G17</f>
        <v>447946.81421985093</v>
      </c>
      <c r="I15" s="158">
        <f>Research!I18</f>
        <v>154983.19847986527</v>
      </c>
      <c r="J15" s="158">
        <f>Enrollment!J17</f>
        <v>154744.83894686651</v>
      </c>
      <c r="K15" s="8">
        <f t="shared" si="0"/>
        <v>13556155.257928036</v>
      </c>
      <c r="L15" s="9">
        <f t="shared" si="1"/>
        <v>2.3738190244196464E-2</v>
      </c>
      <c r="M15" s="125">
        <v>11688346.107010191</v>
      </c>
      <c r="N15" s="105">
        <f t="shared" si="8"/>
        <v>2.3243379023357037E-2</v>
      </c>
      <c r="O15" s="19">
        <f t="shared" si="2"/>
        <v>5913427.7123921765</v>
      </c>
      <c r="P15" s="108">
        <f t="shared" si="3"/>
        <v>6039314.3308039894</v>
      </c>
      <c r="Q15" s="119">
        <f t="shared" si="6"/>
        <v>11952742.043196166</v>
      </c>
      <c r="R15" s="90">
        <f t="shared" si="4"/>
        <v>2.3490784633776747E-2</v>
      </c>
      <c r="S15" s="84">
        <f t="shared" si="7"/>
        <v>264395.93618597463</v>
      </c>
      <c r="T15" s="94">
        <f t="shared" si="5"/>
        <v>2.2620474596264803E-2</v>
      </c>
      <c r="V15" s="356">
        <v>895520</v>
      </c>
      <c r="W15" s="352">
        <v>640946.29377579538</v>
      </c>
      <c r="X15" s="374">
        <v>225667.10468888696</v>
      </c>
      <c r="Y15" s="371"/>
      <c r="AA15" s="11"/>
      <c r="AB15" s="11"/>
    </row>
    <row r="16" spans="1:28" x14ac:dyDescent="0.2">
      <c r="A16">
        <v>4</v>
      </c>
      <c r="B16" s="45" t="s">
        <v>20</v>
      </c>
      <c r="C16" s="3" t="s">
        <v>247</v>
      </c>
      <c r="D16" s="305">
        <v>6052</v>
      </c>
      <c r="E16" s="158">
        <f>Instruction!M18</f>
        <v>14749371.621681431</v>
      </c>
      <c r="F16" s="158">
        <f>'Student &amp; Institutional Support'!N19</f>
        <v>8055189.8450713567</v>
      </c>
      <c r="G16" s="158">
        <f>Facilities!V19</f>
        <v>752262.55028783868</v>
      </c>
      <c r="H16" s="158">
        <f>Library!G18</f>
        <v>1413409.4410224378</v>
      </c>
      <c r="I16" s="158">
        <f>Research!I19</f>
        <v>654220.11660125235</v>
      </c>
      <c r="J16" s="158">
        <f>Enrollment!J18</f>
        <v>686978.55325380736</v>
      </c>
      <c r="K16" s="8">
        <f t="shared" si="0"/>
        <v>26311432.127918124</v>
      </c>
      <c r="L16" s="9">
        <f t="shared" si="1"/>
        <v>4.6073961943192361E-2</v>
      </c>
      <c r="M16" s="125">
        <v>20667772.928848211</v>
      </c>
      <c r="N16" s="105">
        <f t="shared" si="8"/>
        <v>4.1099816462979256E-2</v>
      </c>
      <c r="O16" s="19">
        <f t="shared" si="2"/>
        <v>10456345.155417571</v>
      </c>
      <c r="P16" s="108">
        <f t="shared" si="3"/>
        <v>11721834.553435149</v>
      </c>
      <c r="Q16" s="119">
        <f t="shared" si="6"/>
        <v>22178179.70885272</v>
      </c>
      <c r="R16" s="90">
        <f t="shared" si="4"/>
        <v>4.3586889203085802E-2</v>
      </c>
      <c r="S16" s="84">
        <f t="shared" si="7"/>
        <v>1510406.7800045088</v>
      </c>
      <c r="T16" s="94">
        <f t="shared" si="5"/>
        <v>7.3080287131288987E-2</v>
      </c>
      <c r="V16" s="356">
        <v>2254836</v>
      </c>
      <c r="W16" s="352">
        <v>0</v>
      </c>
      <c r="X16" s="374">
        <v>444202.75236282428</v>
      </c>
      <c r="Y16" s="371"/>
      <c r="AA16" s="11"/>
      <c r="AB16" s="11"/>
    </row>
    <row r="17" spans="1:28" x14ac:dyDescent="0.2">
      <c r="A17">
        <v>3</v>
      </c>
      <c r="B17" s="45" t="s">
        <v>21</v>
      </c>
      <c r="C17" s="3" t="s">
        <v>200</v>
      </c>
      <c r="D17" s="305">
        <v>6026</v>
      </c>
      <c r="E17" s="158">
        <f>Instruction!M19</f>
        <v>12140089.666666666</v>
      </c>
      <c r="F17" s="158">
        <f>'Student &amp; Institutional Support'!N20</f>
        <v>6223587.3831509622</v>
      </c>
      <c r="G17" s="158">
        <f>Facilities!V20</f>
        <v>2032495.3425008198</v>
      </c>
      <c r="H17" s="158">
        <f>Library!G19</f>
        <v>713866.03373114578</v>
      </c>
      <c r="I17" s="158">
        <f>Research!I20</f>
        <v>246987.44958478029</v>
      </c>
      <c r="J17" s="158">
        <f>Enrollment!J19</f>
        <v>-562044.21080744907</v>
      </c>
      <c r="K17" s="8">
        <f t="shared" si="0"/>
        <v>20794981.66482693</v>
      </c>
      <c r="L17" s="9">
        <f t="shared" si="1"/>
        <v>3.6414102781505593E-2</v>
      </c>
      <c r="M17" s="125">
        <v>19282482.487775128</v>
      </c>
      <c r="N17" s="105">
        <f t="shared" si="8"/>
        <v>3.8345035719450145E-2</v>
      </c>
      <c r="O17" s="19">
        <f t="shared" si="2"/>
        <v>9755491.9458227213</v>
      </c>
      <c r="P17" s="108">
        <f t="shared" si="3"/>
        <v>9264236.6797730699</v>
      </c>
      <c r="Q17" s="119">
        <f t="shared" si="6"/>
        <v>19019728.625595793</v>
      </c>
      <c r="R17" s="90">
        <f t="shared" si="4"/>
        <v>3.7379569250477869E-2</v>
      </c>
      <c r="S17" s="84">
        <f t="shared" si="7"/>
        <v>-262753.86217933521</v>
      </c>
      <c r="T17" s="94">
        <f t="shared" si="5"/>
        <v>-1.3626557801668854E-2</v>
      </c>
      <c r="V17" s="356">
        <v>1739014</v>
      </c>
      <c r="W17" s="352">
        <v>1260446.8027031159</v>
      </c>
      <c r="X17" s="374">
        <v>524097.40645090293</v>
      </c>
      <c r="Y17" s="371"/>
      <c r="AA17" s="11"/>
      <c r="AB17" s="11"/>
    </row>
    <row r="18" spans="1:28" ht="12" customHeight="1" x14ac:dyDescent="0.2">
      <c r="A18">
        <v>1</v>
      </c>
      <c r="B18" s="45" t="s">
        <v>23</v>
      </c>
      <c r="C18" s="200" t="s">
        <v>79</v>
      </c>
      <c r="D18" s="305">
        <v>1454</v>
      </c>
      <c r="E18" s="158">
        <f>Instruction!M20</f>
        <v>4133808.6666666665</v>
      </c>
      <c r="F18" s="158">
        <f>'Student &amp; Institutional Support'!N21</f>
        <v>2810468.9726689332</v>
      </c>
      <c r="G18" s="158">
        <f>Facilities!V21</f>
        <v>705904.26651783928</v>
      </c>
      <c r="H18" s="158">
        <f>Library!G20</f>
        <v>267756.36670487042</v>
      </c>
      <c r="I18" s="158">
        <f>Research!I21</f>
        <v>92639.877788932223</v>
      </c>
      <c r="J18" s="158">
        <f>Enrollment!J20</f>
        <v>-118421.95377624821</v>
      </c>
      <c r="K18" s="8">
        <f t="shared" si="0"/>
        <v>7892156.1965709934</v>
      </c>
      <c r="L18" s="9">
        <f t="shared" si="1"/>
        <v>1.3819958658377793E-2</v>
      </c>
      <c r="M18" s="125">
        <v>7232126.2226406988</v>
      </c>
      <c r="N18" s="105">
        <f t="shared" si="8"/>
        <v>1.4381765341187002E-2</v>
      </c>
      <c r="O18" s="19">
        <f t="shared" si="2"/>
        <v>3658914.2067612093</v>
      </c>
      <c r="P18" s="108">
        <f t="shared" si="3"/>
        <v>3515983.0432762168</v>
      </c>
      <c r="Q18" s="119">
        <f t="shared" si="6"/>
        <v>7174897.2500374261</v>
      </c>
      <c r="R18" s="90">
        <f t="shared" si="4"/>
        <v>1.4100861999782397E-2</v>
      </c>
      <c r="S18" s="84">
        <f t="shared" si="7"/>
        <v>-57228.972603272647</v>
      </c>
      <c r="T18" s="94">
        <f t="shared" si="5"/>
        <v>-7.9131600917186941E-3</v>
      </c>
      <c r="V18" s="356">
        <v>407392</v>
      </c>
      <c r="W18" s="352">
        <v>300856.4618817853</v>
      </c>
      <c r="X18" s="374">
        <v>113511.55047682149</v>
      </c>
      <c r="Y18" s="371"/>
      <c r="AA18" s="11"/>
      <c r="AB18" s="11"/>
    </row>
    <row r="19" spans="1:28" ht="12" customHeight="1" x14ac:dyDescent="0.2">
      <c r="B19" s="45" t="s">
        <v>155</v>
      </c>
      <c r="C19" s="3" t="s">
        <v>248</v>
      </c>
      <c r="D19" s="305">
        <v>4398</v>
      </c>
      <c r="E19" s="158">
        <f>Instruction!M21</f>
        <v>10798224.666666666</v>
      </c>
      <c r="F19" s="158">
        <f>'Student &amp; Institutional Support'!N22</f>
        <v>5779480.1559887081</v>
      </c>
      <c r="G19" s="158">
        <f>Facilities!V22</f>
        <v>1609472.108476707</v>
      </c>
      <c r="H19" s="158">
        <f>Library!G21</f>
        <v>636551.19258962292</v>
      </c>
      <c r="I19" s="158">
        <f>Research!I22</f>
        <v>220237.61904754394</v>
      </c>
      <c r="J19" s="158">
        <f>Enrollment!J21</f>
        <v>363479.91142746236</v>
      </c>
      <c r="K19" s="8">
        <f t="shared" si="0"/>
        <v>19407445.654196709</v>
      </c>
      <c r="L19" s="9">
        <f t="shared" si="1"/>
        <v>3.3984387780141123E-2</v>
      </c>
      <c r="M19" s="125">
        <v>17385358.967418708</v>
      </c>
      <c r="N19" s="105">
        <f t="shared" si="8"/>
        <v>3.457242660657292E-2</v>
      </c>
      <c r="O19" s="19">
        <f t="shared" si="2"/>
        <v>8795689.5326841976</v>
      </c>
      <c r="P19" s="108">
        <f t="shared" si="3"/>
        <v>8646084.559642626</v>
      </c>
      <c r="Q19" s="119">
        <f t="shared" si="6"/>
        <v>17441774.092326824</v>
      </c>
      <c r="R19" s="90">
        <f t="shared" si="4"/>
        <v>3.4278407193357022E-2</v>
      </c>
      <c r="S19" s="84">
        <f t="shared" si="7"/>
        <v>56415.124908115715</v>
      </c>
      <c r="T19" s="94">
        <f t="shared" si="5"/>
        <v>3.2449790087073454E-3</v>
      </c>
      <c r="V19" s="356">
        <v>1139642</v>
      </c>
      <c r="W19" s="352">
        <v>833197.74028682383</v>
      </c>
      <c r="X19" s="374">
        <v>339360.44118114765</v>
      </c>
      <c r="Y19" s="371"/>
      <c r="AA19" s="11"/>
      <c r="AB19" s="11"/>
    </row>
    <row r="20" spans="1:28" x14ac:dyDescent="0.2">
      <c r="A20">
        <v>4</v>
      </c>
      <c r="B20" s="45" t="s">
        <v>28</v>
      </c>
      <c r="C20" s="3" t="s">
        <v>64</v>
      </c>
      <c r="D20" s="305">
        <v>5697</v>
      </c>
      <c r="E20" s="158">
        <f>Instruction!M22</f>
        <v>14914534.335218407</v>
      </c>
      <c r="F20" s="158">
        <f>'Student &amp; Institutional Support'!N23</f>
        <v>8620494.1765627246</v>
      </c>
      <c r="G20" s="158">
        <f>Facilities!V23</f>
        <v>2549116.6729052737</v>
      </c>
      <c r="H20" s="158">
        <f>Library!G22</f>
        <v>1565048.7110811844</v>
      </c>
      <c r="I20" s="158">
        <f>Research!I23</f>
        <v>724408.88006911089</v>
      </c>
      <c r="J20" s="158">
        <f>Enrollment!J22</f>
        <v>-388695.03262438672</v>
      </c>
      <c r="K20" s="8">
        <f t="shared" si="0"/>
        <v>27984907.743212316</v>
      </c>
      <c r="L20" s="9">
        <f t="shared" si="1"/>
        <v>4.9004385929126336E-2</v>
      </c>
      <c r="M20" s="125">
        <v>25123872.938445274</v>
      </c>
      <c r="N20" s="105">
        <f t="shared" si="8"/>
        <v>4.9961191762854192E-2</v>
      </c>
      <c r="O20" s="19">
        <f t="shared" si="2"/>
        <v>12710798.013391906</v>
      </c>
      <c r="P20" s="108">
        <f t="shared" si="3"/>
        <v>12467373.76225961</v>
      </c>
      <c r="Q20" s="119">
        <f t="shared" si="6"/>
        <v>25178171.775651515</v>
      </c>
      <c r="R20" s="90">
        <f t="shared" si="4"/>
        <v>4.9482788845990257E-2</v>
      </c>
      <c r="S20" s="84">
        <f t="shared" si="7"/>
        <v>54298.837206240743</v>
      </c>
      <c r="T20" s="94">
        <f t="shared" si="5"/>
        <v>2.1612446989871174E-3</v>
      </c>
      <c r="V20" s="356">
        <v>2115436</v>
      </c>
      <c r="W20" s="352">
        <v>0</v>
      </c>
      <c r="X20" s="374">
        <v>225432.09507582587</v>
      </c>
      <c r="Y20" s="371"/>
      <c r="AA20" s="11"/>
      <c r="AB20" s="11"/>
    </row>
    <row r="21" spans="1:28" x14ac:dyDescent="0.2">
      <c r="A21">
        <v>4</v>
      </c>
      <c r="B21" s="45" t="s">
        <v>24</v>
      </c>
      <c r="C21" s="3" t="s">
        <v>25</v>
      </c>
      <c r="D21" s="305">
        <v>13861</v>
      </c>
      <c r="E21" s="158">
        <f>Instruction!M23</f>
        <v>30967131.06232053</v>
      </c>
      <c r="F21" s="158">
        <f>'Student &amp; Institutional Support'!N24</f>
        <v>14665459.727731666</v>
      </c>
      <c r="G21" s="158">
        <f>Facilities!V24</f>
        <v>3363167.9501288435</v>
      </c>
      <c r="H21" s="158">
        <f>Library!G23</f>
        <v>2939745.5244108625</v>
      </c>
      <c r="I21" s="158">
        <f>Research!I24</f>
        <v>1360710.2117323081</v>
      </c>
      <c r="J21" s="158">
        <f>Enrollment!J23</f>
        <v>-517858.86392714269</v>
      </c>
      <c r="K21" s="8">
        <f t="shared" si="0"/>
        <v>52778355.612397067</v>
      </c>
      <c r="L21" s="9">
        <f t="shared" si="1"/>
        <v>9.2420204878534792E-2</v>
      </c>
      <c r="M21" s="125">
        <v>45313799.253044315</v>
      </c>
      <c r="N21" s="105">
        <f t="shared" si="8"/>
        <v>9.0110765148811625E-2</v>
      </c>
      <c r="O21" s="19">
        <f t="shared" si="2"/>
        <v>22925388.57110133</v>
      </c>
      <c r="P21" s="108">
        <f t="shared" si="3"/>
        <v>23512941.047190156</v>
      </c>
      <c r="Q21" s="119">
        <f t="shared" si="6"/>
        <v>46438329.618291482</v>
      </c>
      <c r="R21" s="90">
        <f t="shared" si="4"/>
        <v>9.1265485013673195E-2</v>
      </c>
      <c r="S21" s="84">
        <f t="shared" si="7"/>
        <v>1124530.3652471676</v>
      </c>
      <c r="T21" s="94">
        <f t="shared" si="5"/>
        <v>2.4816510285696654E-2</v>
      </c>
      <c r="V21" s="356">
        <v>4936974</v>
      </c>
      <c r="W21" s="352">
        <v>0</v>
      </c>
      <c r="X21" s="374">
        <v>635166.42696557427</v>
      </c>
      <c r="Y21" s="371"/>
      <c r="AA21" s="11"/>
      <c r="AB21" s="11"/>
    </row>
    <row r="22" spans="1:28" x14ac:dyDescent="0.2">
      <c r="A22">
        <v>3</v>
      </c>
      <c r="B22" s="45" t="s">
        <v>26</v>
      </c>
      <c r="C22" s="3" t="s">
        <v>234</v>
      </c>
      <c r="D22" s="305">
        <v>1948</v>
      </c>
      <c r="E22" s="158">
        <f>Instruction!M24</f>
        <v>5501633.6931713419</v>
      </c>
      <c r="F22" s="158">
        <f>'Student &amp; Institutional Support'!N25</f>
        <v>3393666.0831440371</v>
      </c>
      <c r="G22" s="158">
        <f>Facilities!V25</f>
        <v>1267077.8075490305</v>
      </c>
      <c r="H22" s="158">
        <f>Library!G24</f>
        <v>355683.21543525439</v>
      </c>
      <c r="I22" s="158">
        <f>Research!I25</f>
        <v>123061.31135180609</v>
      </c>
      <c r="J22" s="158">
        <f>Enrollment!J24</f>
        <v>33032.393943479459</v>
      </c>
      <c r="K22" s="8">
        <f t="shared" si="0"/>
        <v>10674154.50459495</v>
      </c>
      <c r="L22" s="9">
        <f t="shared" si="1"/>
        <v>1.8691517285318385E-2</v>
      </c>
      <c r="M22" s="125">
        <v>9952847.5624891445</v>
      </c>
      <c r="N22" s="105">
        <f t="shared" si="8"/>
        <v>1.9792176424163505E-2</v>
      </c>
      <c r="O22" s="19">
        <f t="shared" si="2"/>
        <v>5035395.4318600427</v>
      </c>
      <c r="P22" s="108">
        <f t="shared" si="3"/>
        <v>4755372.968387587</v>
      </c>
      <c r="Q22" s="119">
        <f t="shared" si="6"/>
        <v>9790768.4002476297</v>
      </c>
      <c r="R22" s="90">
        <f t="shared" si="4"/>
        <v>1.9241846854740941E-2</v>
      </c>
      <c r="S22" s="84">
        <f t="shared" si="7"/>
        <v>-162079.16224151477</v>
      </c>
      <c r="T22" s="94">
        <f t="shared" si="5"/>
        <v>-1.6284702566164874E-2</v>
      </c>
      <c r="V22" s="356">
        <v>540531</v>
      </c>
      <c r="W22" s="352">
        <v>401780.08582989656</v>
      </c>
      <c r="X22" s="374">
        <v>166714.1796738535</v>
      </c>
      <c r="Y22" s="371"/>
      <c r="AA22" s="11"/>
      <c r="AB22" s="11"/>
    </row>
    <row r="23" spans="1:28" x14ac:dyDescent="0.2">
      <c r="A23">
        <v>2</v>
      </c>
      <c r="B23" s="45" t="s">
        <v>29</v>
      </c>
      <c r="C23" s="3" t="s">
        <v>203</v>
      </c>
      <c r="D23" s="305">
        <v>6799</v>
      </c>
      <c r="E23" s="158">
        <f>Instruction!M25</f>
        <v>11980687.333333334</v>
      </c>
      <c r="F23" s="158">
        <f>'Student &amp; Institutional Support'!N26</f>
        <v>5981851.8173012463</v>
      </c>
      <c r="G23" s="158">
        <f>Facilities!V26</f>
        <v>1096661.8216810666</v>
      </c>
      <c r="H23" s="158">
        <f>Library!G25</f>
        <v>667072.03403104772</v>
      </c>
      <c r="I23" s="158">
        <f>Research!I26</f>
        <v>230797.39417425633</v>
      </c>
      <c r="J23" s="158">
        <f>Enrollment!J25</f>
        <v>56928.32930496661</v>
      </c>
      <c r="K23" s="8">
        <f t="shared" si="0"/>
        <v>20013998.729825918</v>
      </c>
      <c r="L23" s="9">
        <f t="shared" si="1"/>
        <v>3.5046523173881759E-2</v>
      </c>
      <c r="M23" s="125">
        <v>16712616.52433987</v>
      </c>
      <c r="N23" s="105">
        <f t="shared" si="8"/>
        <v>3.3234614785600032E-2</v>
      </c>
      <c r="O23" s="19">
        <f t="shared" si="2"/>
        <v>8455332.2426293753</v>
      </c>
      <c r="P23" s="108">
        <f t="shared" si="3"/>
        <v>8916306.0651021749</v>
      </c>
      <c r="Q23" s="119">
        <f t="shared" si="6"/>
        <v>17371638.30773155</v>
      </c>
      <c r="R23" s="90">
        <f t="shared" si="4"/>
        <v>3.4140568979740896E-2</v>
      </c>
      <c r="S23" s="84">
        <f t="shared" si="7"/>
        <v>659021.78339168057</v>
      </c>
      <c r="T23" s="94">
        <f t="shared" si="5"/>
        <v>3.9432591684964255E-2</v>
      </c>
      <c r="V23" s="356">
        <v>1954628.9999999998</v>
      </c>
      <c r="W23" s="352">
        <v>1430569.4465506435</v>
      </c>
      <c r="X23" s="374">
        <v>524073.96617183648</v>
      </c>
      <c r="Y23" s="371"/>
      <c r="AA23" s="11"/>
      <c r="AB23" s="11"/>
    </row>
    <row r="24" spans="1:28" ht="14.25" customHeight="1" x14ac:dyDescent="0.2">
      <c r="A24">
        <v>2</v>
      </c>
      <c r="B24" s="45" t="s">
        <v>31</v>
      </c>
      <c r="C24" s="3" t="s">
        <v>204</v>
      </c>
      <c r="D24" s="305">
        <v>4644</v>
      </c>
      <c r="E24" s="158">
        <f>Instruction!M26</f>
        <v>8819383.333333334</v>
      </c>
      <c r="F24" s="158">
        <f>'Student &amp; Institutional Support'!N27</f>
        <v>4532083.7195887407</v>
      </c>
      <c r="G24" s="158">
        <f>Facilities!V27</f>
        <v>1059071.2793194053</v>
      </c>
      <c r="H24" s="158">
        <f>Library!G26</f>
        <v>504368.84162845183</v>
      </c>
      <c r="I24" s="158">
        <f>Research!I27</f>
        <v>174504.41393427819</v>
      </c>
      <c r="J24" s="158">
        <f>Enrollment!J26</f>
        <v>-20107.934761846787</v>
      </c>
      <c r="K24" s="8">
        <f t="shared" si="0"/>
        <v>15069303.653042361</v>
      </c>
      <c r="L24" s="9">
        <f t="shared" si="1"/>
        <v>2.6387865154781281E-2</v>
      </c>
      <c r="M24" s="125">
        <v>11970609.465781022</v>
      </c>
      <c r="N24" s="105">
        <f t="shared" si="8"/>
        <v>2.3804686343678546E-2</v>
      </c>
      <c r="O24" s="19">
        <f t="shared" si="2"/>
        <v>6056231.8313553585</v>
      </c>
      <c r="P24" s="108">
        <f t="shared" si="3"/>
        <v>6713427.205241791</v>
      </c>
      <c r="Q24" s="119">
        <f t="shared" si="6"/>
        <v>12769659.036597149</v>
      </c>
      <c r="R24" s="90">
        <f t="shared" si="4"/>
        <v>2.5096275749229909E-2</v>
      </c>
      <c r="S24" s="84">
        <f t="shared" si="7"/>
        <v>799049.57081612758</v>
      </c>
      <c r="T24" s="94">
        <f t="shared" si="5"/>
        <v>6.6750951411477993E-2</v>
      </c>
      <c r="V24" s="356">
        <v>1330433</v>
      </c>
      <c r="W24" s="352">
        <v>979149.05332531373</v>
      </c>
      <c r="X24" s="374">
        <v>407598.23089722701</v>
      </c>
      <c r="Y24" s="371"/>
      <c r="AA24" s="11"/>
      <c r="AB24" s="11"/>
    </row>
    <row r="25" spans="1:28" ht="12.75" customHeight="1" x14ac:dyDescent="0.2">
      <c r="A25">
        <v>3</v>
      </c>
      <c r="B25" s="45" t="s">
        <v>172</v>
      </c>
      <c r="C25" s="3" t="s">
        <v>65</v>
      </c>
      <c r="D25" s="306">
        <v>3742</v>
      </c>
      <c r="E25" s="158">
        <f>Instruction!M27</f>
        <v>9054263</v>
      </c>
      <c r="F25" s="158">
        <f>'Student &amp; Institutional Support'!N28</f>
        <v>6082554.1846065894</v>
      </c>
      <c r="G25" s="158">
        <f>Facilities!V28</f>
        <v>2667112.1555724135</v>
      </c>
      <c r="H25" s="158">
        <f>Library!G27</f>
        <v>623137.52690626518</v>
      </c>
      <c r="I25" s="158">
        <f>Research!I28</f>
        <v>215596.68234489762</v>
      </c>
      <c r="J25" s="158">
        <f>Enrollment!J27</f>
        <v>30534.751480351319</v>
      </c>
      <c r="K25" s="8">
        <f t="shared" si="0"/>
        <v>18673198.300910521</v>
      </c>
      <c r="L25" s="9">
        <f t="shared" si="1"/>
        <v>3.269864687300509E-2</v>
      </c>
      <c r="M25" s="125">
        <v>17036607.715468451</v>
      </c>
      <c r="N25" s="105">
        <f t="shared" si="8"/>
        <v>3.3878901837564895E-2</v>
      </c>
      <c r="O25" s="19">
        <f t="shared" si="2"/>
        <v>8619247.5194914825</v>
      </c>
      <c r="P25" s="108">
        <f t="shared" si="3"/>
        <v>8318974.8092240589</v>
      </c>
      <c r="Q25" s="119">
        <f t="shared" si="6"/>
        <v>16938222.32871554</v>
      </c>
      <c r="R25" s="90">
        <f t="shared" si="4"/>
        <v>3.3288774355284989E-2</v>
      </c>
      <c r="S25" s="84">
        <f t="shared" si="7"/>
        <v>-98385.386752910912</v>
      </c>
      <c r="T25" s="94">
        <f t="shared" si="5"/>
        <v>-5.774939964344048E-3</v>
      </c>
      <c r="V25" s="356">
        <v>1023149</v>
      </c>
      <c r="W25" s="352">
        <v>744336.22870674438</v>
      </c>
      <c r="X25" s="374">
        <v>297285.87483125448</v>
      </c>
      <c r="Y25" s="371"/>
      <c r="AA25" s="11"/>
      <c r="AB25" s="11"/>
    </row>
    <row r="26" spans="1:28" x14ac:dyDescent="0.2">
      <c r="A26">
        <v>3</v>
      </c>
      <c r="B26" s="45" t="s">
        <v>156</v>
      </c>
      <c r="C26" s="3" t="s">
        <v>205</v>
      </c>
      <c r="D26" s="305">
        <v>2299</v>
      </c>
      <c r="E26" s="158">
        <f>Instruction!M28</f>
        <v>6183339.5817604465</v>
      </c>
      <c r="F26" s="158">
        <f>'Student &amp; Institutional Support'!N29</f>
        <v>3393696.8321637702</v>
      </c>
      <c r="G26" s="158">
        <f>Facilities!V29</f>
        <v>1228183.9029206356</v>
      </c>
      <c r="H26" s="158">
        <f>Library!G28</f>
        <v>378182.7110895699</v>
      </c>
      <c r="I26" s="158">
        <f>Research!I29</f>
        <v>130845.81542683275</v>
      </c>
      <c r="J26" s="158">
        <f>Enrollment!J28</f>
        <v>104729.5273401048</v>
      </c>
      <c r="K26" s="8">
        <f t="shared" si="0"/>
        <v>11418978.37070136</v>
      </c>
      <c r="L26" s="9">
        <f t="shared" si="1"/>
        <v>1.999577872933745E-2</v>
      </c>
      <c r="M26" s="125">
        <v>10477614.392227579</v>
      </c>
      <c r="N26" s="105">
        <f t="shared" si="8"/>
        <v>2.0835724776584422E-2</v>
      </c>
      <c r="O26" s="19">
        <f t="shared" si="2"/>
        <v>5300888.1444396516</v>
      </c>
      <c r="P26" s="108">
        <f t="shared" si="3"/>
        <v>5087194.5920644458</v>
      </c>
      <c r="Q26" s="119">
        <f t="shared" si="6"/>
        <v>10388082.736504097</v>
      </c>
      <c r="R26" s="90">
        <f t="shared" si="4"/>
        <v>2.0415751752960929E-2</v>
      </c>
      <c r="S26" s="84">
        <f t="shared" si="7"/>
        <v>-89531.65572348237</v>
      </c>
      <c r="T26" s="94">
        <f t="shared" si="5"/>
        <v>-8.5450420651000513E-3</v>
      </c>
      <c r="V26" s="356">
        <v>637188.00000000012</v>
      </c>
      <c r="W26" s="352">
        <v>468888.73858996521</v>
      </c>
      <c r="X26" s="374">
        <v>185512.08618077938</v>
      </c>
      <c r="Y26" s="371"/>
      <c r="AA26" s="11"/>
      <c r="AB26" s="11"/>
    </row>
    <row r="27" spans="1:28" x14ac:dyDescent="0.2">
      <c r="A27">
        <v>1</v>
      </c>
      <c r="B27" s="45" t="s">
        <v>35</v>
      </c>
      <c r="C27" s="3" t="s">
        <v>201</v>
      </c>
      <c r="D27" s="305">
        <v>723</v>
      </c>
      <c r="E27" s="158">
        <f>Instruction!M29</f>
        <v>1703310.6666666667</v>
      </c>
      <c r="F27" s="158">
        <f>'Student &amp; Institutional Support'!N30</f>
        <v>1495935.8193751581</v>
      </c>
      <c r="G27" s="158">
        <f>Facilities!V30</f>
        <v>236634.70553048886</v>
      </c>
      <c r="H27" s="158">
        <f>Library!G29</f>
        <v>120255.84170503099</v>
      </c>
      <c r="I27" s="158">
        <f>Research!I30</f>
        <v>41606.803289344934</v>
      </c>
      <c r="J27" s="158">
        <f>Enrollment!J29</f>
        <v>113189.19132576531</v>
      </c>
      <c r="K27" s="8">
        <f t="shared" si="0"/>
        <v>3710933.027892455</v>
      </c>
      <c r="L27" s="9">
        <f t="shared" si="1"/>
        <v>6.4982166789558579E-3</v>
      </c>
      <c r="M27" s="125">
        <v>3197523.151916218</v>
      </c>
      <c r="N27" s="105">
        <f t="shared" si="8"/>
        <v>6.3585764722840525E-3</v>
      </c>
      <c r="O27" s="19">
        <f t="shared" si="2"/>
        <v>1617707.2311553564</v>
      </c>
      <c r="P27" s="108">
        <f t="shared" si="3"/>
        <v>1653233.5746817186</v>
      </c>
      <c r="Q27" s="119">
        <f t="shared" si="6"/>
        <v>3270940.8058370752</v>
      </c>
      <c r="R27" s="90">
        <f t="shared" si="4"/>
        <v>6.4283965756199548E-3</v>
      </c>
      <c r="S27" s="84">
        <f t="shared" si="7"/>
        <v>73417.653920857236</v>
      </c>
      <c r="T27" s="94">
        <f t="shared" si="5"/>
        <v>2.2960788845847561E-2</v>
      </c>
      <c r="V27" s="356">
        <v>172753</v>
      </c>
      <c r="W27" s="352">
        <v>124802.51012689673</v>
      </c>
      <c r="X27" s="374">
        <v>73287.972179128963</v>
      </c>
      <c r="Y27" s="371"/>
      <c r="AA27" s="11"/>
      <c r="AB27" s="11"/>
    </row>
    <row r="28" spans="1:28" x14ac:dyDescent="0.2">
      <c r="A28">
        <v>3</v>
      </c>
      <c r="B28" s="45" t="s">
        <v>37</v>
      </c>
      <c r="C28" s="3" t="s">
        <v>38</v>
      </c>
      <c r="D28" s="305">
        <v>2860</v>
      </c>
      <c r="E28" s="158">
        <f>Instruction!M30</f>
        <v>7704171.9149981886</v>
      </c>
      <c r="F28" s="158">
        <f>'Student &amp; Institutional Support'!N31</f>
        <v>4029408.1958386279</v>
      </c>
      <c r="G28" s="158">
        <f>Facilities!V31</f>
        <v>1506157.3194866795</v>
      </c>
      <c r="H28" s="158">
        <f>Library!G30</f>
        <v>463390.81006132241</v>
      </c>
      <c r="I28" s="158">
        <f>Research!I31</f>
        <v>160326.60041250239</v>
      </c>
      <c r="J28" s="158">
        <f>Enrollment!J30</f>
        <v>207551.29511529935</v>
      </c>
      <c r="K28" s="8">
        <f t="shared" si="0"/>
        <v>14071006.135912621</v>
      </c>
      <c r="L28" s="9">
        <f t="shared" si="1"/>
        <v>2.4639745873831356E-2</v>
      </c>
      <c r="M28" s="125">
        <v>12917394.127132524</v>
      </c>
      <c r="N28" s="105">
        <f t="shared" si="8"/>
        <v>2.568745697143187E-2</v>
      </c>
      <c r="O28" s="19">
        <f t="shared" si="2"/>
        <v>6535233.9590170234</v>
      </c>
      <c r="P28" s="108">
        <f t="shared" si="3"/>
        <v>6268682.1881705448</v>
      </c>
      <c r="Q28" s="119">
        <f t="shared" si="6"/>
        <v>12803916.147187568</v>
      </c>
      <c r="R28" s="90">
        <f t="shared" si="4"/>
        <v>2.5163601422631611E-2</v>
      </c>
      <c r="S28" s="84">
        <f t="shared" si="7"/>
        <v>-113477.97994495556</v>
      </c>
      <c r="T28" s="94">
        <f t="shared" si="5"/>
        <v>-8.7848972345435459E-3</v>
      </c>
      <c r="V28" s="356">
        <v>822817</v>
      </c>
      <c r="W28" s="352">
        <v>602032.41821976029</v>
      </c>
      <c r="X28" s="374">
        <v>195797.16502181039</v>
      </c>
      <c r="Y28" s="371"/>
      <c r="AA28" s="11"/>
      <c r="AB28" s="11"/>
    </row>
    <row r="29" spans="1:28" x14ac:dyDescent="0.2">
      <c r="A29">
        <v>3</v>
      </c>
      <c r="B29" s="45" t="s">
        <v>39</v>
      </c>
      <c r="C29" s="3" t="s">
        <v>202</v>
      </c>
      <c r="D29" s="305">
        <v>2078</v>
      </c>
      <c r="E29" s="158">
        <f>Instruction!M31</f>
        <v>5394066.71</v>
      </c>
      <c r="F29" s="158">
        <f>'Student &amp; Institutional Support'!N32</f>
        <v>3520824.1650419012</v>
      </c>
      <c r="G29" s="158">
        <f>Facilities!V32</f>
        <v>1334692.7300739088</v>
      </c>
      <c r="H29" s="158">
        <f>Library!G31</f>
        <v>358735.42617905338</v>
      </c>
      <c r="I29" s="158">
        <f>Research!I32</f>
        <v>124117.3326661499</v>
      </c>
      <c r="J29" s="158">
        <f>Enrollment!J31</f>
        <v>-74219.798390710785</v>
      </c>
      <c r="K29" s="8">
        <f t="shared" si="0"/>
        <v>10658216.565570302</v>
      </c>
      <c r="L29" s="9">
        <f t="shared" si="1"/>
        <v>1.8663608352330455E-2</v>
      </c>
      <c r="M29" s="125">
        <v>9982139.0958966557</v>
      </c>
      <c r="N29" s="105">
        <f t="shared" si="8"/>
        <v>1.9850425401985762E-2</v>
      </c>
      <c r="O29" s="19">
        <f t="shared" si="2"/>
        <v>5050214.7539270502</v>
      </c>
      <c r="P29" s="108">
        <f t="shared" si="3"/>
        <v>4748272.5611022143</v>
      </c>
      <c r="Q29" s="119">
        <f t="shared" si="6"/>
        <v>9798487.3150292635</v>
      </c>
      <c r="R29" s="90">
        <f t="shared" si="4"/>
        <v>1.9257016877158105E-2</v>
      </c>
      <c r="S29" s="84">
        <f t="shared" si="7"/>
        <v>-183651.7808673922</v>
      </c>
      <c r="T29" s="94">
        <f t="shared" si="5"/>
        <v>-1.8398038647135833E-2</v>
      </c>
      <c r="V29" s="356">
        <v>541517</v>
      </c>
      <c r="W29" s="352">
        <v>398241.2856423257</v>
      </c>
      <c r="X29" s="374">
        <v>161035.05736393368</v>
      </c>
      <c r="Y29" s="371"/>
      <c r="AA29" s="11"/>
      <c r="AB29" s="11"/>
    </row>
    <row r="30" spans="1:28" x14ac:dyDescent="0.2">
      <c r="A30">
        <v>3</v>
      </c>
      <c r="B30" s="45" t="s">
        <v>41</v>
      </c>
      <c r="C30" s="3" t="s">
        <v>206</v>
      </c>
      <c r="D30" s="305">
        <v>4134</v>
      </c>
      <c r="E30" s="158">
        <f>Instruction!M32</f>
        <v>8641577</v>
      </c>
      <c r="F30" s="158">
        <f>'Student &amp; Institutional Support'!N33</f>
        <v>4067808.4954724479</v>
      </c>
      <c r="G30" s="158">
        <f>Facilities!V33</f>
        <v>1750431.3228421398</v>
      </c>
      <c r="H30" s="158">
        <f>Library!G32</f>
        <v>506093.58864101063</v>
      </c>
      <c r="I30" s="158">
        <f>Research!I33</f>
        <v>175101.15176138049</v>
      </c>
      <c r="J30" s="158">
        <f>Enrollment!J32</f>
        <v>-336072.15661917621</v>
      </c>
      <c r="K30" s="8">
        <f t="shared" si="0"/>
        <v>14804939.402097803</v>
      </c>
      <c r="L30" s="9">
        <f t="shared" si="1"/>
        <v>2.592493678288791E-2</v>
      </c>
      <c r="M30" s="125">
        <v>13443442.100083489</v>
      </c>
      <c r="N30" s="105">
        <f t="shared" si="8"/>
        <v>2.6733552998006119E-2</v>
      </c>
      <c r="O30" s="19">
        <f t="shared" si="2"/>
        <v>6801374.8341088612</v>
      </c>
      <c r="P30" s="108">
        <f t="shared" si="3"/>
        <v>6595652.0116928685</v>
      </c>
      <c r="Q30" s="119">
        <f t="shared" si="6"/>
        <v>13397026.84580173</v>
      </c>
      <c r="R30" s="90">
        <f t="shared" si="4"/>
        <v>2.6329244890447013E-2</v>
      </c>
      <c r="S30" s="84">
        <f t="shared" si="7"/>
        <v>-46415.254281759262</v>
      </c>
      <c r="T30" s="94">
        <f t="shared" si="5"/>
        <v>-3.4526316947852964E-3</v>
      </c>
      <c r="V30" s="356">
        <v>1198367</v>
      </c>
      <c r="W30" s="352">
        <v>880620.43615955242</v>
      </c>
      <c r="X30" s="374">
        <v>300897.05411337101</v>
      </c>
      <c r="Y30" s="371"/>
      <c r="AA30" s="11"/>
      <c r="AB30" s="11"/>
    </row>
    <row r="31" spans="1:28" x14ac:dyDescent="0.2">
      <c r="A31">
        <v>1</v>
      </c>
      <c r="B31" s="45" t="s">
        <v>48</v>
      </c>
      <c r="C31" s="3" t="s">
        <v>78</v>
      </c>
      <c r="D31" s="305">
        <v>4642</v>
      </c>
      <c r="E31" s="158">
        <f>Instruction!M33</f>
        <v>9109690</v>
      </c>
      <c r="F31" s="158">
        <f>'Student &amp; Institutional Support'!N34</f>
        <v>4081617.8760511409</v>
      </c>
      <c r="G31" s="158">
        <f>Facilities!V34</f>
        <v>1019996.2169700664</v>
      </c>
      <c r="H31" s="158">
        <f>Library!G33</f>
        <v>497395.64325574227</v>
      </c>
      <c r="I31" s="158">
        <f>Research!I34</f>
        <v>172091.78691444031</v>
      </c>
      <c r="J31" s="158">
        <f>Enrollment!J33</f>
        <v>-197128.76540668274</v>
      </c>
      <c r="K31" s="8">
        <f t="shared" si="0"/>
        <v>14683662.757784706</v>
      </c>
      <c r="L31" s="9">
        <f t="shared" si="1"/>
        <v>2.5712569190446947E-2</v>
      </c>
      <c r="M31" s="125">
        <v>12653855.982708331</v>
      </c>
      <c r="N31" s="105">
        <f t="shared" si="8"/>
        <v>2.5163386506553191E-2</v>
      </c>
      <c r="O31" s="19">
        <f t="shared" si="2"/>
        <v>6401903.3960577557</v>
      </c>
      <c r="P31" s="108">
        <f t="shared" si="3"/>
        <v>6541622.8447162239</v>
      </c>
      <c r="Q31" s="119">
        <f t="shared" si="6"/>
        <v>12943526.24077398</v>
      </c>
      <c r="R31" s="90">
        <f t="shared" si="4"/>
        <v>2.5437977848500069E-2</v>
      </c>
      <c r="S31" s="84">
        <f t="shared" si="7"/>
        <v>289670.25806564838</v>
      </c>
      <c r="T31" s="94">
        <f t="shared" si="5"/>
        <v>2.2891856716362725E-2</v>
      </c>
      <c r="V31" s="356">
        <v>1342178</v>
      </c>
      <c r="W31" s="352">
        <v>982659.07682451443</v>
      </c>
      <c r="X31" s="374">
        <v>452572.88466530538</v>
      </c>
      <c r="Y31" s="371"/>
      <c r="AA31" s="11"/>
      <c r="AB31" s="11"/>
    </row>
    <row r="32" spans="1:28" x14ac:dyDescent="0.2">
      <c r="A32">
        <v>4</v>
      </c>
      <c r="B32" s="45" t="s">
        <v>43</v>
      </c>
      <c r="C32" s="3" t="s">
        <v>171</v>
      </c>
      <c r="D32" s="305">
        <v>2490</v>
      </c>
      <c r="E32" s="158">
        <f>Instruction!M34</f>
        <v>6527266.6560652675</v>
      </c>
      <c r="F32" s="158">
        <f>'Student &amp; Institutional Support'!N35</f>
        <v>3556071.513317117</v>
      </c>
      <c r="G32" s="158">
        <f>Facilities!V35</f>
        <v>907136.83142670977</v>
      </c>
      <c r="H32" s="158">
        <f>Library!G34</f>
        <v>384666.62502831832</v>
      </c>
      <c r="I32" s="158">
        <f>Research!I35</f>
        <v>133089.15702229773</v>
      </c>
      <c r="J32" s="158">
        <f>Enrollment!J34</f>
        <v>216199.18124609342</v>
      </c>
      <c r="K32" s="8">
        <f t="shared" si="0"/>
        <v>11724429.964105802</v>
      </c>
      <c r="L32" s="9">
        <f t="shared" si="1"/>
        <v>2.0530655167137691E-2</v>
      </c>
      <c r="M32" s="125">
        <v>10780803.806429692</v>
      </c>
      <c r="N32" s="105">
        <f t="shared" si="8"/>
        <v>2.1438645532493823E-2</v>
      </c>
      <c r="O32" s="19">
        <f t="shared" si="2"/>
        <v>5454279.2801599931</v>
      </c>
      <c r="P32" s="108">
        <f t="shared" si="3"/>
        <v>5223274.3396267574</v>
      </c>
      <c r="Q32" s="119">
        <f t="shared" si="6"/>
        <v>10677553.619786751</v>
      </c>
      <c r="R32" s="90">
        <f t="shared" si="4"/>
        <v>2.0984650349815753E-2</v>
      </c>
      <c r="S32" s="84">
        <f t="shared" si="7"/>
        <v>-103250.18664294109</v>
      </c>
      <c r="T32" s="94">
        <f t="shared" si="5"/>
        <v>-9.5772252697301184E-3</v>
      </c>
      <c r="V32" s="356">
        <v>716329</v>
      </c>
      <c r="W32" s="352">
        <v>524036.79202889639</v>
      </c>
      <c r="X32" s="374">
        <v>169676.55217464466</v>
      </c>
      <c r="Y32" s="371"/>
      <c r="AA32" s="11"/>
      <c r="AB32" s="11"/>
    </row>
    <row r="33" spans="1:28" x14ac:dyDescent="0.2">
      <c r="A33">
        <v>4</v>
      </c>
      <c r="B33" s="45" t="s">
        <v>44</v>
      </c>
      <c r="C33" s="3" t="s">
        <v>77</v>
      </c>
      <c r="D33" s="305">
        <v>3679</v>
      </c>
      <c r="E33" s="158">
        <f>Instruction!M35</f>
        <v>7993761.1200337512</v>
      </c>
      <c r="F33" s="158">
        <f>'Student &amp; Institutional Support'!N36</f>
        <v>6293323.3903303789</v>
      </c>
      <c r="G33" s="158">
        <f>Facilities!V36</f>
        <v>1718235.757658025</v>
      </c>
      <c r="H33" s="158">
        <f>Library!G35</f>
        <v>960319.21608132927</v>
      </c>
      <c r="I33" s="158">
        <f>Research!I36</f>
        <v>444499.75448351126</v>
      </c>
      <c r="J33" s="158">
        <f>Enrollment!J35</f>
        <v>-111254.77410575747</v>
      </c>
      <c r="K33" s="8">
        <f t="shared" si="0"/>
        <v>17298884.464481238</v>
      </c>
      <c r="L33" s="9">
        <f t="shared" si="1"/>
        <v>3.029208522748908E-2</v>
      </c>
      <c r="M33" s="125">
        <v>14890061.011747966</v>
      </c>
      <c r="N33" s="105">
        <f t="shared" si="8"/>
        <v>2.9610291191616522E-2</v>
      </c>
      <c r="O33" s="19">
        <f t="shared" si="2"/>
        <v>7533255.6565270731</v>
      </c>
      <c r="P33" s="108">
        <f t="shared" si="3"/>
        <v>7706713.2137015713</v>
      </c>
      <c r="Q33" s="119">
        <f t="shared" si="6"/>
        <v>15239968.870228644</v>
      </c>
      <c r="R33" s="90">
        <f t="shared" si="4"/>
        <v>2.9951188209552799E-2</v>
      </c>
      <c r="S33" s="84">
        <f t="shared" si="7"/>
        <v>349907.85848067887</v>
      </c>
      <c r="T33" s="94">
        <f t="shared" si="5"/>
        <v>2.3499424092662109E-2</v>
      </c>
      <c r="V33" s="356">
        <v>908026.99999999988</v>
      </c>
      <c r="W33" s="352">
        <v>0</v>
      </c>
      <c r="X33" s="374">
        <v>284672.59077329584</v>
      </c>
      <c r="Y33" s="371"/>
      <c r="AA33" s="11"/>
      <c r="AB33" s="11"/>
    </row>
    <row r="34" spans="1:28" x14ac:dyDescent="0.2">
      <c r="A34">
        <v>1</v>
      </c>
      <c r="B34" s="45" t="s">
        <v>45</v>
      </c>
      <c r="C34" s="3" t="s">
        <v>46</v>
      </c>
      <c r="D34" s="305">
        <v>11851</v>
      </c>
      <c r="E34" s="158">
        <f>Instruction!M36</f>
        <v>31220698.377134278</v>
      </c>
      <c r="F34" s="158">
        <f>'Student &amp; Institutional Support'!N37</f>
        <v>17479727.991208989</v>
      </c>
      <c r="G34" s="158">
        <f>Facilities!V37</f>
        <v>4790051.6055396851</v>
      </c>
      <c r="H34" s="158">
        <f>Library!G36</f>
        <v>3209428.6784329768</v>
      </c>
      <c r="I34" s="158">
        <f>Research!I37</f>
        <v>1485537.5542906774</v>
      </c>
      <c r="J34" s="158">
        <f>Enrollment!J36</f>
        <v>-168358.44157968182</v>
      </c>
      <c r="K34" s="8">
        <f t="shared" si="0"/>
        <v>58017085.76502692</v>
      </c>
      <c r="L34" s="9">
        <f t="shared" si="1"/>
        <v>0.10159374786583626</v>
      </c>
      <c r="M34" s="125">
        <v>51329999.731814899</v>
      </c>
      <c r="N34" s="105">
        <f t="shared" si="8"/>
        <v>0.10207454742633149</v>
      </c>
      <c r="O34" s="19">
        <f t="shared" si="2"/>
        <v>25969135.420207024</v>
      </c>
      <c r="P34" s="108">
        <f t="shared" si="3"/>
        <v>25846813.556321338</v>
      </c>
      <c r="Q34" s="119">
        <f t="shared" si="6"/>
        <v>51815948.976528361</v>
      </c>
      <c r="R34" s="90">
        <f t="shared" si="4"/>
        <v>0.10183414764608385</v>
      </c>
      <c r="S34" s="84">
        <f t="shared" si="7"/>
        <v>485949.24471346289</v>
      </c>
      <c r="T34" s="94">
        <f t="shared" si="5"/>
        <v>9.4671585281982037E-3</v>
      </c>
      <c r="V34" s="356">
        <v>4045921</v>
      </c>
      <c r="W34" s="352">
        <v>0</v>
      </c>
      <c r="X34" s="374">
        <v>680046.71056675655</v>
      </c>
      <c r="Y34" s="371"/>
      <c r="AA34" s="11"/>
      <c r="AB34" s="11"/>
    </row>
    <row r="35" spans="1:28" x14ac:dyDescent="0.2">
      <c r="A35">
        <v>1</v>
      </c>
      <c r="B35" s="45" t="s">
        <v>47</v>
      </c>
      <c r="C35" s="3" t="s">
        <v>207</v>
      </c>
      <c r="D35" s="305">
        <v>3462</v>
      </c>
      <c r="E35" s="158">
        <f>Instruction!M37</f>
        <v>7261647</v>
      </c>
      <c r="F35" s="158">
        <f>'Student &amp; Institutional Support'!N38</f>
        <v>3435499.0109807006</v>
      </c>
      <c r="G35" s="158">
        <f>Facilities!V38</f>
        <v>847772.87070602144</v>
      </c>
      <c r="H35" s="158">
        <f>Library!G37</f>
        <v>404072.16085903533</v>
      </c>
      <c r="I35" s="158">
        <f>Research!I38</f>
        <v>139803.19519778536</v>
      </c>
      <c r="J35" s="158">
        <f>Enrollment!J37</f>
        <v>264687.62045627745</v>
      </c>
      <c r="K35" s="8">
        <f t="shared" si="0"/>
        <v>12353481.858199822</v>
      </c>
      <c r="L35" s="9">
        <f t="shared" si="1"/>
        <v>2.163218825313145E-2</v>
      </c>
      <c r="M35" s="125">
        <v>10906371.988563366</v>
      </c>
      <c r="N35" s="105">
        <f t="shared" si="8"/>
        <v>2.1688349709961363E-2</v>
      </c>
      <c r="O35" s="19">
        <f t="shared" si="2"/>
        <v>5517807.3756857263</v>
      </c>
      <c r="P35" s="108">
        <f t="shared" si="3"/>
        <v>5503519.1469883155</v>
      </c>
      <c r="Q35" s="119">
        <f t="shared" si="6"/>
        <v>11021326.522674043</v>
      </c>
      <c r="R35" s="90">
        <f t="shared" si="4"/>
        <v>2.1660268981546407E-2</v>
      </c>
      <c r="S35" s="84">
        <f t="shared" si="7"/>
        <v>114954.5341106765</v>
      </c>
      <c r="T35" s="94">
        <f t="shared" si="5"/>
        <v>1.0540125921912443E-2</v>
      </c>
      <c r="V35" s="356">
        <v>995309</v>
      </c>
      <c r="W35" s="352">
        <v>725540.06426719972</v>
      </c>
      <c r="X35" s="374">
        <v>285798.38818222372</v>
      </c>
      <c r="Y35" s="371"/>
      <c r="AA35" s="11"/>
      <c r="AB35" s="11"/>
    </row>
    <row r="36" spans="1:28" x14ac:dyDescent="0.2">
      <c r="A36">
        <v>4</v>
      </c>
      <c r="B36" s="45" t="s">
        <v>49</v>
      </c>
      <c r="C36" s="3" t="s">
        <v>50</v>
      </c>
      <c r="D36" s="305">
        <v>8149</v>
      </c>
      <c r="E36" s="158">
        <f>Instruction!M38</f>
        <v>18925125.140009951</v>
      </c>
      <c r="F36" s="158">
        <f>'Student &amp; Institutional Support'!N39</f>
        <v>10041286.308955006</v>
      </c>
      <c r="G36" s="158">
        <f>Facilities!V39</f>
        <v>2360655.508008312</v>
      </c>
      <c r="H36" s="158">
        <f>Library!G38</f>
        <v>1879624.0174183962</v>
      </c>
      <c r="I36" s="158">
        <f>Research!I39</f>
        <v>870015.30352906161</v>
      </c>
      <c r="J36" s="158">
        <f>Enrollment!J38</f>
        <v>-182063.00188634591</v>
      </c>
      <c r="K36" s="8">
        <f t="shared" si="0"/>
        <v>33894643.276034385</v>
      </c>
      <c r="L36" s="9">
        <f t="shared" si="1"/>
        <v>5.9352926772886179E-2</v>
      </c>
      <c r="M36" s="125">
        <v>28263336.27208475</v>
      </c>
      <c r="N36" s="105">
        <f t="shared" si="8"/>
        <v>5.6204310808580335E-2</v>
      </c>
      <c r="O36" s="19">
        <f t="shared" si="2"/>
        <v>14299131.324984064</v>
      </c>
      <c r="P36" s="108">
        <f t="shared" si="3"/>
        <v>15100181.502770023</v>
      </c>
      <c r="Q36" s="119">
        <f>O36+P36</f>
        <v>29399312.827754088</v>
      </c>
      <c r="R36" s="90">
        <f t="shared" si="4"/>
        <v>5.7778618790733254E-2</v>
      </c>
      <c r="S36" s="84">
        <f t="shared" si="7"/>
        <v>1135976.5556693375</v>
      </c>
      <c r="T36" s="94">
        <f t="shared" si="5"/>
        <v>4.0192585359829711E-2</v>
      </c>
      <c r="V36" s="356">
        <v>3169505</v>
      </c>
      <c r="W36" s="352">
        <v>0</v>
      </c>
      <c r="X36" s="374">
        <v>340208.19954999967</v>
      </c>
      <c r="Y36" s="371"/>
      <c r="AA36" s="11"/>
      <c r="AB36" s="11"/>
    </row>
    <row r="37" spans="1:28" x14ac:dyDescent="0.2">
      <c r="O37" s="18"/>
      <c r="P37" s="107"/>
      <c r="Q37" s="110"/>
      <c r="S37" s="11"/>
    </row>
    <row r="38" spans="1:28" x14ac:dyDescent="0.2">
      <c r="B38" s="4"/>
      <c r="C38" s="4" t="s">
        <v>51</v>
      </c>
      <c r="D38" s="307">
        <f t="shared" ref="D38:N38" si="9">SUM(D6:D37)</f>
        <v>138972</v>
      </c>
      <c r="E38" s="307">
        <f t="shared" si="9"/>
        <v>316159509.45121825</v>
      </c>
      <c r="F38" s="307">
        <f t="shared" si="9"/>
        <v>172780954.04977986</v>
      </c>
      <c r="G38" s="307">
        <f t="shared" si="9"/>
        <v>47919766.806595832</v>
      </c>
      <c r="H38" s="307">
        <f t="shared" si="9"/>
        <v>24273048.819250967</v>
      </c>
      <c r="I38" s="307">
        <f t="shared" si="9"/>
        <v>9936171.3441007715</v>
      </c>
      <c r="J38" s="307">
        <f t="shared" si="9"/>
        <v>3.8417056202888489E-9</v>
      </c>
      <c r="K38" s="12">
        <f t="shared" si="9"/>
        <v>571069450.4709456</v>
      </c>
      <c r="L38" s="7">
        <f t="shared" si="9"/>
        <v>1.0000000000000002</v>
      </c>
      <c r="M38" s="121">
        <f t="shared" si="9"/>
        <v>502867766.99999988</v>
      </c>
      <c r="N38" s="106">
        <f t="shared" si="9"/>
        <v>1.0000000000000002</v>
      </c>
      <c r="O38" s="5">
        <f t="shared" ref="O38:S38" si="10">SUM(O6:O37)</f>
        <v>254413427.00000003</v>
      </c>
      <c r="P38" s="111">
        <f t="shared" si="10"/>
        <v>254413427.00000006</v>
      </c>
      <c r="Q38" s="111">
        <f t="shared" si="10"/>
        <v>508826854.00000006</v>
      </c>
      <c r="R38" s="7">
        <f>SUM(R6:R37)</f>
        <v>1</v>
      </c>
      <c r="S38" s="5">
        <f t="shared" si="10"/>
        <v>5959087.000000136</v>
      </c>
      <c r="T38" s="354">
        <f>S38/M38</f>
        <v>1.1850206736356872E-2</v>
      </c>
      <c r="V38" s="353">
        <f>SUM(V6:V37)</f>
        <v>42764117</v>
      </c>
      <c r="W38" s="353">
        <f>SUM(W6:W37)</f>
        <v>17299999.999999996</v>
      </c>
      <c r="X38" s="353">
        <f>SUM(X6:X37)</f>
        <v>9601008.0000000019</v>
      </c>
      <c r="Y38" s="369"/>
    </row>
    <row r="39" spans="1:28" ht="18.75" customHeight="1" x14ac:dyDescent="0.2">
      <c r="B39" s="4"/>
      <c r="C39" s="4"/>
      <c r="D39" s="307"/>
      <c r="E39" s="307"/>
      <c r="F39" s="307"/>
      <c r="G39" s="307"/>
      <c r="H39" s="307"/>
      <c r="I39" s="307"/>
      <c r="J39" s="307"/>
      <c r="K39" s="12"/>
      <c r="L39" s="7"/>
      <c r="M39" s="126"/>
      <c r="N39" s="106"/>
      <c r="O39" s="5"/>
      <c r="P39" s="111"/>
      <c r="Q39" s="111"/>
      <c r="R39" s="7"/>
      <c r="S39" s="5"/>
    </row>
    <row r="40" spans="1:28" ht="21" customHeight="1" x14ac:dyDescent="0.2">
      <c r="B40" s="16" t="s">
        <v>52</v>
      </c>
      <c r="E40" s="361"/>
      <c r="F40" s="361"/>
      <c r="G40" s="361"/>
      <c r="H40" s="361"/>
      <c r="I40" s="361"/>
      <c r="J40" s="361"/>
      <c r="O40" s="25"/>
      <c r="P40" s="176">
        <f>(P42)/2</f>
        <v>254413427</v>
      </c>
      <c r="Q40" s="91"/>
      <c r="R40" s="112"/>
      <c r="S40" s="25"/>
    </row>
    <row r="41" spans="1:28" ht="12" customHeight="1" x14ac:dyDescent="0.2">
      <c r="B41" s="375"/>
      <c r="C41" s="376"/>
      <c r="M41" s="145"/>
      <c r="O41" s="15"/>
      <c r="Q41" s="91"/>
      <c r="R41" s="109"/>
      <c r="S41" s="15"/>
      <c r="T41" s="116"/>
    </row>
    <row r="42" spans="1:28" x14ac:dyDescent="0.2">
      <c r="K42" s="323"/>
      <c r="O42" s="276" t="s">
        <v>191</v>
      </c>
      <c r="P42" s="11">
        <f>508256854+570000</f>
        <v>508826854</v>
      </c>
    </row>
    <row r="44" spans="1:28" x14ac:dyDescent="0.2">
      <c r="K44" s="300"/>
      <c r="O44" s="349"/>
    </row>
    <row r="46" spans="1:28" x14ac:dyDescent="0.2">
      <c r="Q46" s="218"/>
    </row>
    <row r="47" spans="1:28" x14ac:dyDescent="0.2">
      <c r="P47" s="110">
        <v>502867766.99999988</v>
      </c>
      <c r="Q47" s="218"/>
    </row>
    <row r="49" spans="17:17" x14ac:dyDescent="0.2">
      <c r="Q49" s="112"/>
    </row>
    <row r="52" spans="17:17" x14ac:dyDescent="0.2">
      <c r="Q52" s="241"/>
    </row>
  </sheetData>
  <mergeCells count="1">
    <mergeCell ref="B41:C41"/>
  </mergeCells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FY2017
COLLEGE/UNIVERSITY ALLOCATIONS DRAFT
(FRAMEWORK BASED ON FY2015 DATA)
</oddHeader>
  </headerFooter>
  <colBreaks count="2" manualBreakCount="2">
    <brk id="12" max="1048575" man="1"/>
    <brk id="20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50"/>
  <sheetViews>
    <sheetView zoomScale="80" zoomScaleNormal="80" workbookViewId="0">
      <selection activeCell="J40" sqref="J40"/>
    </sheetView>
  </sheetViews>
  <sheetFormatPr defaultRowHeight="15" customHeight="1" x14ac:dyDescent="0.2"/>
  <cols>
    <col min="1" max="1" width="7.28515625" style="120" customWidth="1"/>
    <col min="2" max="2" width="31.7109375" style="120" customWidth="1"/>
    <col min="3" max="3" width="16.140625" style="109" customWidth="1"/>
    <col min="4" max="4" width="12.7109375" style="110" customWidth="1"/>
    <col min="5" max="5" width="12.5703125" style="110" customWidth="1"/>
    <col min="6" max="6" width="13" style="110" customWidth="1"/>
    <col min="7" max="7" width="11" style="110" customWidth="1"/>
    <col min="8" max="8" width="10.42578125" style="110" customWidth="1"/>
    <col min="9" max="9" width="12.85546875" style="128" customWidth="1"/>
    <col min="10" max="11" width="15.85546875" style="109" customWidth="1"/>
    <col min="12" max="12" width="14" style="109" customWidth="1"/>
    <col min="13" max="13" width="13.7109375" style="120" customWidth="1"/>
    <col min="14" max="14" width="11.5703125" style="120" bestFit="1" customWidth="1"/>
    <col min="15" max="15" width="11.28515625" style="120" bestFit="1" customWidth="1"/>
    <col min="16" max="16384" width="9.140625" style="120"/>
  </cols>
  <sheetData>
    <row r="1" spans="1:16" ht="15" customHeight="1" x14ac:dyDescent="0.25">
      <c r="A1" s="127" t="s">
        <v>80</v>
      </c>
    </row>
    <row r="2" spans="1:16" ht="15" customHeight="1" x14ac:dyDescent="0.2">
      <c r="A2" s="129" t="s">
        <v>81</v>
      </c>
      <c r="G2" s="111"/>
    </row>
    <row r="3" spans="1:16" ht="15" customHeight="1" x14ac:dyDescent="0.2">
      <c r="A3" s="130" t="s">
        <v>224</v>
      </c>
    </row>
    <row r="4" spans="1:16" s="131" customFormat="1" ht="15" customHeight="1" x14ac:dyDescent="0.2">
      <c r="C4" s="175"/>
      <c r="D4" s="147" t="s">
        <v>82</v>
      </c>
      <c r="E4" s="147" t="s">
        <v>83</v>
      </c>
      <c r="F4" s="147" t="s">
        <v>84</v>
      </c>
      <c r="G4" s="147" t="s">
        <v>85</v>
      </c>
      <c r="H4" s="147" t="s">
        <v>86</v>
      </c>
      <c r="I4" s="132" t="s">
        <v>87</v>
      </c>
      <c r="J4" s="175" t="s">
        <v>88</v>
      </c>
      <c r="K4" s="175"/>
      <c r="L4" s="175"/>
      <c r="M4" s="131" t="s">
        <v>165</v>
      </c>
    </row>
    <row r="5" spans="1:16" ht="27.75" customHeight="1" x14ac:dyDescent="0.2">
      <c r="B5" s="133"/>
      <c r="C5" s="175" t="s">
        <v>89</v>
      </c>
      <c r="D5" s="308" t="s">
        <v>180</v>
      </c>
      <c r="E5" s="309"/>
      <c r="F5" s="310" t="s">
        <v>90</v>
      </c>
      <c r="G5" s="309" t="s">
        <v>180</v>
      </c>
      <c r="H5" s="311" t="s">
        <v>180</v>
      </c>
      <c r="I5" s="132" t="s">
        <v>91</v>
      </c>
      <c r="J5" s="175" t="s">
        <v>92</v>
      </c>
      <c r="K5" s="175" t="s">
        <v>157</v>
      </c>
      <c r="L5" s="175" t="s">
        <v>186</v>
      </c>
      <c r="M5" s="131" t="s">
        <v>132</v>
      </c>
    </row>
    <row r="6" spans="1:16" s="137" customFormat="1" ht="90" customHeight="1" x14ac:dyDescent="0.2">
      <c r="A6" s="134" t="s">
        <v>0</v>
      </c>
      <c r="B6" s="135" t="s">
        <v>93</v>
      </c>
      <c r="C6" s="221" t="s">
        <v>225</v>
      </c>
      <c r="D6" s="177" t="s">
        <v>94</v>
      </c>
      <c r="E6" s="312" t="s">
        <v>95</v>
      </c>
      <c r="F6" s="312" t="s">
        <v>96</v>
      </c>
      <c r="G6" s="177" t="s">
        <v>97</v>
      </c>
      <c r="H6" s="177" t="s">
        <v>98</v>
      </c>
      <c r="I6" s="136" t="s">
        <v>99</v>
      </c>
      <c r="J6" s="255" t="s">
        <v>215</v>
      </c>
      <c r="K6" s="255" t="s">
        <v>210</v>
      </c>
      <c r="L6" s="255" t="s">
        <v>196</v>
      </c>
      <c r="M6" s="134" t="s">
        <v>169</v>
      </c>
    </row>
    <row r="7" spans="1:16" ht="15" customHeight="1" x14ac:dyDescent="0.2">
      <c r="B7" s="138"/>
      <c r="C7" s="214"/>
      <c r="D7" s="313"/>
      <c r="E7" s="314"/>
      <c r="F7" s="314"/>
    </row>
    <row r="8" spans="1:16" ht="15" customHeight="1" x14ac:dyDescent="0.2">
      <c r="A8" s="139" t="s">
        <v>2</v>
      </c>
      <c r="B8" s="3" t="s">
        <v>199</v>
      </c>
      <c r="C8" s="215">
        <v>5541620</v>
      </c>
      <c r="D8" s="158">
        <v>-256311</v>
      </c>
      <c r="E8" s="315"/>
      <c r="F8" s="213"/>
      <c r="G8" s="158"/>
      <c r="H8" s="158"/>
      <c r="I8" s="125">
        <f>SUM(D8:H8)</f>
        <v>-256311</v>
      </c>
      <c r="J8" s="197">
        <f t="shared" ref="J8:J12" si="0">+C8+I8</f>
        <v>5285309</v>
      </c>
      <c r="K8" s="197">
        <v>5310660</v>
      </c>
      <c r="L8" s="197">
        <v>4989153</v>
      </c>
      <c r="M8" s="140">
        <f>AVERAGE(J8:L8)</f>
        <v>5195040.666666667</v>
      </c>
      <c r="N8" s="128"/>
      <c r="O8" s="128"/>
      <c r="P8" s="344"/>
    </row>
    <row r="9" spans="1:16" s="109" customFormat="1" ht="15" customHeight="1" x14ac:dyDescent="0.2">
      <c r="A9" s="10" t="s">
        <v>4</v>
      </c>
      <c r="B9" s="3" t="s">
        <v>188</v>
      </c>
      <c r="C9" s="215">
        <v>13742492</v>
      </c>
      <c r="D9" s="158">
        <v>1004883</v>
      </c>
      <c r="E9" s="315"/>
      <c r="F9" s="213"/>
      <c r="G9" s="213"/>
      <c r="H9" s="213"/>
      <c r="I9" s="213">
        <f t="shared" ref="I9:I15" si="1">SUM(D9:H9)</f>
        <v>1004883</v>
      </c>
      <c r="J9" s="197">
        <f t="shared" si="0"/>
        <v>14747375</v>
      </c>
      <c r="K9" s="197">
        <v>13461467</v>
      </c>
      <c r="L9" s="197">
        <v>11969071</v>
      </c>
      <c r="M9" s="197">
        <f>AVERAGE(J9:L9)</f>
        <v>13392637.666666666</v>
      </c>
      <c r="N9" s="110"/>
      <c r="O9" s="128"/>
      <c r="P9" s="344"/>
    </row>
    <row r="10" spans="1:16" ht="15" customHeight="1" x14ac:dyDescent="0.2">
      <c r="A10" s="139" t="s">
        <v>5</v>
      </c>
      <c r="B10" s="3" t="s">
        <v>160</v>
      </c>
      <c r="C10" s="215">
        <f>5571390+5708732+544961</f>
        <v>11825083</v>
      </c>
      <c r="D10" s="158">
        <v>60315</v>
      </c>
      <c r="E10" s="315"/>
      <c r="F10" s="316">
        <v>268306</v>
      </c>
      <c r="G10" s="316">
        <v>247866</v>
      </c>
      <c r="H10" s="316">
        <v>2536</v>
      </c>
      <c r="I10" s="125">
        <f t="shared" si="1"/>
        <v>579023</v>
      </c>
      <c r="J10" s="197">
        <f>+C10+I10</f>
        <v>12404106</v>
      </c>
      <c r="K10" s="197">
        <v>11283345</v>
      </c>
      <c r="L10" s="197">
        <v>9467428.1395470202</v>
      </c>
      <c r="M10" s="140">
        <f t="shared" ref="M10:M38" si="2">AVERAGE(J10:L10)</f>
        <v>11051626.379849007</v>
      </c>
      <c r="N10" s="128"/>
      <c r="O10" s="128"/>
      <c r="P10" s="344"/>
    </row>
    <row r="11" spans="1:16" ht="15" customHeight="1" x14ac:dyDescent="0.2">
      <c r="A11" s="139" t="s">
        <v>6</v>
      </c>
      <c r="B11" s="3" t="s">
        <v>7</v>
      </c>
      <c r="C11" s="215">
        <v>6700664</v>
      </c>
      <c r="D11" s="158">
        <v>246370</v>
      </c>
      <c r="E11" s="317">
        <v>9645</v>
      </c>
      <c r="F11" s="213"/>
      <c r="G11" s="158"/>
      <c r="H11" s="158"/>
      <c r="I11" s="125">
        <f t="shared" si="1"/>
        <v>256015</v>
      </c>
      <c r="J11" s="197">
        <f t="shared" si="0"/>
        <v>6956679</v>
      </c>
      <c r="K11" s="197">
        <v>6874846</v>
      </c>
      <c r="L11" s="197">
        <v>6413527.5769270146</v>
      </c>
      <c r="M11" s="140">
        <f t="shared" si="2"/>
        <v>6748350.8589756712</v>
      </c>
      <c r="N11" s="128"/>
      <c r="O11" s="128"/>
      <c r="P11" s="344"/>
    </row>
    <row r="12" spans="1:16" ht="15" customHeight="1" x14ac:dyDescent="0.2">
      <c r="A12" s="139" t="s">
        <v>8</v>
      </c>
      <c r="B12" s="3" t="s">
        <v>9</v>
      </c>
      <c r="C12" s="215">
        <v>12489810</v>
      </c>
      <c r="D12" s="158">
        <v>879217</v>
      </c>
      <c r="E12" s="315"/>
      <c r="F12" s="213"/>
      <c r="G12" s="158"/>
      <c r="H12" s="158"/>
      <c r="I12" s="125">
        <f t="shared" si="1"/>
        <v>879217</v>
      </c>
      <c r="J12" s="197">
        <f t="shared" si="0"/>
        <v>13369027</v>
      </c>
      <c r="K12" s="197">
        <v>13045030</v>
      </c>
      <c r="L12" s="197">
        <v>12252207</v>
      </c>
      <c r="M12" s="140">
        <f t="shared" si="2"/>
        <v>12888754.666666666</v>
      </c>
      <c r="N12" s="128"/>
      <c r="O12" s="128"/>
      <c r="P12" s="344"/>
    </row>
    <row r="13" spans="1:16" ht="15" customHeight="1" x14ac:dyDescent="0.2">
      <c r="A13" s="139" t="s">
        <v>10</v>
      </c>
      <c r="B13" s="3" t="s">
        <v>11</v>
      </c>
      <c r="C13" s="215">
        <v>5934476</v>
      </c>
      <c r="D13" s="158">
        <v>-363497</v>
      </c>
      <c r="E13" s="315"/>
      <c r="F13" s="213"/>
      <c r="G13" s="158"/>
      <c r="H13" s="158"/>
      <c r="I13" s="125">
        <f t="shared" si="1"/>
        <v>-363497</v>
      </c>
      <c r="J13" s="197">
        <f t="shared" ref="J13:J38" si="3">+C13+I13</f>
        <v>5570979</v>
      </c>
      <c r="K13" s="197">
        <v>5291593</v>
      </c>
      <c r="L13" s="197">
        <v>5411369</v>
      </c>
      <c r="M13" s="140">
        <f t="shared" si="2"/>
        <v>5424647</v>
      </c>
      <c r="N13" s="128"/>
      <c r="O13" s="128"/>
      <c r="P13" s="344"/>
    </row>
    <row r="14" spans="1:16" ht="15" customHeight="1" x14ac:dyDescent="0.2">
      <c r="A14" s="139" t="s">
        <v>12</v>
      </c>
      <c r="B14" s="3" t="s">
        <v>13</v>
      </c>
      <c r="C14" s="215">
        <v>2252390</v>
      </c>
      <c r="D14" s="158">
        <v>233492</v>
      </c>
      <c r="E14" s="315"/>
      <c r="F14" s="213"/>
      <c r="G14" s="158"/>
      <c r="H14" s="158"/>
      <c r="I14" s="125">
        <f t="shared" si="1"/>
        <v>233492</v>
      </c>
      <c r="J14" s="197">
        <f t="shared" si="3"/>
        <v>2485882</v>
      </c>
      <c r="K14" s="197">
        <v>2273466</v>
      </c>
      <c r="L14" s="197">
        <v>2049258</v>
      </c>
      <c r="M14" s="140">
        <f t="shared" si="2"/>
        <v>2269535.3333333335</v>
      </c>
      <c r="N14" s="128"/>
      <c r="O14" s="128"/>
      <c r="P14" s="344"/>
    </row>
    <row r="15" spans="1:16" ht="15" customHeight="1" x14ac:dyDescent="0.2">
      <c r="A15" s="139" t="s">
        <v>14</v>
      </c>
      <c r="B15" s="3" t="s">
        <v>245</v>
      </c>
      <c r="C15" s="215">
        <v>10798469</v>
      </c>
      <c r="D15" s="158">
        <v>-283556</v>
      </c>
      <c r="E15" s="315"/>
      <c r="F15" s="213"/>
      <c r="G15" s="158"/>
      <c r="H15" s="158"/>
      <c r="I15" s="125">
        <f t="shared" si="1"/>
        <v>-283556</v>
      </c>
      <c r="J15" s="197">
        <f t="shared" si="3"/>
        <v>10514913</v>
      </c>
      <c r="K15" s="197">
        <v>10519864</v>
      </c>
      <c r="L15" s="197">
        <v>10394705</v>
      </c>
      <c r="M15" s="140">
        <f t="shared" si="2"/>
        <v>10476494</v>
      </c>
      <c r="N15" s="128"/>
      <c r="O15" s="128"/>
      <c r="P15" s="344"/>
    </row>
    <row r="16" spans="1:16" ht="15" customHeight="1" x14ac:dyDescent="0.2">
      <c r="A16" s="139" t="s">
        <v>16</v>
      </c>
      <c r="B16" s="3" t="s">
        <v>246</v>
      </c>
      <c r="C16" s="215">
        <v>7553520</v>
      </c>
      <c r="D16" s="158">
        <v>145986</v>
      </c>
      <c r="E16" s="315"/>
      <c r="F16" s="213"/>
      <c r="G16" s="158"/>
      <c r="H16" s="158"/>
      <c r="I16" s="125">
        <f>SUM(D16:H16)</f>
        <v>145986</v>
      </c>
      <c r="J16" s="197">
        <f t="shared" si="3"/>
        <v>7699506</v>
      </c>
      <c r="K16" s="197">
        <v>7371641</v>
      </c>
      <c r="L16" s="197">
        <v>6847964</v>
      </c>
      <c r="M16" s="140">
        <f t="shared" si="2"/>
        <v>7306370.333333333</v>
      </c>
      <c r="N16" s="128"/>
      <c r="O16" s="128"/>
      <c r="P16" s="344"/>
    </row>
    <row r="17" spans="1:16" ht="15" customHeight="1" x14ac:dyDescent="0.2">
      <c r="A17" s="139" t="s">
        <v>18</v>
      </c>
      <c r="B17" s="3" t="s">
        <v>19</v>
      </c>
      <c r="C17" s="215">
        <v>8594870</v>
      </c>
      <c r="D17" s="158">
        <v>-189544</v>
      </c>
      <c r="E17" s="315"/>
      <c r="F17" s="213"/>
      <c r="G17" s="158"/>
      <c r="H17" s="158"/>
      <c r="I17" s="125">
        <f>SUM(D17:H17)</f>
        <v>-189544</v>
      </c>
      <c r="J17" s="197">
        <f t="shared" si="3"/>
        <v>8405326</v>
      </c>
      <c r="K17" s="197">
        <v>7937051</v>
      </c>
      <c r="L17" s="197">
        <v>6704436</v>
      </c>
      <c r="M17" s="140">
        <f t="shared" si="2"/>
        <v>7682271</v>
      </c>
      <c r="N17" s="128"/>
      <c r="O17" s="128"/>
      <c r="P17" s="344"/>
    </row>
    <row r="18" spans="1:16" ht="15" customHeight="1" x14ac:dyDescent="0.2">
      <c r="A18" s="139" t="s">
        <v>20</v>
      </c>
      <c r="B18" s="3" t="s">
        <v>247</v>
      </c>
      <c r="C18" s="215">
        <f>4230334+12819664+1326884+185087</f>
        <v>18561969</v>
      </c>
      <c r="D18" s="158">
        <v>-736283</v>
      </c>
      <c r="E18" s="315"/>
      <c r="F18" s="316">
        <v>250743</v>
      </c>
      <c r="G18" s="316">
        <v>-549147</v>
      </c>
      <c r="H18" s="316">
        <f>84590+4871</f>
        <v>89461</v>
      </c>
      <c r="I18" s="125">
        <f t="shared" ref="I18:I38" si="4">SUM(D18:H18)</f>
        <v>-945226</v>
      </c>
      <c r="J18" s="197">
        <f t="shared" si="3"/>
        <v>17616743</v>
      </c>
      <c r="K18" s="197">
        <v>14500094</v>
      </c>
      <c r="L18" s="197">
        <v>12131277.865044296</v>
      </c>
      <c r="M18" s="140">
        <f t="shared" si="2"/>
        <v>14749371.621681431</v>
      </c>
      <c r="N18" s="128"/>
      <c r="O18" s="128"/>
      <c r="P18" s="344"/>
    </row>
    <row r="19" spans="1:16" ht="15" customHeight="1" x14ac:dyDescent="0.2">
      <c r="A19" s="139" t="s">
        <v>21</v>
      </c>
      <c r="B19" s="3" t="s">
        <v>200</v>
      </c>
      <c r="C19" s="215">
        <v>11056456</v>
      </c>
      <c r="D19" s="158">
        <v>1026302</v>
      </c>
      <c r="E19" s="315"/>
      <c r="F19" s="213"/>
      <c r="G19" s="213"/>
      <c r="H19" s="158"/>
      <c r="I19" s="125">
        <f t="shared" si="4"/>
        <v>1026302</v>
      </c>
      <c r="J19" s="197">
        <f t="shared" si="3"/>
        <v>12082758</v>
      </c>
      <c r="K19" s="197">
        <v>12443539</v>
      </c>
      <c r="L19" s="197">
        <v>11893972</v>
      </c>
      <c r="M19" s="140">
        <f t="shared" si="2"/>
        <v>12140089.666666666</v>
      </c>
      <c r="N19" s="128"/>
      <c r="O19" s="128"/>
      <c r="P19" s="344"/>
    </row>
    <row r="20" spans="1:16" ht="15" customHeight="1" x14ac:dyDescent="0.2">
      <c r="A20" s="139" t="s">
        <v>23</v>
      </c>
      <c r="B20" s="200" t="s">
        <v>79</v>
      </c>
      <c r="C20" s="220">
        <v>5335565</v>
      </c>
      <c r="D20" s="158">
        <v>-1154871</v>
      </c>
      <c r="E20" s="315"/>
      <c r="F20" s="213"/>
      <c r="G20" s="158"/>
      <c r="H20" s="158"/>
      <c r="I20" s="125">
        <f t="shared" si="4"/>
        <v>-1154871</v>
      </c>
      <c r="J20" s="197">
        <f t="shared" si="3"/>
        <v>4180694</v>
      </c>
      <c r="K20" s="197">
        <v>4138112</v>
      </c>
      <c r="L20" s="197">
        <v>4082620</v>
      </c>
      <c r="M20" s="140">
        <f t="shared" si="2"/>
        <v>4133808.6666666665</v>
      </c>
      <c r="N20" s="128"/>
      <c r="O20" s="128"/>
      <c r="P20" s="344"/>
    </row>
    <row r="21" spans="1:16" ht="15" customHeight="1" x14ac:dyDescent="0.2">
      <c r="A21" s="141" t="s">
        <v>155</v>
      </c>
      <c r="B21" s="3" t="s">
        <v>248</v>
      </c>
      <c r="C21" s="215">
        <v>12247881</v>
      </c>
      <c r="D21" s="158">
        <v>-921907</v>
      </c>
      <c r="E21" s="315"/>
      <c r="F21" s="213"/>
      <c r="G21" s="158"/>
      <c r="H21" s="158"/>
      <c r="I21" s="125">
        <f t="shared" si="4"/>
        <v>-921907</v>
      </c>
      <c r="J21" s="197">
        <f t="shared" si="3"/>
        <v>11325974</v>
      </c>
      <c r="K21" s="197">
        <v>10744434</v>
      </c>
      <c r="L21" s="197">
        <v>10324266</v>
      </c>
      <c r="M21" s="140">
        <f t="shared" si="2"/>
        <v>10798224.666666666</v>
      </c>
      <c r="N21" s="128"/>
      <c r="O21" s="128"/>
      <c r="P21" s="344"/>
    </row>
    <row r="22" spans="1:16" ht="15" customHeight="1" x14ac:dyDescent="0.2">
      <c r="A22" s="139" t="s">
        <v>28</v>
      </c>
      <c r="B22" s="3" t="s">
        <v>64</v>
      </c>
      <c r="C22" s="215">
        <f>5650386+9581636+1522527+2546</f>
        <v>16757095</v>
      </c>
      <c r="D22" s="158">
        <v>-565553</v>
      </c>
      <c r="E22" s="315"/>
      <c r="F22" s="316">
        <v>414267</v>
      </c>
      <c r="G22" s="316">
        <v>-770423</v>
      </c>
      <c r="H22" s="316">
        <f>99527+1392</f>
        <v>100919</v>
      </c>
      <c r="I22" s="125">
        <f t="shared" si="4"/>
        <v>-820790</v>
      </c>
      <c r="J22" s="197">
        <f t="shared" si="3"/>
        <v>15936305</v>
      </c>
      <c r="K22" s="197">
        <v>15523230</v>
      </c>
      <c r="L22" s="197">
        <v>13284068.005655224</v>
      </c>
      <c r="M22" s="140">
        <f t="shared" si="2"/>
        <v>14914534.335218407</v>
      </c>
      <c r="N22" s="128"/>
      <c r="O22" s="128"/>
      <c r="P22" s="344"/>
    </row>
    <row r="23" spans="1:16" ht="15" customHeight="1" x14ac:dyDescent="0.2">
      <c r="A23" s="139" t="s">
        <v>24</v>
      </c>
      <c r="B23" s="3" t="s">
        <v>25</v>
      </c>
      <c r="C23" s="215">
        <f>12451949+11901028+5608397+234872</f>
        <v>30196246</v>
      </c>
      <c r="D23" s="158">
        <v>2082347</v>
      </c>
      <c r="E23" s="315"/>
      <c r="F23" s="316">
        <v>956361</v>
      </c>
      <c r="G23" s="316">
        <v>1253371</v>
      </c>
      <c r="H23" s="316">
        <f>-87187-35519</f>
        <v>-122706</v>
      </c>
      <c r="I23" s="125">
        <f t="shared" si="4"/>
        <v>4169373</v>
      </c>
      <c r="J23" s="197">
        <f t="shared" si="3"/>
        <v>34365619</v>
      </c>
      <c r="K23" s="197">
        <v>32048795</v>
      </c>
      <c r="L23" s="197">
        <v>26486979.186961595</v>
      </c>
      <c r="M23" s="140">
        <f t="shared" si="2"/>
        <v>30967131.06232053</v>
      </c>
      <c r="N23" s="128"/>
      <c r="O23" s="128"/>
      <c r="P23" s="344"/>
    </row>
    <row r="24" spans="1:16" ht="15" customHeight="1" x14ac:dyDescent="0.2">
      <c r="A24" s="139" t="s">
        <v>26</v>
      </c>
      <c r="B24" s="3" t="s">
        <v>234</v>
      </c>
      <c r="C24" s="215">
        <v>5678001</v>
      </c>
      <c r="D24" s="158">
        <v>-14073</v>
      </c>
      <c r="E24" s="318">
        <v>16608</v>
      </c>
      <c r="F24" s="213"/>
      <c r="G24" s="158"/>
      <c r="H24" s="158"/>
      <c r="I24" s="125">
        <f t="shared" si="4"/>
        <v>2535</v>
      </c>
      <c r="J24" s="197">
        <f t="shared" si="3"/>
        <v>5680536</v>
      </c>
      <c r="K24" s="197">
        <v>5634063</v>
      </c>
      <c r="L24" s="197">
        <v>5190302.0795140257</v>
      </c>
      <c r="M24" s="140">
        <f t="shared" si="2"/>
        <v>5501633.6931713419</v>
      </c>
      <c r="N24" s="128"/>
      <c r="O24" s="128"/>
      <c r="P24" s="344"/>
    </row>
    <row r="25" spans="1:16" ht="15" customHeight="1" x14ac:dyDescent="0.2">
      <c r="A25" s="139" t="s">
        <v>29</v>
      </c>
      <c r="B25" s="3" t="s">
        <v>203</v>
      </c>
      <c r="C25" s="215">
        <v>12106129</v>
      </c>
      <c r="D25" s="158">
        <v>662119</v>
      </c>
      <c r="E25" s="315"/>
      <c r="F25" s="213"/>
      <c r="G25" s="213"/>
      <c r="H25" s="158"/>
      <c r="I25" s="125">
        <f t="shared" si="4"/>
        <v>662119</v>
      </c>
      <c r="J25" s="197">
        <f t="shared" si="3"/>
        <v>12768248</v>
      </c>
      <c r="K25" s="197">
        <v>12459587</v>
      </c>
      <c r="L25" s="197">
        <v>10714227</v>
      </c>
      <c r="M25" s="140">
        <f t="shared" si="2"/>
        <v>11980687.333333334</v>
      </c>
      <c r="N25" s="128"/>
      <c r="O25" s="128"/>
      <c r="P25" s="344"/>
    </row>
    <row r="26" spans="1:16" ht="15" customHeight="1" x14ac:dyDescent="0.2">
      <c r="A26" s="139" t="s">
        <v>31</v>
      </c>
      <c r="B26" s="3" t="s">
        <v>204</v>
      </c>
      <c r="C26" s="215">
        <v>10830494</v>
      </c>
      <c r="D26" s="158">
        <v>-845801</v>
      </c>
      <c r="E26" s="315"/>
      <c r="F26" s="213"/>
      <c r="G26" s="158"/>
      <c r="H26" s="158"/>
      <c r="I26" s="125">
        <f t="shared" si="4"/>
        <v>-845801</v>
      </c>
      <c r="J26" s="197">
        <f t="shared" si="3"/>
        <v>9984693</v>
      </c>
      <c r="K26" s="197">
        <v>8968781</v>
      </c>
      <c r="L26" s="197">
        <v>7504676</v>
      </c>
      <c r="M26" s="140">
        <f t="shared" si="2"/>
        <v>8819383.333333334</v>
      </c>
      <c r="N26" s="128"/>
      <c r="O26" s="128"/>
      <c r="P26" s="344"/>
    </row>
    <row r="27" spans="1:16" ht="15" customHeight="1" x14ac:dyDescent="0.2">
      <c r="A27" s="141" t="s">
        <v>172</v>
      </c>
      <c r="B27" s="3" t="s">
        <v>65</v>
      </c>
      <c r="C27" s="215">
        <v>10565665</v>
      </c>
      <c r="D27" s="158">
        <v>-1159579</v>
      </c>
      <c r="E27" s="315"/>
      <c r="F27" s="213"/>
      <c r="G27" s="158"/>
      <c r="H27" s="158"/>
      <c r="I27" s="125">
        <f t="shared" si="4"/>
        <v>-1159579</v>
      </c>
      <c r="J27" s="197">
        <f t="shared" si="3"/>
        <v>9406086</v>
      </c>
      <c r="K27" s="197">
        <v>9346999</v>
      </c>
      <c r="L27" s="197">
        <v>8409704</v>
      </c>
      <c r="M27" s="140">
        <f t="shared" si="2"/>
        <v>9054263</v>
      </c>
      <c r="N27" s="128"/>
      <c r="O27" s="128"/>
      <c r="P27" s="344"/>
    </row>
    <row r="28" spans="1:16" ht="15" customHeight="1" x14ac:dyDescent="0.2">
      <c r="A28" s="139" t="s">
        <v>33</v>
      </c>
      <c r="B28" s="3" t="s">
        <v>205</v>
      </c>
      <c r="C28" s="215">
        <v>7056690</v>
      </c>
      <c r="D28" s="158">
        <v>-661090</v>
      </c>
      <c r="E28" s="318">
        <v>13529</v>
      </c>
      <c r="F28" s="213"/>
      <c r="G28" s="158"/>
      <c r="H28" s="158"/>
      <c r="I28" s="125">
        <f t="shared" si="4"/>
        <v>-647561</v>
      </c>
      <c r="J28" s="197">
        <f t="shared" si="3"/>
        <v>6409129</v>
      </c>
      <c r="K28" s="197">
        <v>6485635</v>
      </c>
      <c r="L28" s="197">
        <v>5655254.7452813396</v>
      </c>
      <c r="M28" s="140">
        <f t="shared" si="2"/>
        <v>6183339.5817604465</v>
      </c>
      <c r="N28" s="128"/>
      <c r="O28" s="128"/>
      <c r="P28" s="344"/>
    </row>
    <row r="29" spans="1:16" ht="15" customHeight="1" x14ac:dyDescent="0.2">
      <c r="A29" s="139" t="s">
        <v>35</v>
      </c>
      <c r="B29" s="3" t="s">
        <v>201</v>
      </c>
      <c r="C29" s="215">
        <v>1744174</v>
      </c>
      <c r="D29" s="158">
        <v>98949</v>
      </c>
      <c r="E29" s="315"/>
      <c r="F29" s="213"/>
      <c r="G29" s="158"/>
      <c r="H29" s="158"/>
      <c r="I29" s="125">
        <f t="shared" si="4"/>
        <v>98949</v>
      </c>
      <c r="J29" s="197">
        <f t="shared" si="3"/>
        <v>1843123</v>
      </c>
      <c r="K29" s="197">
        <v>1691391</v>
      </c>
      <c r="L29" s="197">
        <v>1575418</v>
      </c>
      <c r="M29" s="140">
        <f t="shared" si="2"/>
        <v>1703310.6666666667</v>
      </c>
      <c r="N29" s="128"/>
      <c r="O29" s="128"/>
      <c r="P29" s="344"/>
    </row>
    <row r="30" spans="1:16" ht="15" customHeight="1" x14ac:dyDescent="0.2">
      <c r="A30" s="139" t="s">
        <v>37</v>
      </c>
      <c r="B30" s="3" t="s">
        <v>38</v>
      </c>
      <c r="C30" s="215">
        <v>8544178</v>
      </c>
      <c r="D30" s="158">
        <v>-627389</v>
      </c>
      <c r="E30" s="318">
        <v>1371</v>
      </c>
      <c r="F30" s="213"/>
      <c r="G30" s="158"/>
      <c r="H30" s="158"/>
      <c r="I30" s="125">
        <f t="shared" si="4"/>
        <v>-626018</v>
      </c>
      <c r="J30" s="197">
        <f t="shared" si="3"/>
        <v>7918160</v>
      </c>
      <c r="K30" s="197">
        <v>7769645</v>
      </c>
      <c r="L30" s="197">
        <v>7424710.7449945649</v>
      </c>
      <c r="M30" s="140">
        <f t="shared" si="2"/>
        <v>7704171.9149981886</v>
      </c>
      <c r="N30" s="128"/>
      <c r="O30" s="128"/>
      <c r="P30" s="344"/>
    </row>
    <row r="31" spans="1:16" ht="15" customHeight="1" x14ac:dyDescent="0.2">
      <c r="A31" s="139" t="s">
        <v>39</v>
      </c>
      <c r="B31" s="3" t="s">
        <v>202</v>
      </c>
      <c r="C31" s="215">
        <v>6544453</v>
      </c>
      <c r="D31" s="158">
        <v>-1029920</v>
      </c>
      <c r="E31" s="319">
        <v>28868</v>
      </c>
      <c r="F31" s="213"/>
      <c r="G31" s="158"/>
      <c r="H31" s="158"/>
      <c r="I31" s="125">
        <f t="shared" si="4"/>
        <v>-1001052</v>
      </c>
      <c r="J31" s="197">
        <f t="shared" si="3"/>
        <v>5543401</v>
      </c>
      <c r="K31" s="197">
        <v>5503859</v>
      </c>
      <c r="L31" s="197">
        <v>5134940.13</v>
      </c>
      <c r="M31" s="140">
        <f t="shared" si="2"/>
        <v>5394066.71</v>
      </c>
      <c r="N31" s="128"/>
      <c r="O31" s="128"/>
      <c r="P31" s="344"/>
    </row>
    <row r="32" spans="1:16" ht="15" customHeight="1" x14ac:dyDescent="0.2">
      <c r="A32" s="139" t="s">
        <v>41</v>
      </c>
      <c r="B32" s="3" t="s">
        <v>206</v>
      </c>
      <c r="C32" s="215">
        <v>9310985</v>
      </c>
      <c r="D32" s="158">
        <v>106568</v>
      </c>
      <c r="E32" s="264"/>
      <c r="F32" s="213"/>
      <c r="G32" s="158"/>
      <c r="H32" s="158"/>
      <c r="I32" s="125">
        <f t="shared" si="4"/>
        <v>106568</v>
      </c>
      <c r="J32" s="197">
        <f t="shared" si="3"/>
        <v>9417553</v>
      </c>
      <c r="K32" s="197">
        <v>8910397</v>
      </c>
      <c r="L32" s="197">
        <v>7596781</v>
      </c>
      <c r="M32" s="140">
        <f t="shared" si="2"/>
        <v>8641577</v>
      </c>
      <c r="N32" s="128"/>
      <c r="O32" s="128"/>
      <c r="P32" s="344"/>
    </row>
    <row r="33" spans="1:16" ht="15" customHeight="1" x14ac:dyDescent="0.2">
      <c r="A33" s="139" t="s">
        <v>48</v>
      </c>
      <c r="B33" s="3" t="s">
        <v>78</v>
      </c>
      <c r="C33" s="215">
        <v>7515014</v>
      </c>
      <c r="D33" s="158">
        <v>2103201</v>
      </c>
      <c r="E33" s="319"/>
      <c r="F33" s="213"/>
      <c r="G33" s="213"/>
      <c r="H33" s="158"/>
      <c r="I33" s="125">
        <f>SUM(D33:H33)</f>
        <v>2103201</v>
      </c>
      <c r="J33" s="197">
        <f t="shared" si="3"/>
        <v>9618215</v>
      </c>
      <c r="K33" s="197">
        <v>9444089</v>
      </c>
      <c r="L33" s="197">
        <v>8266766</v>
      </c>
      <c r="M33" s="140">
        <f t="shared" si="2"/>
        <v>9109690</v>
      </c>
      <c r="N33" s="128"/>
      <c r="O33" s="128"/>
      <c r="P33" s="344"/>
    </row>
    <row r="34" spans="1:16" ht="15" customHeight="1" x14ac:dyDescent="0.2">
      <c r="A34" s="139" t="s">
        <v>43</v>
      </c>
      <c r="B34" s="3" t="s">
        <v>171</v>
      </c>
      <c r="C34" s="215">
        <v>7272744</v>
      </c>
      <c r="D34" s="158">
        <v>-561800</v>
      </c>
      <c r="E34" s="318">
        <v>20427</v>
      </c>
      <c r="F34" s="213"/>
      <c r="G34" s="158"/>
      <c r="H34" s="158"/>
      <c r="I34" s="125">
        <f t="shared" si="4"/>
        <v>-541373</v>
      </c>
      <c r="J34" s="197">
        <f t="shared" si="3"/>
        <v>6731371</v>
      </c>
      <c r="K34" s="197">
        <v>6670217</v>
      </c>
      <c r="L34" s="197">
        <v>6180211.9681958053</v>
      </c>
      <c r="M34" s="140">
        <f>AVERAGE(J34:L34)</f>
        <v>6527266.6560652675</v>
      </c>
      <c r="N34" s="128"/>
      <c r="O34" s="128"/>
      <c r="P34" s="344"/>
    </row>
    <row r="35" spans="1:16" ht="15" customHeight="1" x14ac:dyDescent="0.2">
      <c r="A35" s="139" t="s">
        <v>44</v>
      </c>
      <c r="B35" s="3" t="s">
        <v>77</v>
      </c>
      <c r="C35" s="215">
        <f>3859163+3039860+973223</f>
        <v>7872246</v>
      </c>
      <c r="D35" s="158">
        <v>374141</v>
      </c>
      <c r="E35" s="319"/>
      <c r="F35" s="316">
        <v>310809</v>
      </c>
      <c r="G35" s="316">
        <v>-5215</v>
      </c>
      <c r="H35" s="316">
        <v>36524</v>
      </c>
      <c r="I35" s="125">
        <f t="shared" si="4"/>
        <v>716259</v>
      </c>
      <c r="J35" s="197">
        <f>+C35+I35</f>
        <v>8588505</v>
      </c>
      <c r="K35" s="197">
        <v>8350810</v>
      </c>
      <c r="L35" s="197">
        <v>7041968.3601012528</v>
      </c>
      <c r="M35" s="140">
        <f t="shared" si="2"/>
        <v>7993761.1200337512</v>
      </c>
      <c r="N35" s="128"/>
      <c r="O35" s="128"/>
      <c r="P35" s="344"/>
    </row>
    <row r="36" spans="1:16" ht="15" customHeight="1" x14ac:dyDescent="0.2">
      <c r="A36" s="139" t="s">
        <v>45</v>
      </c>
      <c r="B36" s="3" t="s">
        <v>46</v>
      </c>
      <c r="C36" s="215">
        <f>17974663+15577816+4523017+223800</f>
        <v>38299296</v>
      </c>
      <c r="D36" s="158">
        <v>-4731529</v>
      </c>
      <c r="E36" s="315"/>
      <c r="F36" s="316">
        <v>1534822</v>
      </c>
      <c r="G36" s="316">
        <v>-1417443</v>
      </c>
      <c r="H36" s="316">
        <v>-121171</v>
      </c>
      <c r="I36" s="125">
        <f t="shared" si="4"/>
        <v>-4735321</v>
      </c>
      <c r="J36" s="197">
        <f t="shared" si="3"/>
        <v>33563975</v>
      </c>
      <c r="K36" s="197">
        <v>32831922</v>
      </c>
      <c r="L36" s="197">
        <v>27266198.131402839</v>
      </c>
      <c r="M36" s="140">
        <f t="shared" si="2"/>
        <v>31220698.377134278</v>
      </c>
      <c r="N36" s="128"/>
      <c r="O36" s="128"/>
      <c r="P36" s="344"/>
    </row>
    <row r="37" spans="1:16" ht="15" customHeight="1" x14ac:dyDescent="0.2">
      <c r="A37" s="139" t="s">
        <v>47</v>
      </c>
      <c r="B37" s="3" t="s">
        <v>207</v>
      </c>
      <c r="C37" s="215">
        <v>6406392</v>
      </c>
      <c r="D37" s="158">
        <v>1163042</v>
      </c>
      <c r="E37" s="315"/>
      <c r="F37" s="213"/>
      <c r="G37" s="158"/>
      <c r="H37" s="158"/>
      <c r="I37" s="125">
        <f t="shared" si="4"/>
        <v>1163042</v>
      </c>
      <c r="J37" s="197">
        <f t="shared" si="3"/>
        <v>7569434</v>
      </c>
      <c r="K37" s="197">
        <v>7162645</v>
      </c>
      <c r="L37" s="197">
        <v>7052862</v>
      </c>
      <c r="M37" s="140">
        <f t="shared" si="2"/>
        <v>7261647</v>
      </c>
      <c r="N37" s="128"/>
      <c r="O37" s="128"/>
      <c r="P37" s="344"/>
    </row>
    <row r="38" spans="1:16" ht="15" customHeight="1" x14ac:dyDescent="0.2">
      <c r="A38" s="139" t="s">
        <v>49</v>
      </c>
      <c r="B38" s="3" t="s">
        <v>50</v>
      </c>
      <c r="C38" s="215">
        <f>7718739+10298678+1485314+92129</f>
        <v>19594860</v>
      </c>
      <c r="D38" s="158">
        <v>134204</v>
      </c>
      <c r="E38" s="315"/>
      <c r="F38" s="316">
        <v>631111</v>
      </c>
      <c r="G38" s="316">
        <v>465181</v>
      </c>
      <c r="H38" s="316">
        <f>-87977+9540</f>
        <v>-78437</v>
      </c>
      <c r="I38" s="125">
        <f t="shared" si="4"/>
        <v>1152059</v>
      </c>
      <c r="J38" s="197">
        <f t="shared" si="3"/>
        <v>20746919</v>
      </c>
      <c r="K38" s="197">
        <v>20239013</v>
      </c>
      <c r="L38" s="197">
        <v>15789443.420029849</v>
      </c>
      <c r="M38" s="140">
        <f t="shared" si="2"/>
        <v>18925125.140009951</v>
      </c>
      <c r="N38" s="128"/>
      <c r="O38" s="128"/>
      <c r="P38" s="344"/>
    </row>
    <row r="40" spans="1:16" ht="15" customHeight="1" x14ac:dyDescent="0.2">
      <c r="B40" s="120" t="s">
        <v>51</v>
      </c>
      <c r="C40" s="110">
        <f t="shared" ref="C40:M40" si="5">SUM(C8:C39)</f>
        <v>338929927</v>
      </c>
      <c r="D40" s="110">
        <f t="shared" si="5"/>
        <v>-3781567</v>
      </c>
      <c r="E40" s="110">
        <f t="shared" si="5"/>
        <v>90448</v>
      </c>
      <c r="F40" s="110">
        <f t="shared" si="5"/>
        <v>4366419</v>
      </c>
      <c r="G40" s="110">
        <f t="shared" si="5"/>
        <v>-775810</v>
      </c>
      <c r="H40" s="110">
        <f t="shared" si="5"/>
        <v>-92874</v>
      </c>
      <c r="I40" s="128">
        <f t="shared" si="5"/>
        <v>-193384</v>
      </c>
      <c r="J40" s="107">
        <f t="shared" si="5"/>
        <v>338736543</v>
      </c>
      <c r="K40" s="107">
        <f t="shared" si="5"/>
        <v>324236220</v>
      </c>
      <c r="L40" s="107">
        <f t="shared" si="5"/>
        <v>285505765.35365486</v>
      </c>
      <c r="M40" s="142">
        <f t="shared" si="5"/>
        <v>316159509.45121825</v>
      </c>
    </row>
    <row r="41" spans="1:16" ht="12" customHeight="1" x14ac:dyDescent="0.2">
      <c r="C41" s="110"/>
      <c r="J41" s="107"/>
      <c r="K41" s="107"/>
      <c r="L41" s="107"/>
      <c r="M41" s="142"/>
    </row>
    <row r="42" spans="1:16" ht="12" customHeight="1" x14ac:dyDescent="0.2">
      <c r="A42" s="143" t="str">
        <f>'FY2015 Detail'!B40</f>
        <v>MnSCU Finance Division</v>
      </c>
      <c r="L42" s="107"/>
    </row>
    <row r="43" spans="1:16" ht="12" customHeight="1" x14ac:dyDescent="0.2">
      <c r="A43" s="143" t="str">
        <f>'FY2015 Detail'!B41</f>
        <v>s:\finance\bargain\FY17 allocation\Summary of FY2017 Institutional Allocation Draft</v>
      </c>
      <c r="D43" s="320"/>
      <c r="E43" s="320"/>
      <c r="F43" s="320"/>
      <c r="G43" s="320"/>
    </row>
    <row r="44" spans="1:16" ht="12" customHeight="1" x14ac:dyDescent="0.2">
      <c r="A44" s="143"/>
      <c r="D44" s="320"/>
      <c r="E44" s="320"/>
      <c r="F44" s="320"/>
      <c r="G44" s="320"/>
      <c r="L44" s="112"/>
    </row>
    <row r="45" spans="1:16" ht="15" customHeight="1" x14ac:dyDescent="0.2">
      <c r="C45" s="107"/>
      <c r="D45" s="107"/>
      <c r="G45" s="321"/>
      <c r="J45" s="107"/>
      <c r="K45" s="107"/>
      <c r="L45" s="107"/>
      <c r="M45" s="140"/>
    </row>
    <row r="48" spans="1:16" ht="15" customHeight="1" x14ac:dyDescent="0.2">
      <c r="D48" s="322"/>
      <c r="E48" s="322"/>
      <c r="F48" s="322"/>
    </row>
    <row r="50" spans="7:7" ht="15" customHeight="1" x14ac:dyDescent="0.2">
      <c r="G50" s="322"/>
    </row>
  </sheetData>
  <phoneticPr fontId="10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45"/>
  <sheetViews>
    <sheetView zoomScale="80" workbookViewId="0">
      <selection activeCell="G10" sqref="G10"/>
    </sheetView>
  </sheetViews>
  <sheetFormatPr defaultRowHeight="15" customHeight="1" x14ac:dyDescent="0.2"/>
  <cols>
    <col min="1" max="1" width="6.28515625" style="109" customWidth="1"/>
    <col min="2" max="2" width="32.28515625" style="109" customWidth="1"/>
    <col min="3" max="3" width="22.85546875" style="109" customWidth="1"/>
    <col min="4" max="4" width="17.42578125" style="109" customWidth="1"/>
    <col min="5" max="5" width="23.85546875" style="109" customWidth="1"/>
    <col min="6" max="6" width="10.28515625" style="107" customWidth="1"/>
    <col min="7" max="7" width="24.7109375" style="176" customWidth="1"/>
    <col min="8" max="16384" width="9.140625" style="109"/>
  </cols>
  <sheetData>
    <row r="1" spans="1:8" ht="15" customHeight="1" x14ac:dyDescent="0.25">
      <c r="A1" s="178" t="s">
        <v>80</v>
      </c>
    </row>
    <row r="2" spans="1:8" ht="15" customHeight="1" x14ac:dyDescent="0.2">
      <c r="A2" s="145" t="s">
        <v>100</v>
      </c>
    </row>
    <row r="3" spans="1:8" ht="15" customHeight="1" x14ac:dyDescent="0.2">
      <c r="A3" s="145" t="s">
        <v>217</v>
      </c>
    </row>
    <row r="4" spans="1:8" ht="15" customHeight="1" x14ac:dyDescent="0.2">
      <c r="E4" s="175" t="s">
        <v>163</v>
      </c>
      <c r="G4" s="228" t="s">
        <v>101</v>
      </c>
    </row>
    <row r="5" spans="1:8" s="175" customFormat="1" ht="15" customHeight="1" x14ac:dyDescent="0.2">
      <c r="C5" s="175" t="s">
        <v>89</v>
      </c>
      <c r="D5" s="175" t="s">
        <v>82</v>
      </c>
      <c r="E5" s="175" t="s">
        <v>83</v>
      </c>
      <c r="F5" s="229" t="s">
        <v>84</v>
      </c>
      <c r="G5" s="228" t="s">
        <v>85</v>
      </c>
    </row>
    <row r="6" spans="1:8" ht="42" customHeight="1" x14ac:dyDescent="0.2">
      <c r="A6" s="230" t="s">
        <v>0</v>
      </c>
      <c r="B6" s="230" t="s">
        <v>1</v>
      </c>
      <c r="C6" s="231" t="s">
        <v>219</v>
      </c>
      <c r="D6" s="232" t="s">
        <v>173</v>
      </c>
      <c r="E6" s="231" t="s">
        <v>220</v>
      </c>
      <c r="F6" s="230" t="s">
        <v>221</v>
      </c>
      <c r="G6" s="233" t="s">
        <v>102</v>
      </c>
    </row>
    <row r="7" spans="1:8" ht="15" customHeight="1" x14ac:dyDescent="0.2">
      <c r="A7" s="234"/>
      <c r="B7" s="234"/>
      <c r="C7" s="235"/>
      <c r="D7" s="236"/>
      <c r="E7" s="236"/>
      <c r="F7" s="237"/>
    </row>
    <row r="8" spans="1:8" ht="15" customHeight="1" x14ac:dyDescent="0.2">
      <c r="A8" s="10" t="s">
        <v>2</v>
      </c>
      <c r="B8" s="3" t="s">
        <v>199</v>
      </c>
      <c r="C8" s="238">
        <v>1947632.3</v>
      </c>
      <c r="D8" s="239">
        <f>'Revenue Offset'!K8</f>
        <v>0.5359352806171559</v>
      </c>
      <c r="E8" s="240">
        <f t="shared" ref="E8:E13" si="0">C8*(1-D8)</f>
        <v>903827.43676046329</v>
      </c>
      <c r="F8" s="108">
        <f>'FY2015 Detail'!D6</f>
        <v>2046</v>
      </c>
      <c r="G8" s="158">
        <f>E8/F8</f>
        <v>441.75339040100846</v>
      </c>
    </row>
    <row r="9" spans="1:8" ht="15" customHeight="1" x14ac:dyDescent="0.2">
      <c r="A9" s="10" t="s">
        <v>4</v>
      </c>
      <c r="B9" s="3" t="s">
        <v>188</v>
      </c>
      <c r="C9" s="238">
        <v>7833519.1200000001</v>
      </c>
      <c r="D9" s="239">
        <f>'Revenue Offset'!K9</f>
        <v>0.60498680383745629</v>
      </c>
      <c r="E9" s="240">
        <f>C9*(1-D9)</f>
        <v>3094343.4247915968</v>
      </c>
      <c r="F9" s="108">
        <f>'FY2015 Detail'!D7</f>
        <v>7123</v>
      </c>
      <c r="G9" s="158">
        <f t="shared" ref="G9:G38" si="1">E9/F9</f>
        <v>434.41575527047547</v>
      </c>
    </row>
    <row r="10" spans="1:8" ht="15" customHeight="1" x14ac:dyDescent="0.2">
      <c r="A10" s="10" t="s">
        <v>5</v>
      </c>
      <c r="B10" s="3" t="s">
        <v>160</v>
      </c>
      <c r="C10" s="277">
        <v>7683715.8399999999</v>
      </c>
      <c r="D10" s="239">
        <f>'Revenue Offset'!K10</f>
        <v>0.626062846721125</v>
      </c>
      <c r="E10" s="240">
        <f t="shared" si="0"/>
        <v>2873226.8278134</v>
      </c>
      <c r="F10" s="108">
        <f>'FY2015 Detail'!D8</f>
        <v>4953</v>
      </c>
      <c r="G10" s="158">
        <f t="shared" si="1"/>
        <v>580.09828948382801</v>
      </c>
      <c r="H10" s="110"/>
    </row>
    <row r="11" spans="1:8" ht="15" customHeight="1" x14ac:dyDescent="0.2">
      <c r="A11" s="10" t="s">
        <v>6</v>
      </c>
      <c r="B11" s="3" t="s">
        <v>7</v>
      </c>
      <c r="C11" s="277">
        <v>3549350.27</v>
      </c>
      <c r="D11" s="239">
        <f>'Revenue Offset'!K11</f>
        <v>0.54728565389201389</v>
      </c>
      <c r="E11" s="240">
        <f t="shared" si="0"/>
        <v>1606841.7865912539</v>
      </c>
      <c r="F11" s="108">
        <f>'FY2015 Detail'!D9</f>
        <v>2993</v>
      </c>
      <c r="G11" s="158">
        <f t="shared" si="1"/>
        <v>536.86661763824054</v>
      </c>
      <c r="H11" s="110"/>
    </row>
    <row r="12" spans="1:8" ht="15" customHeight="1" x14ac:dyDescent="0.2">
      <c r="A12" s="10" t="s">
        <v>8</v>
      </c>
      <c r="B12" s="3" t="s">
        <v>9</v>
      </c>
      <c r="C12" s="238">
        <v>6237430.96</v>
      </c>
      <c r="D12" s="239">
        <f>'Revenue Offset'!K12</f>
        <v>0.61632399418779105</v>
      </c>
      <c r="E12" s="240">
        <f t="shared" si="0"/>
        <v>2393152.5972622121</v>
      </c>
      <c r="F12" s="108">
        <f>'FY2015 Detail'!D10</f>
        <v>6410</v>
      </c>
      <c r="G12" s="158">
        <f t="shared" si="1"/>
        <v>373.34673904246677</v>
      </c>
      <c r="H12" s="110"/>
    </row>
    <row r="13" spans="1:8" ht="15" customHeight="1" x14ac:dyDescent="0.2">
      <c r="A13" s="10" t="s">
        <v>10</v>
      </c>
      <c r="B13" s="3" t="s">
        <v>11</v>
      </c>
      <c r="C13" s="238">
        <v>2546395.62</v>
      </c>
      <c r="D13" s="239">
        <f>'Revenue Offset'!K13</f>
        <v>0.52990560939852538</v>
      </c>
      <c r="E13" s="240">
        <f t="shared" si="0"/>
        <v>1197046.2972141642</v>
      </c>
      <c r="F13" s="108">
        <f>'FY2015 Detail'!D11</f>
        <v>2069</v>
      </c>
      <c r="G13" s="158">
        <f t="shared" si="1"/>
        <v>578.56273427460815</v>
      </c>
      <c r="H13" s="110"/>
    </row>
    <row r="14" spans="1:8" ht="15" customHeight="1" x14ac:dyDescent="0.2">
      <c r="A14" s="10" t="s">
        <v>12</v>
      </c>
      <c r="B14" s="3" t="s">
        <v>13</v>
      </c>
      <c r="C14" s="238">
        <v>1253521.6000000001</v>
      </c>
      <c r="D14" s="239">
        <f>'Revenue Offset'!K14</f>
        <v>0.53716253548001791</v>
      </c>
      <c r="E14" s="240">
        <f t="shared" ref="E14:E38" si="2">C14*(1-D14)</f>
        <v>580176.75906503119</v>
      </c>
      <c r="F14" s="108">
        <f>'FY2015 Detail'!D12</f>
        <v>1223</v>
      </c>
      <c r="G14" s="158">
        <f t="shared" si="1"/>
        <v>474.38819220362319</v>
      </c>
      <c r="H14" s="110"/>
    </row>
    <row r="15" spans="1:8" ht="15" customHeight="1" x14ac:dyDescent="0.2">
      <c r="A15" s="10" t="s">
        <v>14</v>
      </c>
      <c r="B15" s="3" t="s">
        <v>245</v>
      </c>
      <c r="C15" s="238">
        <v>4769234.16</v>
      </c>
      <c r="D15" s="239">
        <f>'Revenue Offset'!K15</f>
        <v>0.52857921921047757</v>
      </c>
      <c r="E15" s="240">
        <f t="shared" si="2"/>
        <v>2248316.0914752623</v>
      </c>
      <c r="F15" s="108">
        <f>'FY2015 Detail'!D13</f>
        <v>3927</v>
      </c>
      <c r="G15" s="158">
        <f t="shared" si="1"/>
        <v>572.52765252744143</v>
      </c>
      <c r="H15" s="110"/>
    </row>
    <row r="16" spans="1:8" ht="15" customHeight="1" x14ac:dyDescent="0.2">
      <c r="A16" s="10" t="s">
        <v>16</v>
      </c>
      <c r="B16" s="3" t="s">
        <v>246</v>
      </c>
      <c r="C16" s="238">
        <v>4775422.84</v>
      </c>
      <c r="D16" s="239">
        <f>'Revenue Offset'!K16</f>
        <v>0.58966686318357808</v>
      </c>
      <c r="E16" s="240">
        <f t="shared" si="2"/>
        <v>1959514.2335619861</v>
      </c>
      <c r="F16" s="108">
        <f>'FY2015 Detail'!D14</f>
        <v>3809</v>
      </c>
      <c r="G16" s="158">
        <f t="shared" si="1"/>
        <v>514.4432222530811</v>
      </c>
      <c r="H16" s="110"/>
    </row>
    <row r="17" spans="1:8" ht="15" customHeight="1" x14ac:dyDescent="0.2">
      <c r="A17" s="10" t="s">
        <v>18</v>
      </c>
      <c r="B17" s="3" t="s">
        <v>19</v>
      </c>
      <c r="C17" s="238">
        <v>2377150.48</v>
      </c>
      <c r="D17" s="239">
        <f>'Revenue Offset'!K17</f>
        <v>0.53156842626075473</v>
      </c>
      <c r="E17" s="240">
        <f t="shared" si="2"/>
        <v>1113532.3403614024</v>
      </c>
      <c r="F17" s="108">
        <f>'FY2015 Detail'!D15</f>
        <v>3431</v>
      </c>
      <c r="G17" s="158">
        <f t="shared" si="1"/>
        <v>324.55037608901262</v>
      </c>
      <c r="H17" s="110"/>
    </row>
    <row r="18" spans="1:8" ht="15" customHeight="1" x14ac:dyDescent="0.2">
      <c r="A18" s="10" t="s">
        <v>20</v>
      </c>
      <c r="B18" s="3" t="s">
        <v>247</v>
      </c>
      <c r="C18" s="238">
        <v>18234605.52</v>
      </c>
      <c r="D18" s="239">
        <f>'Revenue Offset'!K18</f>
        <v>0.57975633749561317</v>
      </c>
      <c r="E18" s="240">
        <f t="shared" si="2"/>
        <v>7662977.4080475084</v>
      </c>
      <c r="F18" s="108">
        <f>'FY2015 Detail'!D16</f>
        <v>6052</v>
      </c>
      <c r="G18" s="158">
        <f t="shared" si="1"/>
        <v>1266.1892610785706</v>
      </c>
      <c r="H18" s="110"/>
    </row>
    <row r="19" spans="1:8" ht="15" customHeight="1" x14ac:dyDescent="0.2">
      <c r="A19" s="10" t="s">
        <v>21</v>
      </c>
      <c r="B19" s="3" t="s">
        <v>200</v>
      </c>
      <c r="C19" s="277">
        <v>5005307.54</v>
      </c>
      <c r="D19" s="239">
        <f>'Revenue Offset'!K19</f>
        <v>0.60927954217116709</v>
      </c>
      <c r="E19" s="240">
        <f t="shared" si="2"/>
        <v>1955676.0536029094</v>
      </c>
      <c r="F19" s="108">
        <f>'FY2015 Detail'!D17</f>
        <v>6026</v>
      </c>
      <c r="G19" s="158">
        <f t="shared" si="1"/>
        <v>324.5396703622485</v>
      </c>
      <c r="H19" s="110"/>
    </row>
    <row r="20" spans="1:8" ht="15" customHeight="1" x14ac:dyDescent="0.2">
      <c r="A20" s="10" t="s">
        <v>23</v>
      </c>
      <c r="B20" s="200" t="s">
        <v>79</v>
      </c>
      <c r="C20" s="238">
        <v>1869646.3</v>
      </c>
      <c r="D20" s="239">
        <f>'Revenue Offset'!K20</f>
        <v>0.48747669235101038</v>
      </c>
      <c r="E20" s="240">
        <f t="shared" si="2"/>
        <v>958237.30580969527</v>
      </c>
      <c r="F20" s="108">
        <f>'FY2015 Detail'!D18</f>
        <v>1454</v>
      </c>
      <c r="G20" s="158">
        <f t="shared" si="1"/>
        <v>659.03528597640661</v>
      </c>
      <c r="H20" s="110"/>
    </row>
    <row r="21" spans="1:8" ht="15" customHeight="1" x14ac:dyDescent="0.2">
      <c r="A21" s="45" t="s">
        <v>155</v>
      </c>
      <c r="B21" s="3" t="s">
        <v>248</v>
      </c>
      <c r="C21" s="238">
        <v>6269245.1699999999</v>
      </c>
      <c r="D21" s="239">
        <f>'Revenue Offset'!K21</f>
        <v>0.54156197426482311</v>
      </c>
      <c r="E21" s="240">
        <f t="shared" si="2"/>
        <v>2874060.3785845935</v>
      </c>
      <c r="F21" s="108">
        <f>'FY2015 Detail'!D19</f>
        <v>4398</v>
      </c>
      <c r="G21" s="158">
        <f t="shared" si="1"/>
        <v>653.49258267043967</v>
      </c>
      <c r="H21" s="110"/>
    </row>
    <row r="22" spans="1:8" ht="15" customHeight="1" x14ac:dyDescent="0.2">
      <c r="A22" s="10" t="s">
        <v>28</v>
      </c>
      <c r="B22" s="3" t="s">
        <v>64</v>
      </c>
      <c r="C22" s="238">
        <v>11077958.15</v>
      </c>
      <c r="D22" s="239">
        <f>'Revenue Offset'!K22</f>
        <v>0.59059776488770976</v>
      </c>
      <c r="E22" s="240">
        <f t="shared" si="2"/>
        <v>4535340.8270904124</v>
      </c>
      <c r="F22" s="108">
        <f>'FY2015 Detail'!D20</f>
        <v>5697</v>
      </c>
      <c r="G22" s="158">
        <f t="shared" si="1"/>
        <v>796.09282553807486</v>
      </c>
      <c r="H22" s="110"/>
    </row>
    <row r="23" spans="1:8" ht="15" customHeight="1" x14ac:dyDescent="0.2">
      <c r="A23" s="10" t="s">
        <v>24</v>
      </c>
      <c r="B23" s="3" t="s">
        <v>25</v>
      </c>
      <c r="C23" s="238">
        <v>20580289.93</v>
      </c>
      <c r="D23" s="239">
        <f>'Revenue Offset'!K23</f>
        <v>0.66441885080407515</v>
      </c>
      <c r="E23" s="240">
        <f t="shared" si="2"/>
        <v>6906357.3454947202</v>
      </c>
      <c r="F23" s="108">
        <f>'FY2015 Detail'!D21</f>
        <v>13861</v>
      </c>
      <c r="G23" s="158">
        <f t="shared" si="1"/>
        <v>498.25823140427963</v>
      </c>
      <c r="H23" s="110"/>
    </row>
    <row r="24" spans="1:8" ht="15" customHeight="1" x14ac:dyDescent="0.2">
      <c r="A24" s="10" t="s">
        <v>26</v>
      </c>
      <c r="B24" s="3" t="s">
        <v>234</v>
      </c>
      <c r="C24" s="238">
        <v>1755655.24</v>
      </c>
      <c r="D24" s="239">
        <f>'Revenue Offset'!K24</f>
        <v>0.51254532218198412</v>
      </c>
      <c r="E24" s="240">
        <f t="shared" si="2"/>
        <v>855802.3593737114</v>
      </c>
      <c r="F24" s="108">
        <f>'FY2015 Detail'!D22</f>
        <v>1948</v>
      </c>
      <c r="G24" s="158">
        <f t="shared" si="1"/>
        <v>439.32359310765474</v>
      </c>
      <c r="H24" s="110"/>
    </row>
    <row r="25" spans="1:8" ht="15" customHeight="1" x14ac:dyDescent="0.2">
      <c r="A25" s="10" t="s">
        <v>29</v>
      </c>
      <c r="B25" s="3" t="s">
        <v>203</v>
      </c>
      <c r="C25" s="238">
        <v>7863134.3300000001</v>
      </c>
      <c r="D25" s="239">
        <f>'Revenue Offset'!K25</f>
        <v>0.64364123513885774</v>
      </c>
      <c r="E25" s="240">
        <f t="shared" si="2"/>
        <v>2802096.8377760453</v>
      </c>
      <c r="F25" s="108">
        <f>'FY2015 Detail'!D23</f>
        <v>6799</v>
      </c>
      <c r="G25" s="158">
        <f t="shared" si="1"/>
        <v>412.13367227181135</v>
      </c>
      <c r="H25" s="110"/>
    </row>
    <row r="26" spans="1:8" ht="15" customHeight="1" x14ac:dyDescent="0.2">
      <c r="A26" s="10" t="s">
        <v>31</v>
      </c>
      <c r="B26" s="3" t="s">
        <v>204</v>
      </c>
      <c r="C26" s="238">
        <v>7251366.4699999997</v>
      </c>
      <c r="D26" s="239">
        <f>'Revenue Offset'!K26</f>
        <v>0.58457424457278995</v>
      </c>
      <c r="E26" s="240">
        <f t="shared" si="2"/>
        <v>3012404.3936792915</v>
      </c>
      <c r="F26" s="108">
        <f>'FY2015 Detail'!D24</f>
        <v>4644</v>
      </c>
      <c r="G26" s="158">
        <f t="shared" si="1"/>
        <v>648.66589011181986</v>
      </c>
      <c r="H26" s="110"/>
    </row>
    <row r="27" spans="1:8" ht="15" customHeight="1" x14ac:dyDescent="0.2">
      <c r="A27" s="45" t="s">
        <v>172</v>
      </c>
      <c r="B27" s="3" t="s">
        <v>65</v>
      </c>
      <c r="C27" s="277">
        <v>3304721.81</v>
      </c>
      <c r="D27" s="239">
        <f>'Revenue Offset'!K27</f>
        <v>0.49179006686944149</v>
      </c>
      <c r="E27" s="240">
        <f t="shared" si="2"/>
        <v>1679492.4500751984</v>
      </c>
      <c r="F27" s="108">
        <f>'FY2015 Detail'!D25</f>
        <v>3742</v>
      </c>
      <c r="G27" s="158">
        <f t="shared" si="1"/>
        <v>448.82214058663772</v>
      </c>
      <c r="H27" s="110"/>
    </row>
    <row r="28" spans="1:8" ht="15" customHeight="1" x14ac:dyDescent="0.2">
      <c r="A28" s="10" t="s">
        <v>33</v>
      </c>
      <c r="B28" s="3" t="s">
        <v>205</v>
      </c>
      <c r="C28" s="238">
        <v>3044298.8</v>
      </c>
      <c r="D28" s="239">
        <f>'Revenue Offset'!K28</f>
        <v>0.51828060700799883</v>
      </c>
      <c r="E28" s="240">
        <f t="shared" si="2"/>
        <v>1466497.7700222775</v>
      </c>
      <c r="F28" s="108">
        <f>'FY2015 Detail'!D26</f>
        <v>2299</v>
      </c>
      <c r="G28" s="158">
        <f t="shared" si="1"/>
        <v>637.88506743030769</v>
      </c>
      <c r="H28" s="110"/>
    </row>
    <row r="29" spans="1:8" ht="15" customHeight="1" x14ac:dyDescent="0.2">
      <c r="A29" s="10" t="s">
        <v>35</v>
      </c>
      <c r="B29" s="3" t="s">
        <v>201</v>
      </c>
      <c r="C29" s="238">
        <v>760239.87</v>
      </c>
      <c r="D29" s="239">
        <f>'Revenue Offset'!K29</f>
        <v>0.56500392293571977</v>
      </c>
      <c r="E29" s="240">
        <f t="shared" si="2"/>
        <v>330701.36107785837</v>
      </c>
      <c r="F29" s="108">
        <f>'FY2015 Detail'!D27</f>
        <v>723</v>
      </c>
      <c r="G29" s="158">
        <f t="shared" si="1"/>
        <v>457.40160591681655</v>
      </c>
      <c r="H29" s="110"/>
    </row>
    <row r="30" spans="1:8" ht="15" customHeight="1" x14ac:dyDescent="0.2">
      <c r="A30" s="10" t="s">
        <v>37</v>
      </c>
      <c r="B30" s="3" t="s">
        <v>38</v>
      </c>
      <c r="C30" s="238">
        <v>2575840.06</v>
      </c>
      <c r="D30" s="239">
        <f>'Revenue Offset'!K30</f>
        <v>0.51995381790586437</v>
      </c>
      <c r="E30" s="240">
        <f>C30*(1-D30)</f>
        <v>1236522.1864881292</v>
      </c>
      <c r="F30" s="108">
        <f>'FY2015 Detail'!D28</f>
        <v>2860</v>
      </c>
      <c r="G30" s="158">
        <f t="shared" si="1"/>
        <v>432.35041485598924</v>
      </c>
      <c r="H30" s="110"/>
    </row>
    <row r="31" spans="1:8" ht="15" customHeight="1" x14ac:dyDescent="0.2">
      <c r="A31" s="10" t="s">
        <v>39</v>
      </c>
      <c r="B31" s="3" t="s">
        <v>202</v>
      </c>
      <c r="C31" s="238">
        <v>3096983.64</v>
      </c>
      <c r="D31" s="239">
        <f>'Revenue Offset'!K31</f>
        <v>0.48617697604637483</v>
      </c>
      <c r="E31" s="240">
        <f>C31*(1-D31)</f>
        <v>1591301.4990397056</v>
      </c>
      <c r="F31" s="108">
        <f>'FY2015 Detail'!D29</f>
        <v>2078</v>
      </c>
      <c r="G31" s="158">
        <f t="shared" si="1"/>
        <v>765.78512947050319</v>
      </c>
      <c r="H31" s="110"/>
    </row>
    <row r="32" spans="1:8" ht="15" customHeight="1" x14ac:dyDescent="0.2">
      <c r="A32" s="10" t="s">
        <v>41</v>
      </c>
      <c r="B32" s="3" t="s">
        <v>206</v>
      </c>
      <c r="C32" s="238">
        <v>5231527.1399999997</v>
      </c>
      <c r="D32" s="239">
        <f>'Revenue Offset'!K32</f>
        <v>0.61143475656249446</v>
      </c>
      <c r="E32" s="240">
        <f t="shared" si="2"/>
        <v>2032789.6167040169</v>
      </c>
      <c r="F32" s="108">
        <f>'FY2015 Detail'!D30</f>
        <v>4134</v>
      </c>
      <c r="G32" s="158">
        <f t="shared" si="1"/>
        <v>491.72462910111682</v>
      </c>
      <c r="H32" s="110"/>
    </row>
    <row r="33" spans="1:8" ht="15" customHeight="1" x14ac:dyDescent="0.2">
      <c r="A33" s="10" t="s">
        <v>48</v>
      </c>
      <c r="B33" s="3" t="s">
        <v>78</v>
      </c>
      <c r="C33" s="238">
        <v>3402322.12</v>
      </c>
      <c r="D33" s="239">
        <f>'Revenue Offset'!K33</f>
        <v>0.66312130502478173</v>
      </c>
      <c r="E33" s="240">
        <f t="shared" si="2"/>
        <v>1146169.835670918</v>
      </c>
      <c r="F33" s="108">
        <f>'FY2015 Detail'!D31</f>
        <v>4642</v>
      </c>
      <c r="G33" s="158">
        <f t="shared" si="1"/>
        <v>246.91293314754805</v>
      </c>
      <c r="H33" s="110"/>
    </row>
    <row r="34" spans="1:8" ht="15" customHeight="1" x14ac:dyDescent="0.2">
      <c r="A34" s="10" t="s">
        <v>43</v>
      </c>
      <c r="B34" s="3" t="s">
        <v>171</v>
      </c>
      <c r="C34" s="238">
        <v>2765375.72</v>
      </c>
      <c r="D34" s="239">
        <f>'Revenue Offset'!K34</f>
        <v>0.54028196105325865</v>
      </c>
      <c r="E34" s="240">
        <f>C34*(1-D34)</f>
        <v>1271293.1029493329</v>
      </c>
      <c r="F34" s="108">
        <f>'FY2015 Detail'!D32</f>
        <v>2490</v>
      </c>
      <c r="G34" s="158">
        <f>E34/F34</f>
        <v>510.55947909611763</v>
      </c>
      <c r="H34" s="110"/>
    </row>
    <row r="35" spans="1:8" ht="15" customHeight="1" x14ac:dyDescent="0.2">
      <c r="A35" s="10" t="s">
        <v>44</v>
      </c>
      <c r="B35" s="3" t="s">
        <v>77</v>
      </c>
      <c r="C35" s="238">
        <v>4309203.9800000004</v>
      </c>
      <c r="D35" s="239">
        <f>'Revenue Offset'!K35</f>
        <v>0.5707003132893298</v>
      </c>
      <c r="E35" s="240">
        <f t="shared" si="2"/>
        <v>1849939.9185863733</v>
      </c>
      <c r="F35" s="108">
        <f>'FY2015 Detail'!D33</f>
        <v>3679</v>
      </c>
      <c r="G35" s="158">
        <f t="shared" si="1"/>
        <v>502.83770551409987</v>
      </c>
      <c r="H35" s="110"/>
    </row>
    <row r="36" spans="1:8" ht="15" customHeight="1" x14ac:dyDescent="0.2">
      <c r="A36" s="10" t="s">
        <v>45</v>
      </c>
      <c r="B36" s="3" t="s">
        <v>46</v>
      </c>
      <c r="C36" s="238">
        <v>18448167.5</v>
      </c>
      <c r="D36" s="239">
        <f>'Revenue Offset'!K36</f>
        <v>0.5582072324779036</v>
      </c>
      <c r="E36" s="240">
        <f t="shared" si="2"/>
        <v>8150266.9755361946</v>
      </c>
      <c r="F36" s="108">
        <f>'FY2015 Detail'!D34</f>
        <v>11851</v>
      </c>
      <c r="G36" s="158">
        <f t="shared" si="1"/>
        <v>687.72820652571045</v>
      </c>
      <c r="H36" s="110"/>
    </row>
    <row r="37" spans="1:8" ht="15" customHeight="1" x14ac:dyDescent="0.2">
      <c r="A37" s="10" t="s">
        <v>47</v>
      </c>
      <c r="B37" s="3" t="s">
        <v>207</v>
      </c>
      <c r="C37" s="238">
        <v>2629442.46</v>
      </c>
      <c r="D37" s="239">
        <f>'Revenue Offset'!K37</f>
        <v>0.63781145705685938</v>
      </c>
      <c r="E37" s="240">
        <f t="shared" si="2"/>
        <v>952353.93334022735</v>
      </c>
      <c r="F37" s="108">
        <f>'FY2015 Detail'!D35</f>
        <v>3462</v>
      </c>
      <c r="G37" s="158">
        <f t="shared" si="1"/>
        <v>275.0877912594533</v>
      </c>
      <c r="H37" s="110"/>
    </row>
    <row r="38" spans="1:8" ht="15" customHeight="1" x14ac:dyDescent="0.2">
      <c r="A38" s="10" t="s">
        <v>49</v>
      </c>
      <c r="B38" s="3" t="s">
        <v>50</v>
      </c>
      <c r="C38" s="238">
        <v>11442771.890000001</v>
      </c>
      <c r="D38" s="239">
        <f>'Revenue Offset'!K38</f>
        <v>0.64429102422930495</v>
      </c>
      <c r="E38" s="240">
        <f t="shared" si="2"/>
        <v>4070296.6689696005</v>
      </c>
      <c r="F38" s="108">
        <f>'FY2015 Detail'!D36</f>
        <v>8149</v>
      </c>
      <c r="G38" s="158">
        <f t="shared" si="1"/>
        <v>499.4841905718003</v>
      </c>
      <c r="H38" s="110"/>
    </row>
    <row r="39" spans="1:8" ht="15" customHeight="1" x14ac:dyDescent="0.2">
      <c r="G39" s="110"/>
    </row>
    <row r="40" spans="1:8" ht="15" customHeight="1" x14ac:dyDescent="0.2">
      <c r="B40" s="109" t="s">
        <v>51</v>
      </c>
      <c r="C40" s="107">
        <f>SUM(C8:C39)</f>
        <v>183891476.82999998</v>
      </c>
      <c r="D40" s="241">
        <f>'Revenue Offset'!K40</f>
        <v>0.58917622469614928</v>
      </c>
      <c r="E40" s="107">
        <f>SUM(E8:E39)</f>
        <v>75310556.022815481</v>
      </c>
      <c r="F40" s="107">
        <f>SUM(F8:F39)</f>
        <v>138972</v>
      </c>
      <c r="G40" s="110">
        <f>+E40/F40</f>
        <v>541.91172338899548</v>
      </c>
    </row>
    <row r="41" spans="1:8" ht="12" customHeight="1" x14ac:dyDescent="0.2">
      <c r="C41" s="242"/>
    </row>
    <row r="42" spans="1:8" ht="15" customHeight="1" x14ac:dyDescent="0.2">
      <c r="A42" s="211" t="str">
        <f>'FY2015 Detail'!B40</f>
        <v>MnSCU Finance Division</v>
      </c>
      <c r="E42" s="243"/>
    </row>
    <row r="43" spans="1:8" ht="15" customHeight="1" x14ac:dyDescent="0.2">
      <c r="A43" s="211" t="str">
        <f>'FY2015 Detail'!B41</f>
        <v>s:\finance\bargain\FY17 allocation\Summary of FY2017 Institutional Allocation Draft</v>
      </c>
    </row>
    <row r="44" spans="1:8" ht="15" customHeight="1" x14ac:dyDescent="0.2">
      <c r="A44" s="211"/>
    </row>
    <row r="45" spans="1:8" ht="15" customHeight="1" x14ac:dyDescent="0.2">
      <c r="C45" s="110"/>
      <c r="D45" s="218"/>
      <c r="E45" s="110"/>
      <c r="F45" s="110"/>
    </row>
  </sheetData>
  <phoneticPr fontId="10" type="noConversion"/>
  <pageMargins left="0.75" right="0.4" top="0.64" bottom="0.28000000000000003" header="0.5" footer="0.24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52"/>
  <sheetViews>
    <sheetView zoomScale="80" workbookViewId="0">
      <selection activeCell="B9" sqref="B9:B39"/>
    </sheetView>
  </sheetViews>
  <sheetFormatPr defaultRowHeight="15" customHeight="1" x14ac:dyDescent="0.2"/>
  <cols>
    <col min="1" max="1" width="7.28515625" style="109" customWidth="1"/>
    <col min="2" max="2" width="30.28515625" style="109" customWidth="1"/>
    <col min="3" max="3" width="10.85546875" style="109" customWidth="1"/>
    <col min="4" max="4" width="11" style="109" customWidth="1"/>
    <col min="5" max="5" width="11.85546875" style="109" hidden="1" customWidth="1"/>
    <col min="6" max="6" width="9.28515625" style="109" customWidth="1"/>
    <col min="7" max="7" width="12" style="109" customWidth="1"/>
    <col min="8" max="8" width="12.85546875" style="109" customWidth="1"/>
    <col min="9" max="9" width="10.7109375" style="109" customWidth="1"/>
    <col min="10" max="10" width="9" style="109" customWidth="1"/>
    <col min="11" max="11" width="13.140625" style="109" customWidth="1"/>
    <col min="12" max="12" width="11.85546875" style="109" customWidth="1"/>
    <col min="13" max="13" width="12.85546875" style="109" customWidth="1"/>
    <col min="14" max="14" width="6.42578125" style="109" customWidth="1"/>
    <col min="15" max="15" width="30.28515625" style="109" customWidth="1"/>
    <col min="16" max="16" width="11" style="109" customWidth="1"/>
    <col min="17" max="17" width="13.28515625" style="109" customWidth="1"/>
    <col min="18" max="18" width="5.28515625" style="109" customWidth="1"/>
    <col min="19" max="19" width="14.140625" style="109" customWidth="1"/>
    <col min="20" max="20" width="14.7109375" style="179" customWidth="1"/>
    <col min="21" max="21" width="13.7109375" style="109" customWidth="1"/>
    <col min="22" max="22" width="11.85546875" style="109" customWidth="1"/>
    <col min="23" max="16384" width="9.140625" style="109"/>
  </cols>
  <sheetData>
    <row r="1" spans="1:22" ht="15" customHeight="1" x14ac:dyDescent="0.25">
      <c r="A1" s="178" t="s">
        <v>80</v>
      </c>
      <c r="N1" s="178" t="str">
        <f>A1</f>
        <v>Minnesota State Colleges and Universities</v>
      </c>
      <c r="S1" s="178"/>
    </row>
    <row r="2" spans="1:22" ht="15" customHeight="1" x14ac:dyDescent="0.2">
      <c r="A2" s="180" t="s">
        <v>139</v>
      </c>
      <c r="N2" s="145" t="str">
        <f>A2</f>
        <v>FACILITIES -- OPERATIONS AND REPAIR/REPLACEMENT</v>
      </c>
      <c r="S2" s="180"/>
    </row>
    <row r="3" spans="1:22" ht="15" customHeight="1" x14ac:dyDescent="0.2">
      <c r="A3" s="145" t="s">
        <v>226</v>
      </c>
      <c r="N3" s="145" t="str">
        <f>A3</f>
        <v>BASED ON FY2015 MnSCU DATA  -- February 2016</v>
      </c>
      <c r="S3" s="181"/>
    </row>
    <row r="4" spans="1:22" ht="12.75" x14ac:dyDescent="0.2">
      <c r="A4" s="113"/>
      <c r="B4" s="113"/>
      <c r="C4" s="113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13"/>
      <c r="O4" s="113"/>
      <c r="P4" s="362"/>
      <c r="Q4" s="157"/>
      <c r="R4" s="162"/>
      <c r="S4" s="182"/>
      <c r="T4" s="183"/>
      <c r="U4" s="184"/>
      <c r="V4" s="184"/>
    </row>
    <row r="5" spans="1:22" ht="34.5" customHeight="1" x14ac:dyDescent="0.2">
      <c r="A5" s="185"/>
      <c r="B5" s="186"/>
      <c r="C5" s="326"/>
      <c r="D5" s="378" t="s">
        <v>228</v>
      </c>
      <c r="E5" s="378" t="s">
        <v>194</v>
      </c>
      <c r="F5" s="377" t="s">
        <v>229</v>
      </c>
      <c r="G5" s="384"/>
      <c r="H5" s="377" t="s">
        <v>140</v>
      </c>
      <c r="I5" s="377" t="s">
        <v>141</v>
      </c>
      <c r="J5" s="378" t="s">
        <v>142</v>
      </c>
      <c r="K5" s="377" t="s">
        <v>143</v>
      </c>
      <c r="L5" s="378" t="s">
        <v>144</v>
      </c>
      <c r="M5" s="387" t="s">
        <v>145</v>
      </c>
      <c r="N5" s="185"/>
      <c r="O5" s="186"/>
      <c r="P5" s="363"/>
      <c r="Q5" s="377" t="s">
        <v>146</v>
      </c>
      <c r="R5" s="187"/>
      <c r="S5" s="377" t="s">
        <v>173</v>
      </c>
      <c r="T5" s="390" t="s">
        <v>147</v>
      </c>
      <c r="U5" s="377" t="s">
        <v>148</v>
      </c>
      <c r="V5" s="377" t="s">
        <v>69</v>
      </c>
    </row>
    <row r="6" spans="1:22" ht="15.75" customHeight="1" x14ac:dyDescent="0.2">
      <c r="A6" s="188"/>
      <c r="B6" s="188"/>
      <c r="C6" s="327" t="s">
        <v>227</v>
      </c>
      <c r="D6" s="381"/>
      <c r="E6" s="383"/>
      <c r="F6" s="384"/>
      <c r="G6" s="384"/>
      <c r="H6" s="377"/>
      <c r="I6" s="377"/>
      <c r="J6" s="379"/>
      <c r="K6" s="377"/>
      <c r="L6" s="380"/>
      <c r="M6" s="388"/>
      <c r="N6" s="188"/>
      <c r="O6" s="188"/>
      <c r="P6" s="327" t="s">
        <v>209</v>
      </c>
      <c r="Q6" s="385"/>
      <c r="S6" s="384"/>
      <c r="T6" s="391"/>
      <c r="U6" s="385"/>
      <c r="V6" s="386"/>
    </row>
    <row r="7" spans="1:22" ht="15.75" customHeight="1" x14ac:dyDescent="0.2">
      <c r="A7" s="189" t="s">
        <v>0</v>
      </c>
      <c r="B7" s="189" t="s">
        <v>93</v>
      </c>
      <c r="C7" s="189" t="s">
        <v>149</v>
      </c>
      <c r="D7" s="382"/>
      <c r="E7" s="380"/>
      <c r="F7" s="190" t="s">
        <v>150</v>
      </c>
      <c r="G7" s="190" t="s">
        <v>151</v>
      </c>
      <c r="H7" s="164">
        <v>1.8</v>
      </c>
      <c r="I7" s="167">
        <v>50000</v>
      </c>
      <c r="J7" s="167"/>
      <c r="K7" s="169">
        <f>K43/J41</f>
        <v>61.656504761252314</v>
      </c>
      <c r="L7" s="170">
        <v>400000</v>
      </c>
      <c r="M7" s="389"/>
      <c r="N7" s="189" t="s">
        <v>0</v>
      </c>
      <c r="O7" s="189" t="s">
        <v>93</v>
      </c>
      <c r="P7" s="189" t="s">
        <v>149</v>
      </c>
      <c r="Q7" s="191">
        <f>0.57+0.5+0.4</f>
        <v>1.4699999999999998</v>
      </c>
      <c r="S7" s="384"/>
      <c r="T7" s="391"/>
      <c r="U7" s="385"/>
      <c r="V7" s="385"/>
    </row>
    <row r="8" spans="1:22" s="113" customFormat="1" ht="15" customHeight="1" x14ac:dyDescent="0.2">
      <c r="B8" s="157"/>
      <c r="C8" s="157"/>
      <c r="D8" s="192"/>
      <c r="E8" s="162"/>
      <c r="F8" s="157"/>
      <c r="G8" s="157"/>
      <c r="H8" s="165"/>
      <c r="I8" s="168"/>
      <c r="J8" s="168"/>
      <c r="K8" s="171"/>
      <c r="L8" s="172"/>
      <c r="M8" s="193"/>
      <c r="O8" s="157"/>
      <c r="P8" s="364"/>
      <c r="Q8" s="194"/>
      <c r="S8" s="195"/>
      <c r="T8" s="196"/>
      <c r="U8" s="192"/>
      <c r="V8" s="192"/>
    </row>
    <row r="9" spans="1:22" ht="15" customHeight="1" x14ac:dyDescent="0.2">
      <c r="A9" s="10" t="s">
        <v>2</v>
      </c>
      <c r="B9" s="3" t="s">
        <v>199</v>
      </c>
      <c r="C9" s="159">
        <v>491620</v>
      </c>
      <c r="D9" s="328">
        <v>529322</v>
      </c>
      <c r="E9" s="163"/>
      <c r="F9" s="329">
        <v>6216</v>
      </c>
      <c r="G9" s="163">
        <f t="shared" ref="G9:G39" si="0">F9/$F$41*$G$43</f>
        <v>67831.104260586682</v>
      </c>
      <c r="H9" s="163">
        <f>C9*$H$7</f>
        <v>884916</v>
      </c>
      <c r="I9" s="163"/>
      <c r="J9" s="163"/>
      <c r="K9" s="158"/>
      <c r="L9" s="163"/>
      <c r="M9" s="163">
        <f t="shared" ref="M9:M39" si="1">D9+E9+G9+H9+I9+K9+L9</f>
        <v>1482069.1042605867</v>
      </c>
      <c r="N9" s="10" t="str">
        <f t="shared" ref="N9:N39" si="2">A9</f>
        <v>0203</v>
      </c>
      <c r="O9" s="3" t="str">
        <f t="shared" ref="O9:O39" si="3">B9</f>
        <v>Alexandria TCC</v>
      </c>
      <c r="P9" s="159">
        <v>491620</v>
      </c>
      <c r="Q9" s="197">
        <f>+P9*$Q$7</f>
        <v>722681.39999999991</v>
      </c>
      <c r="R9" s="187"/>
      <c r="S9" s="198">
        <f>'Revenue Offset'!K8</f>
        <v>0.5359352806171559</v>
      </c>
      <c r="T9" s="199">
        <f>M9*(1-S9)</f>
        <v>687775.98297467222</v>
      </c>
      <c r="U9" s="199">
        <f>Q9*(1-S9)</f>
        <v>335370.94109420088</v>
      </c>
      <c r="V9" s="199">
        <f t="shared" ref="V9:V39" si="4">+T9+U9</f>
        <v>1023146.924068873</v>
      </c>
    </row>
    <row r="10" spans="1:22" ht="15" customHeight="1" x14ac:dyDescent="0.2">
      <c r="A10" s="10" t="s">
        <v>4</v>
      </c>
      <c r="B10" s="3" t="s">
        <v>188</v>
      </c>
      <c r="C10" s="159">
        <f>323839+121362+417528</f>
        <v>862729</v>
      </c>
      <c r="D10" s="330">
        <f>908715+435336</f>
        <v>1344051</v>
      </c>
      <c r="E10" s="163"/>
      <c r="F10" s="331">
        <f>19503+4592</f>
        <v>24095</v>
      </c>
      <c r="G10" s="163">
        <f t="shared" si="0"/>
        <v>262932.82772825548</v>
      </c>
      <c r="H10" s="163">
        <f t="shared" ref="H10:H39" si="5">C10*$H$7</f>
        <v>1552912.2</v>
      </c>
      <c r="I10" s="163">
        <v>100000</v>
      </c>
      <c r="J10" s="163"/>
      <c r="K10" s="158"/>
      <c r="L10" s="163"/>
      <c r="M10" s="163">
        <f t="shared" si="1"/>
        <v>3259896.0277282554</v>
      </c>
      <c r="N10" s="10" t="str">
        <f t="shared" si="2"/>
        <v>0152</v>
      </c>
      <c r="O10" s="3" t="str">
        <f t="shared" si="3"/>
        <v>Anoka Ramsey CC - Anoka TC</v>
      </c>
      <c r="P10" s="159">
        <v>862729</v>
      </c>
      <c r="Q10" s="197">
        <f t="shared" ref="Q10:Q39" si="6">+P10*$Q$7</f>
        <v>1268211.6299999999</v>
      </c>
      <c r="R10" s="187"/>
      <c r="S10" s="198">
        <f>'Revenue Offset'!K9</f>
        <v>0.60498680383745629</v>
      </c>
      <c r="T10" s="199">
        <f>M10*(1-S10)</f>
        <v>1287701.9490705184</v>
      </c>
      <c r="U10" s="199">
        <f>Q10*(1-S10)</f>
        <v>500960.32937680924</v>
      </c>
      <c r="V10" s="199">
        <f t="shared" si="4"/>
        <v>1788662.2784473277</v>
      </c>
    </row>
    <row r="11" spans="1:22" ht="15" customHeight="1" x14ac:dyDescent="0.2">
      <c r="A11" s="10" t="s">
        <v>5</v>
      </c>
      <c r="B11" s="3" t="s">
        <v>160</v>
      </c>
      <c r="C11" s="159">
        <f>925103+98853</f>
        <v>1023956</v>
      </c>
      <c r="D11" s="330">
        <v>1253729</v>
      </c>
      <c r="E11" s="163"/>
      <c r="F11" s="329">
        <f>11527+2860</f>
        <v>14387</v>
      </c>
      <c r="G11" s="163">
        <f t="shared" si="0"/>
        <v>156995.83285023493</v>
      </c>
      <c r="H11" s="163">
        <f t="shared" si="5"/>
        <v>1843120.8</v>
      </c>
      <c r="I11" s="163">
        <v>50000</v>
      </c>
      <c r="J11" s="163">
        <v>1617</v>
      </c>
      <c r="K11" s="158">
        <f>J11*$K$7</f>
        <v>99698.568198944995</v>
      </c>
      <c r="L11" s="163">
        <v>400000</v>
      </c>
      <c r="M11" s="163">
        <f t="shared" si="1"/>
        <v>3803544.2010491802</v>
      </c>
      <c r="N11" s="10" t="str">
        <f t="shared" si="2"/>
        <v>0070</v>
      </c>
      <c r="O11" s="3" t="str">
        <f t="shared" si="3"/>
        <v>Bemidji SU &amp; Northwest TC-Bemidji</v>
      </c>
      <c r="P11" s="159">
        <v>1040968</v>
      </c>
      <c r="Q11" s="197">
        <f t="shared" si="6"/>
        <v>1530222.9599999997</v>
      </c>
      <c r="R11" s="187"/>
      <c r="S11" s="198">
        <f>'Revenue Offset'!K10</f>
        <v>0.626062846721125</v>
      </c>
      <c r="T11" s="199">
        <f t="shared" ref="T11:T39" si="7">M11*(1-S11)</f>
        <v>1422286.4909107035</v>
      </c>
      <c r="U11" s="199">
        <f t="shared" ref="U11:U39" si="8">Q11*(1-S11)</f>
        <v>572207.21754437371</v>
      </c>
      <c r="V11" s="199">
        <f t="shared" si="4"/>
        <v>1994493.7084550774</v>
      </c>
    </row>
    <row r="12" spans="1:22" ht="15" customHeight="1" x14ac:dyDescent="0.2">
      <c r="A12" s="10" t="s">
        <v>6</v>
      </c>
      <c r="B12" s="3" t="s">
        <v>7</v>
      </c>
      <c r="C12" s="159">
        <f>358949+266810</f>
        <v>625759</v>
      </c>
      <c r="D12" s="330">
        <v>812927</v>
      </c>
      <c r="E12" s="163"/>
      <c r="F12" s="329">
        <v>9582</v>
      </c>
      <c r="G12" s="163">
        <f t="shared" si="0"/>
        <v>104562.04006192753</v>
      </c>
      <c r="H12" s="163">
        <f t="shared" si="5"/>
        <v>1126366.2</v>
      </c>
      <c r="I12" s="163">
        <v>50000</v>
      </c>
      <c r="J12" s="163"/>
      <c r="K12" s="158"/>
      <c r="L12" s="163"/>
      <c r="M12" s="163">
        <f t="shared" si="1"/>
        <v>2093855.2400619276</v>
      </c>
      <c r="N12" s="10" t="str">
        <f t="shared" si="2"/>
        <v>0301</v>
      </c>
      <c r="O12" s="3" t="str">
        <f t="shared" si="3"/>
        <v>Central Lakes College</v>
      </c>
      <c r="P12" s="159">
        <v>622159</v>
      </c>
      <c r="Q12" s="197">
        <f t="shared" si="6"/>
        <v>914573.72999999986</v>
      </c>
      <c r="R12" s="187"/>
      <c r="S12" s="198">
        <f>'Revenue Offset'!K11</f>
        <v>0.54728565389201389</v>
      </c>
      <c r="T12" s="199">
        <f t="shared" si="7"/>
        <v>947918.30584941583</v>
      </c>
      <c r="U12" s="199">
        <f t="shared" si="8"/>
        <v>414040.64814449177</v>
      </c>
      <c r="V12" s="199">
        <f t="shared" si="4"/>
        <v>1361958.9539939077</v>
      </c>
    </row>
    <row r="13" spans="1:22" ht="17.25" customHeight="1" x14ac:dyDescent="0.2">
      <c r="A13" s="10" t="s">
        <v>8</v>
      </c>
      <c r="B13" s="3" t="s">
        <v>9</v>
      </c>
      <c r="C13" s="159">
        <v>748237</v>
      </c>
      <c r="D13" s="330">
        <v>1102006</v>
      </c>
      <c r="E13" s="163"/>
      <c r="F13" s="329">
        <v>22100</v>
      </c>
      <c r="G13" s="163">
        <f t="shared" si="0"/>
        <v>241162.70980678339</v>
      </c>
      <c r="H13" s="163">
        <f t="shared" si="5"/>
        <v>1346826.6</v>
      </c>
      <c r="I13" s="163"/>
      <c r="J13" s="163"/>
      <c r="K13" s="158"/>
      <c r="L13" s="163"/>
      <c r="M13" s="163">
        <f t="shared" si="1"/>
        <v>2689995.3098067837</v>
      </c>
      <c r="N13" s="10" t="str">
        <f t="shared" si="2"/>
        <v>0304</v>
      </c>
      <c r="O13" s="3" t="str">
        <f t="shared" si="3"/>
        <v>Century College</v>
      </c>
      <c r="P13" s="159">
        <v>748237</v>
      </c>
      <c r="Q13" s="197">
        <f t="shared" si="6"/>
        <v>1099908.3899999999</v>
      </c>
      <c r="R13" s="187"/>
      <c r="S13" s="198">
        <f>'Revenue Offset'!K12</f>
        <v>0.61632399418779105</v>
      </c>
      <c r="T13" s="199">
        <f t="shared" si="7"/>
        <v>1032086.6561202423</v>
      </c>
      <c r="U13" s="199">
        <f t="shared" si="8"/>
        <v>422008.45783453737</v>
      </c>
      <c r="V13" s="199">
        <f t="shared" si="4"/>
        <v>1454095.1139547797</v>
      </c>
    </row>
    <row r="14" spans="1:22" ht="15" customHeight="1" x14ac:dyDescent="0.2">
      <c r="A14" s="10" t="s">
        <v>10</v>
      </c>
      <c r="B14" s="3" t="s">
        <v>11</v>
      </c>
      <c r="C14" s="159">
        <v>536859</v>
      </c>
      <c r="D14" s="330">
        <v>768634</v>
      </c>
      <c r="E14" s="163"/>
      <c r="F14" s="329">
        <v>7198</v>
      </c>
      <c r="G14" s="163">
        <f t="shared" si="0"/>
        <v>78547.021954263662</v>
      </c>
      <c r="H14" s="163">
        <f t="shared" si="5"/>
        <v>966346.20000000007</v>
      </c>
      <c r="I14" s="163"/>
      <c r="J14" s="163"/>
      <c r="K14" s="158"/>
      <c r="L14" s="163"/>
      <c r="M14" s="163">
        <f t="shared" si="1"/>
        <v>1813527.2219542637</v>
      </c>
      <c r="N14" s="10" t="str">
        <f t="shared" si="2"/>
        <v>0211</v>
      </c>
      <c r="O14" s="3" t="str">
        <f t="shared" si="3"/>
        <v>Dakota County TC</v>
      </c>
      <c r="P14" s="159">
        <v>543941</v>
      </c>
      <c r="Q14" s="197">
        <f t="shared" si="6"/>
        <v>799593.2699999999</v>
      </c>
      <c r="R14" s="187"/>
      <c r="S14" s="198">
        <f>'Revenue Offset'!K13</f>
        <v>0.52990560939852538</v>
      </c>
      <c r="T14" s="199">
        <f t="shared" si="7"/>
        <v>852528.97424377478</v>
      </c>
      <c r="U14" s="199">
        <f t="shared" si="8"/>
        <v>375884.3109896903</v>
      </c>
      <c r="V14" s="199">
        <f t="shared" si="4"/>
        <v>1228413.285233465</v>
      </c>
    </row>
    <row r="15" spans="1:22" ht="15" customHeight="1" x14ac:dyDescent="0.2">
      <c r="A15" s="10" t="s">
        <v>12</v>
      </c>
      <c r="B15" s="3" t="s">
        <v>13</v>
      </c>
      <c r="C15" s="159">
        <v>161222</v>
      </c>
      <c r="D15" s="330">
        <v>248097</v>
      </c>
      <c r="E15" s="163"/>
      <c r="F15" s="329">
        <v>4233</v>
      </c>
      <c r="G15" s="163">
        <f t="shared" si="0"/>
        <v>46191.934416837736</v>
      </c>
      <c r="H15" s="163">
        <f t="shared" si="5"/>
        <v>290199.60000000003</v>
      </c>
      <c r="I15" s="163"/>
      <c r="J15" s="163">
        <v>100</v>
      </c>
      <c r="K15" s="158">
        <f>J15*$K$7</f>
        <v>6165.6504761252318</v>
      </c>
      <c r="L15" s="163"/>
      <c r="M15" s="163">
        <f t="shared" si="1"/>
        <v>590654.18489296304</v>
      </c>
      <c r="N15" s="10" t="str">
        <f t="shared" si="2"/>
        <v>0163</v>
      </c>
      <c r="O15" s="3" t="str">
        <f t="shared" si="3"/>
        <v>Fond du Lac Tribal &amp; CC</v>
      </c>
      <c r="P15" s="159">
        <v>161222</v>
      </c>
      <c r="Q15" s="197">
        <f t="shared" si="6"/>
        <v>236996.33999999997</v>
      </c>
      <c r="R15" s="187"/>
      <c r="S15" s="198">
        <f>'Revenue Offset'!K14</f>
        <v>0.53716253548001791</v>
      </c>
      <c r="T15" s="199">
        <f t="shared" si="7"/>
        <v>273376.88534397574</v>
      </c>
      <c r="U15" s="199">
        <f t="shared" si="8"/>
        <v>109690.7851061156</v>
      </c>
      <c r="V15" s="199">
        <f t="shared" si="4"/>
        <v>383067.67045009136</v>
      </c>
    </row>
    <row r="16" spans="1:22" ht="15" customHeight="1" x14ac:dyDescent="0.2">
      <c r="A16" s="10" t="s">
        <v>14</v>
      </c>
      <c r="B16" s="3" t="s">
        <v>245</v>
      </c>
      <c r="C16" s="159">
        <f>498704+415697</f>
        <v>914401</v>
      </c>
      <c r="D16" s="330">
        <v>1394319</v>
      </c>
      <c r="E16" s="163"/>
      <c r="F16" s="329">
        <v>13811</v>
      </c>
      <c r="G16" s="163">
        <f t="shared" si="0"/>
        <v>150710.32511952423</v>
      </c>
      <c r="H16" s="163">
        <f t="shared" si="5"/>
        <v>1645921.8</v>
      </c>
      <c r="I16" s="163">
        <v>50000</v>
      </c>
      <c r="J16" s="163"/>
      <c r="K16" s="158"/>
      <c r="L16" s="163"/>
      <c r="M16" s="163">
        <f t="shared" si="1"/>
        <v>3240951.1251195241</v>
      </c>
      <c r="N16" s="10" t="str">
        <f t="shared" si="2"/>
        <v>0204</v>
      </c>
      <c r="O16" s="3" t="str">
        <f t="shared" si="3"/>
        <v>Hennepin Technical College</v>
      </c>
      <c r="P16" s="159">
        <v>914401</v>
      </c>
      <c r="Q16" s="197">
        <f t="shared" si="6"/>
        <v>1344169.4699999997</v>
      </c>
      <c r="R16" s="187"/>
      <c r="S16" s="198">
        <f>'Revenue Offset'!K15</f>
        <v>0.52857921921047757</v>
      </c>
      <c r="T16" s="199">
        <f t="shared" si="7"/>
        <v>1527851.7099045273</v>
      </c>
      <c r="U16" s="199">
        <f t="shared" si="8"/>
        <v>633669.42106083839</v>
      </c>
      <c r="V16" s="199">
        <f t="shared" si="4"/>
        <v>2161521.1309653656</v>
      </c>
    </row>
    <row r="17" spans="1:22" ht="15" customHeight="1" x14ac:dyDescent="0.2">
      <c r="A17" s="10" t="s">
        <v>16</v>
      </c>
      <c r="B17" s="3" t="s">
        <v>246</v>
      </c>
      <c r="C17" s="159">
        <v>325845</v>
      </c>
      <c r="D17" s="330">
        <v>532511</v>
      </c>
      <c r="E17" s="163"/>
      <c r="F17" s="329">
        <v>14050</v>
      </c>
      <c r="G17" s="163">
        <f t="shared" si="0"/>
        <v>153318.37433417677</v>
      </c>
      <c r="H17" s="163">
        <f t="shared" si="5"/>
        <v>586521</v>
      </c>
      <c r="I17" s="163"/>
      <c r="J17" s="163"/>
      <c r="K17" s="158"/>
      <c r="L17" s="163"/>
      <c r="M17" s="163">
        <f t="shared" si="1"/>
        <v>1272350.3743341768</v>
      </c>
      <c r="N17" s="10" t="str">
        <f t="shared" si="2"/>
        <v>0157</v>
      </c>
      <c r="O17" s="3" t="str">
        <f t="shared" si="3"/>
        <v>Inver Hills Community College</v>
      </c>
      <c r="P17" s="159">
        <v>325845</v>
      </c>
      <c r="Q17" s="197">
        <f t="shared" si="6"/>
        <v>478992.14999999991</v>
      </c>
      <c r="R17" s="187"/>
      <c r="S17" s="198">
        <f>'Revenue Offset'!K16</f>
        <v>0.58966686318357808</v>
      </c>
      <c r="T17" s="199">
        <f t="shared" si="7"/>
        <v>522087.52023009141</v>
      </c>
      <c r="U17" s="199">
        <f t="shared" si="8"/>
        <v>196546.35141994205</v>
      </c>
      <c r="V17" s="199">
        <f t="shared" si="4"/>
        <v>718633.8716500334</v>
      </c>
    </row>
    <row r="18" spans="1:22" ht="15" customHeight="1" x14ac:dyDescent="0.2">
      <c r="A18" s="10" t="s">
        <v>18</v>
      </c>
      <c r="B18" s="3" t="s">
        <v>19</v>
      </c>
      <c r="C18" s="159">
        <v>399066</v>
      </c>
      <c r="D18" s="330">
        <v>702637</v>
      </c>
      <c r="E18" s="163"/>
      <c r="F18" s="329">
        <v>12338</v>
      </c>
      <c r="G18" s="163">
        <f t="shared" si="0"/>
        <v>134636.44857900875</v>
      </c>
      <c r="H18" s="163">
        <f t="shared" si="5"/>
        <v>718318.8</v>
      </c>
      <c r="I18" s="163"/>
      <c r="J18" s="163"/>
      <c r="K18" s="158"/>
      <c r="L18" s="163"/>
      <c r="M18" s="163">
        <f t="shared" si="1"/>
        <v>1555592.2485790087</v>
      </c>
      <c r="N18" s="10" t="str">
        <f t="shared" si="2"/>
        <v>0302</v>
      </c>
      <c r="O18" s="3" t="str">
        <f t="shared" si="3"/>
        <v>Lake Superior College</v>
      </c>
      <c r="P18" s="159">
        <v>399066</v>
      </c>
      <c r="Q18" s="197">
        <f t="shared" si="6"/>
        <v>586627.0199999999</v>
      </c>
      <c r="R18" s="187"/>
      <c r="S18" s="198">
        <f>'Revenue Offset'!K17</f>
        <v>0.53156842626075473</v>
      </c>
      <c r="T18" s="199">
        <f t="shared" si="7"/>
        <v>728688.52509843628</v>
      </c>
      <c r="U18" s="199">
        <f t="shared" si="8"/>
        <v>274794.61817656364</v>
      </c>
      <c r="V18" s="199">
        <f t="shared" si="4"/>
        <v>1003483.1432749999</v>
      </c>
    </row>
    <row r="19" spans="1:22" ht="15" customHeight="1" x14ac:dyDescent="0.2">
      <c r="A19" s="10" t="s">
        <v>20</v>
      </c>
      <c r="B19" s="3" t="s">
        <v>247</v>
      </c>
      <c r="C19" s="159">
        <v>295343</v>
      </c>
      <c r="D19" s="330">
        <v>596758</v>
      </c>
      <c r="E19" s="163"/>
      <c r="F19" s="329">
        <v>20851</v>
      </c>
      <c r="G19" s="163">
        <f t="shared" si="0"/>
        <v>227533.19738376653</v>
      </c>
      <c r="H19" s="163">
        <f t="shared" si="5"/>
        <v>531617.4</v>
      </c>
      <c r="I19" s="163"/>
      <c r="J19" s="163"/>
      <c r="K19" s="158"/>
      <c r="L19" s="163"/>
      <c r="M19" s="163">
        <f t="shared" si="1"/>
        <v>1355908.5973837664</v>
      </c>
      <c r="N19" s="10" t="str">
        <f t="shared" si="2"/>
        <v>0076</v>
      </c>
      <c r="O19" s="3" t="str">
        <f t="shared" si="3"/>
        <v>Metropolitan State University</v>
      </c>
      <c r="P19" s="159">
        <v>295343</v>
      </c>
      <c r="Q19" s="197">
        <f t="shared" si="6"/>
        <v>434154.2099999999</v>
      </c>
      <c r="R19" s="187"/>
      <c r="S19" s="198">
        <f>'Revenue Offset'!K18</f>
        <v>0.57975633749561317</v>
      </c>
      <c r="T19" s="199">
        <f t="shared" si="7"/>
        <v>569811.99498574005</v>
      </c>
      <c r="U19" s="199">
        <f t="shared" si="8"/>
        <v>182450.55530209866</v>
      </c>
      <c r="V19" s="199">
        <f t="shared" si="4"/>
        <v>752262.55028783868</v>
      </c>
    </row>
    <row r="20" spans="1:22" ht="15" customHeight="1" x14ac:dyDescent="0.2">
      <c r="A20" s="10" t="s">
        <v>21</v>
      </c>
      <c r="B20" s="3" t="s">
        <v>200</v>
      </c>
      <c r="C20" s="159">
        <v>1067188</v>
      </c>
      <c r="D20" s="330">
        <v>1480685</v>
      </c>
      <c r="E20" s="163"/>
      <c r="F20" s="329">
        <v>21217</v>
      </c>
      <c r="G20" s="163">
        <f t="shared" si="0"/>
        <v>231527.11375432232</v>
      </c>
      <c r="H20" s="163">
        <f t="shared" si="5"/>
        <v>1920938.4000000001</v>
      </c>
      <c r="I20" s="163"/>
      <c r="J20" s="163"/>
      <c r="K20" s="158"/>
      <c r="L20" s="163"/>
      <c r="M20" s="163">
        <f t="shared" si="1"/>
        <v>3633150.5137543222</v>
      </c>
      <c r="N20" s="10" t="str">
        <f t="shared" si="2"/>
        <v>0305</v>
      </c>
      <c r="O20" s="3" t="str">
        <f t="shared" si="3"/>
        <v>Minneapolis CTC</v>
      </c>
      <c r="P20" s="159">
        <v>1067188</v>
      </c>
      <c r="Q20" s="197">
        <f t="shared" si="6"/>
        <v>1568766.3599999996</v>
      </c>
      <c r="R20" s="187"/>
      <c r="S20" s="198">
        <f>'Revenue Offset'!K19</f>
        <v>0.60927954217116709</v>
      </c>
      <c r="T20" s="199">
        <f t="shared" si="7"/>
        <v>1419546.2320951482</v>
      </c>
      <c r="U20" s="199">
        <f t="shared" si="8"/>
        <v>612949.11040567153</v>
      </c>
      <c r="V20" s="199">
        <f t="shared" si="4"/>
        <v>2032495.3425008198</v>
      </c>
    </row>
    <row r="21" spans="1:22" ht="15" customHeight="1" x14ac:dyDescent="0.2">
      <c r="A21" s="10" t="s">
        <v>23</v>
      </c>
      <c r="B21" s="200" t="s">
        <v>79</v>
      </c>
      <c r="C21" s="159">
        <f>100743+183316</f>
        <v>284059</v>
      </c>
      <c r="D21" s="330">
        <v>347227</v>
      </c>
      <c r="E21" s="163"/>
      <c r="F21" s="329">
        <v>4693</v>
      </c>
      <c r="G21" s="163">
        <f t="shared" si="0"/>
        <v>51211.610729558124</v>
      </c>
      <c r="H21" s="163">
        <f t="shared" si="5"/>
        <v>511306.2</v>
      </c>
      <c r="I21" s="163">
        <v>50000</v>
      </c>
      <c r="J21" s="163"/>
      <c r="K21" s="158"/>
      <c r="L21" s="163"/>
      <c r="M21" s="163">
        <f t="shared" si="1"/>
        <v>959744.81072955811</v>
      </c>
      <c r="N21" s="10" t="str">
        <f t="shared" si="2"/>
        <v>0213</v>
      </c>
      <c r="O21" s="3" t="str">
        <f t="shared" si="3"/>
        <v>Minnesota SC-Southeast Technical</v>
      </c>
      <c r="P21" s="159">
        <v>284059</v>
      </c>
      <c r="Q21" s="197">
        <f t="shared" si="6"/>
        <v>417566.72999999992</v>
      </c>
      <c r="R21" s="187"/>
      <c r="S21" s="198">
        <f>'Revenue Offset'!K20</f>
        <v>0.48747669235101038</v>
      </c>
      <c r="T21" s="199">
        <f t="shared" si="7"/>
        <v>491891.58489406668</v>
      </c>
      <c r="U21" s="199">
        <f t="shared" si="8"/>
        <v>214012.68162377257</v>
      </c>
      <c r="V21" s="199">
        <f t="shared" si="4"/>
        <v>705904.26651783928</v>
      </c>
    </row>
    <row r="22" spans="1:22" ht="15" customHeight="1" x14ac:dyDescent="0.2">
      <c r="A22" s="45" t="s">
        <v>155</v>
      </c>
      <c r="B22" s="3" t="s">
        <v>248</v>
      </c>
      <c r="C22" s="159">
        <f>196824+165849+217308+136836</f>
        <v>716817</v>
      </c>
      <c r="D22" s="330">
        <v>853041</v>
      </c>
      <c r="E22" s="163"/>
      <c r="F22" s="329">
        <v>14248</v>
      </c>
      <c r="G22" s="163">
        <f t="shared" si="0"/>
        <v>155479.01761660859</v>
      </c>
      <c r="H22" s="163">
        <f t="shared" si="5"/>
        <v>1290270.6000000001</v>
      </c>
      <c r="I22" s="163">
        <v>150000</v>
      </c>
      <c r="J22" s="163">
        <v>134</v>
      </c>
      <c r="K22" s="158">
        <f>J22*$K$7</f>
        <v>8261.9716380078098</v>
      </c>
      <c r="L22" s="163"/>
      <c r="M22" s="163">
        <f t="shared" si="1"/>
        <v>2457052.5892546168</v>
      </c>
      <c r="N22" s="10" t="str">
        <f t="shared" si="2"/>
        <v>0442</v>
      </c>
      <c r="O22" s="3" t="str">
        <f t="shared" si="3"/>
        <v>Minnesota State CTC</v>
      </c>
      <c r="P22" s="159">
        <v>716817</v>
      </c>
      <c r="Q22" s="197">
        <f t="shared" si="6"/>
        <v>1053720.9899999998</v>
      </c>
      <c r="R22" s="187"/>
      <c r="S22" s="198">
        <f>'Revenue Offset'!K21</f>
        <v>0.54156197426482311</v>
      </c>
      <c r="T22" s="199">
        <f t="shared" si="7"/>
        <v>1126406.3381453911</v>
      </c>
      <c r="U22" s="199">
        <f t="shared" si="8"/>
        <v>483065.77033131599</v>
      </c>
      <c r="V22" s="199">
        <f>+T22+U22</f>
        <v>1609472.108476707</v>
      </c>
    </row>
    <row r="23" spans="1:22" ht="15" customHeight="1" x14ac:dyDescent="0.2">
      <c r="A23" s="10" t="s">
        <v>28</v>
      </c>
      <c r="B23" s="3" t="s">
        <v>64</v>
      </c>
      <c r="C23" s="159">
        <v>1154542</v>
      </c>
      <c r="D23" s="330">
        <v>1767358</v>
      </c>
      <c r="E23" s="163"/>
      <c r="F23" s="329">
        <v>14276</v>
      </c>
      <c r="G23" s="163">
        <f t="shared" si="0"/>
        <v>155784.56313129593</v>
      </c>
      <c r="H23" s="163">
        <f t="shared" si="5"/>
        <v>2078175.6</v>
      </c>
      <c r="I23" s="163"/>
      <c r="J23" s="163">
        <v>1857</v>
      </c>
      <c r="K23" s="158">
        <f>J23*$K$7</f>
        <v>114496.12934164554</v>
      </c>
      <c r="L23" s="163">
        <v>400000</v>
      </c>
      <c r="M23" s="163">
        <f t="shared" si="1"/>
        <v>4515814.2924729418</v>
      </c>
      <c r="N23" s="10" t="str">
        <f t="shared" si="2"/>
        <v>0072</v>
      </c>
      <c r="O23" s="3" t="str">
        <f t="shared" si="3"/>
        <v>Minnesota SU Moorhead</v>
      </c>
      <c r="P23" s="332">
        <v>1163688</v>
      </c>
      <c r="Q23" s="197">
        <f t="shared" si="6"/>
        <v>1710621.3599999996</v>
      </c>
      <c r="R23" s="187"/>
      <c r="S23" s="198">
        <f>'Revenue Offset'!K22</f>
        <v>0.59059776488770976</v>
      </c>
      <c r="T23" s="199">
        <f t="shared" si="7"/>
        <v>1848784.464690448</v>
      </c>
      <c r="U23" s="199">
        <f t="shared" si="8"/>
        <v>700332.20821482548</v>
      </c>
      <c r="V23" s="199">
        <f t="shared" si="4"/>
        <v>2549116.6729052737</v>
      </c>
    </row>
    <row r="24" spans="1:22" ht="15" customHeight="1" x14ac:dyDescent="0.2">
      <c r="A24" s="10" t="s">
        <v>24</v>
      </c>
      <c r="B24" s="3" t="s">
        <v>25</v>
      </c>
      <c r="C24" s="332">
        <v>1725252</v>
      </c>
      <c r="D24" s="330">
        <v>3413134</v>
      </c>
      <c r="E24" s="163"/>
      <c r="F24" s="329">
        <v>35006</v>
      </c>
      <c r="G24" s="163">
        <f t="shared" si="0"/>
        <v>381997.36739802075</v>
      </c>
      <c r="H24" s="163">
        <f t="shared" si="5"/>
        <v>3105453.6</v>
      </c>
      <c r="I24" s="163"/>
      <c r="J24" s="163">
        <v>3004</v>
      </c>
      <c r="K24" s="158">
        <f>J24*$K$7</f>
        <v>185216.14030280194</v>
      </c>
      <c r="L24" s="163">
        <v>400000</v>
      </c>
      <c r="M24" s="163">
        <f t="shared" si="1"/>
        <v>7485801.1077008229</v>
      </c>
      <c r="N24" s="10" t="str">
        <f t="shared" si="2"/>
        <v>0071</v>
      </c>
      <c r="O24" s="3" t="str">
        <f t="shared" si="3"/>
        <v>Minnesota SU, Mankato</v>
      </c>
      <c r="P24" s="159">
        <v>1725252</v>
      </c>
      <c r="Q24" s="197">
        <f t="shared" si="6"/>
        <v>2536120.4399999995</v>
      </c>
      <c r="R24" s="187"/>
      <c r="S24" s="198">
        <f>'Revenue Offset'!K23</f>
        <v>0.66441885080407515</v>
      </c>
      <c r="T24" s="199">
        <f t="shared" si="7"/>
        <v>2512093.7383743692</v>
      </c>
      <c r="U24" s="199">
        <f t="shared" si="8"/>
        <v>851074.21175447444</v>
      </c>
      <c r="V24" s="199">
        <f t="shared" si="4"/>
        <v>3363167.9501288435</v>
      </c>
    </row>
    <row r="25" spans="1:22" ht="15" customHeight="1" x14ac:dyDescent="0.2">
      <c r="A25" s="10" t="s">
        <v>26</v>
      </c>
      <c r="B25" s="3" t="s">
        <v>234</v>
      </c>
      <c r="C25" s="159">
        <f>82213+70182+100340+88085+166122</f>
        <v>506942</v>
      </c>
      <c r="D25" s="330">
        <v>654312</v>
      </c>
      <c r="E25" s="163"/>
      <c r="F25" s="329">
        <v>7676</v>
      </c>
      <c r="G25" s="163">
        <f t="shared" si="0"/>
        <v>83763.120383568748</v>
      </c>
      <c r="H25" s="163">
        <f t="shared" si="5"/>
        <v>912495.6</v>
      </c>
      <c r="I25" s="163">
        <v>200000</v>
      </c>
      <c r="J25" s="163">
        <v>16</v>
      </c>
      <c r="K25" s="158">
        <f>J25*$K$7</f>
        <v>986.50407618003703</v>
      </c>
      <c r="L25" s="163"/>
      <c r="M25" s="163">
        <f t="shared" si="1"/>
        <v>1851557.2244597487</v>
      </c>
      <c r="N25" s="10" t="str">
        <f t="shared" si="2"/>
        <v>0209</v>
      </c>
      <c r="O25" s="3" t="str">
        <f t="shared" si="3"/>
        <v>Minnesota West CTC</v>
      </c>
      <c r="P25" s="159">
        <v>508720</v>
      </c>
      <c r="Q25" s="197">
        <f t="shared" si="6"/>
        <v>747818.39999999991</v>
      </c>
      <c r="R25" s="187"/>
      <c r="S25" s="198">
        <f>'Revenue Offset'!K24</f>
        <v>0.51254532218198412</v>
      </c>
      <c r="T25" s="199">
        <f t="shared" si="7"/>
        <v>902550.23031064647</v>
      </c>
      <c r="U25" s="199">
        <f t="shared" si="8"/>
        <v>364527.57723838405</v>
      </c>
      <c r="V25" s="199">
        <f t="shared" si="4"/>
        <v>1267077.8075490305</v>
      </c>
    </row>
    <row r="26" spans="1:22" ht="15" customHeight="1" x14ac:dyDescent="0.2">
      <c r="A26" s="10" t="s">
        <v>29</v>
      </c>
      <c r="B26" s="3" t="s">
        <v>203</v>
      </c>
      <c r="C26" s="159">
        <v>566197</v>
      </c>
      <c r="D26" s="330">
        <v>972026</v>
      </c>
      <c r="E26" s="163"/>
      <c r="F26" s="329">
        <v>23269</v>
      </c>
      <c r="G26" s="163">
        <f t="shared" si="0"/>
        <v>253919.23504497929</v>
      </c>
      <c r="H26" s="163">
        <f t="shared" si="5"/>
        <v>1019154.6</v>
      </c>
      <c r="I26" s="163"/>
      <c r="J26" s="163"/>
      <c r="K26" s="158"/>
      <c r="L26" s="163"/>
      <c r="M26" s="163">
        <f t="shared" si="1"/>
        <v>2245099.8350449791</v>
      </c>
      <c r="N26" s="10" t="str">
        <f t="shared" si="2"/>
        <v>0156</v>
      </c>
      <c r="O26" s="3" t="str">
        <f t="shared" si="3"/>
        <v>Normandale Community College</v>
      </c>
      <c r="P26" s="159">
        <v>566197</v>
      </c>
      <c r="Q26" s="197">
        <f t="shared" si="6"/>
        <v>832309.58999999985</v>
      </c>
      <c r="R26" s="187"/>
      <c r="S26" s="198">
        <f>'Revenue Offset'!K25</f>
        <v>0.64364123513885774</v>
      </c>
      <c r="T26" s="199">
        <f t="shared" si="7"/>
        <v>800061.00420658302</v>
      </c>
      <c r="U26" s="199">
        <f t="shared" si="8"/>
        <v>296600.81747448369</v>
      </c>
      <c r="V26" s="199">
        <f t="shared" si="4"/>
        <v>1096661.8216810666</v>
      </c>
    </row>
    <row r="27" spans="1:22" ht="15" customHeight="1" x14ac:dyDescent="0.2">
      <c r="A27" s="10" t="s">
        <v>31</v>
      </c>
      <c r="B27" s="3" t="s">
        <v>204</v>
      </c>
      <c r="C27" s="159">
        <v>490064</v>
      </c>
      <c r="D27" s="330">
        <v>754186</v>
      </c>
      <c r="E27" s="163"/>
      <c r="F27" s="329">
        <v>17656</v>
      </c>
      <c r="G27" s="163">
        <f t="shared" si="0"/>
        <v>192668.27168998044</v>
      </c>
      <c r="H27" s="163">
        <f t="shared" si="5"/>
        <v>882115.20000000007</v>
      </c>
      <c r="I27" s="163"/>
      <c r="J27" s="163"/>
      <c r="K27" s="158"/>
      <c r="L27" s="163"/>
      <c r="M27" s="163">
        <f t="shared" si="1"/>
        <v>1828969.4716899805</v>
      </c>
      <c r="N27" s="10" t="str">
        <f t="shared" si="2"/>
        <v>0153</v>
      </c>
      <c r="O27" s="3" t="str">
        <f t="shared" si="3"/>
        <v>North Hennepin Community College</v>
      </c>
      <c r="P27" s="333">
        <v>490064</v>
      </c>
      <c r="Q27" s="197">
        <f t="shared" si="6"/>
        <v>720394.07999999984</v>
      </c>
      <c r="R27" s="187"/>
      <c r="S27" s="198">
        <f>'Revenue Offset'!K26</f>
        <v>0.58457424457278995</v>
      </c>
      <c r="T27" s="199">
        <f t="shared" si="7"/>
        <v>759801.02443011536</v>
      </c>
      <c r="U27" s="199">
        <f t="shared" si="8"/>
        <v>299270.25488928991</v>
      </c>
      <c r="V27" s="199">
        <f t="shared" si="4"/>
        <v>1059071.2793194053</v>
      </c>
    </row>
    <row r="28" spans="1:22" ht="15" customHeight="1" x14ac:dyDescent="0.2">
      <c r="A28" s="45" t="s">
        <v>172</v>
      </c>
      <c r="B28" s="3" t="s">
        <v>65</v>
      </c>
      <c r="C28" s="333">
        <f>325314+188416+97173+132211+96361+124080</f>
        <v>963555</v>
      </c>
      <c r="D28" s="330">
        <v>1705076</v>
      </c>
      <c r="E28" s="163"/>
      <c r="F28" s="334">
        <v>10588</v>
      </c>
      <c r="G28" s="163">
        <f t="shared" si="0"/>
        <v>115539.8539110508</v>
      </c>
      <c r="H28" s="163">
        <f t="shared" si="5"/>
        <v>1734399</v>
      </c>
      <c r="I28" s="163">
        <v>250000</v>
      </c>
      <c r="J28" s="163">
        <f>112+96+92+260+128</f>
        <v>688</v>
      </c>
      <c r="K28" s="158">
        <f>J28*$K$7</f>
        <v>42419.675275741589</v>
      </c>
      <c r="L28" s="159"/>
      <c r="M28" s="163">
        <f t="shared" si="1"/>
        <v>3847434.5291867922</v>
      </c>
      <c r="N28" s="10" t="str">
        <f t="shared" si="2"/>
        <v>0411</v>
      </c>
      <c r="O28" s="3" t="str">
        <f t="shared" si="3"/>
        <v>Northeast Higher Education District</v>
      </c>
      <c r="P28" s="159">
        <v>952801</v>
      </c>
      <c r="Q28" s="197">
        <f t="shared" si="6"/>
        <v>1400617.4699999997</v>
      </c>
      <c r="R28" s="187"/>
      <c r="S28" s="198">
        <f>'Revenue Offset'!K27</f>
        <v>0.49179006686944149</v>
      </c>
      <c r="T28" s="199">
        <f t="shared" si="7"/>
        <v>1955304.4448022216</v>
      </c>
      <c r="U28" s="199">
        <f t="shared" si="8"/>
        <v>711807.71077019186</v>
      </c>
      <c r="V28" s="199">
        <f t="shared" si="4"/>
        <v>2667112.1555724135</v>
      </c>
    </row>
    <row r="29" spans="1:22" ht="15" customHeight="1" x14ac:dyDescent="0.2">
      <c r="A29" s="10" t="s">
        <v>33</v>
      </c>
      <c r="B29" s="3" t="s">
        <v>205</v>
      </c>
      <c r="C29" s="159">
        <f>171244+323533</f>
        <v>494777</v>
      </c>
      <c r="D29" s="330">
        <v>795008</v>
      </c>
      <c r="E29" s="163"/>
      <c r="F29" s="329">
        <v>7941</v>
      </c>
      <c r="G29" s="163">
        <f t="shared" si="0"/>
        <v>86654.890433288092</v>
      </c>
      <c r="H29" s="163">
        <f t="shared" si="5"/>
        <v>890598.6</v>
      </c>
      <c r="I29" s="163">
        <v>50000</v>
      </c>
      <c r="J29" s="163"/>
      <c r="K29" s="158">
        <f>J29*$K$7</f>
        <v>0</v>
      </c>
      <c r="L29" s="163"/>
      <c r="M29" s="163">
        <f t="shared" si="1"/>
        <v>1822261.490433288</v>
      </c>
      <c r="N29" s="10" t="str">
        <f t="shared" si="2"/>
        <v>0303</v>
      </c>
      <c r="O29" s="3" t="str">
        <f t="shared" si="3"/>
        <v>Northland CTC</v>
      </c>
      <c r="P29" s="159">
        <v>494777</v>
      </c>
      <c r="Q29" s="197">
        <f t="shared" si="6"/>
        <v>727322.18999999983</v>
      </c>
      <c r="R29" s="187"/>
      <c r="S29" s="198">
        <f>'Revenue Offset'!K28</f>
        <v>0.51828060700799883</v>
      </c>
      <c r="T29" s="199">
        <f t="shared" si="7"/>
        <v>877818.69904422283</v>
      </c>
      <c r="U29" s="199">
        <f t="shared" si="8"/>
        <v>350365.20387641288</v>
      </c>
      <c r="V29" s="199">
        <f t="shared" si="4"/>
        <v>1228183.9029206356</v>
      </c>
    </row>
    <row r="30" spans="1:22" ht="15" customHeight="1" x14ac:dyDescent="0.2">
      <c r="A30" s="10" t="s">
        <v>35</v>
      </c>
      <c r="B30" s="3" t="s">
        <v>201</v>
      </c>
      <c r="C30" s="159">
        <v>112870</v>
      </c>
      <c r="D30" s="330">
        <v>140654</v>
      </c>
      <c r="E30" s="163"/>
      <c r="F30" s="329">
        <v>3139</v>
      </c>
      <c r="G30" s="163">
        <f t="shared" si="0"/>
        <v>34253.83466441145</v>
      </c>
      <c r="H30" s="163">
        <f>C30*$H$7</f>
        <v>203166</v>
      </c>
      <c r="I30" s="163"/>
      <c r="J30" s="163"/>
      <c r="K30" s="158"/>
      <c r="L30" s="163"/>
      <c r="M30" s="163">
        <f>D30+E30+G30+H30+I30+K30+L30</f>
        <v>378073.83466441144</v>
      </c>
      <c r="N30" s="10" t="str">
        <f t="shared" si="2"/>
        <v>0205</v>
      </c>
      <c r="O30" s="3" t="str">
        <f t="shared" si="3"/>
        <v>Pine TCC</v>
      </c>
      <c r="P30" s="159">
        <v>112870</v>
      </c>
      <c r="Q30" s="197">
        <f t="shared" si="6"/>
        <v>165918.89999999997</v>
      </c>
      <c r="R30" s="187"/>
      <c r="S30" s="198">
        <f>'Revenue Offset'!K29</f>
        <v>0.56500392293571977</v>
      </c>
      <c r="T30" s="199">
        <f t="shared" si="7"/>
        <v>164460.63491966826</v>
      </c>
      <c r="U30" s="199">
        <f t="shared" si="8"/>
        <v>72174.070610820592</v>
      </c>
      <c r="V30" s="199">
        <f t="shared" si="4"/>
        <v>236634.70553048886</v>
      </c>
    </row>
    <row r="31" spans="1:22" ht="15" customHeight="1" x14ac:dyDescent="0.2">
      <c r="A31" s="10" t="s">
        <v>37</v>
      </c>
      <c r="B31" s="3" t="s">
        <v>38</v>
      </c>
      <c r="C31" s="159">
        <f>195906+476819</f>
        <v>672725</v>
      </c>
      <c r="D31" s="330">
        <v>792625</v>
      </c>
      <c r="E31" s="163"/>
      <c r="F31" s="329">
        <v>8714</v>
      </c>
      <c r="G31" s="163">
        <f t="shared" si="0"/>
        <v>95090.129106620385</v>
      </c>
      <c r="H31" s="163">
        <f t="shared" si="5"/>
        <v>1210905</v>
      </c>
      <c r="I31" s="163">
        <v>50000</v>
      </c>
      <c r="J31" s="163"/>
      <c r="K31" s="158"/>
      <c r="L31" s="163"/>
      <c r="M31" s="163">
        <f>D31+E31+G31+H31+I31+K31+L31</f>
        <v>2148620.1291066203</v>
      </c>
      <c r="N31" s="10" t="str">
        <f t="shared" si="2"/>
        <v>0308</v>
      </c>
      <c r="O31" s="3" t="str">
        <f t="shared" si="3"/>
        <v>Ridgewater College</v>
      </c>
      <c r="P31" s="159">
        <v>672725</v>
      </c>
      <c r="Q31" s="197">
        <f t="shared" si="6"/>
        <v>988905.74999999988</v>
      </c>
      <c r="R31" s="187"/>
      <c r="S31" s="198">
        <f>'Revenue Offset'!K30</f>
        <v>0.51995381790586437</v>
      </c>
      <c r="T31" s="199">
        <f t="shared" si="7"/>
        <v>1031436.8897482419</v>
      </c>
      <c r="U31" s="199">
        <f t="shared" si="8"/>
        <v>474720.4297384377</v>
      </c>
      <c r="V31" s="199">
        <f t="shared" si="4"/>
        <v>1506157.3194866795</v>
      </c>
    </row>
    <row r="32" spans="1:22" ht="15" customHeight="1" x14ac:dyDescent="0.2">
      <c r="A32" s="10" t="s">
        <v>39</v>
      </c>
      <c r="B32" s="3" t="s">
        <v>202</v>
      </c>
      <c r="C32" s="159">
        <f>138322+361379+27571</f>
        <v>527272</v>
      </c>
      <c r="D32" s="330">
        <v>688971</v>
      </c>
      <c r="E32" s="163"/>
      <c r="F32" s="329">
        <v>7194</v>
      </c>
      <c r="G32" s="163">
        <f t="shared" si="0"/>
        <v>78503.372595022607</v>
      </c>
      <c r="H32" s="163">
        <f t="shared" si="5"/>
        <v>949089.6</v>
      </c>
      <c r="I32" s="163">
        <v>100000</v>
      </c>
      <c r="J32" s="163">
        <v>96</v>
      </c>
      <c r="K32" s="158">
        <f>J32*$K$7</f>
        <v>5919.0244570802224</v>
      </c>
      <c r="L32" s="163"/>
      <c r="M32" s="163">
        <f t="shared" si="1"/>
        <v>1822482.9970521028</v>
      </c>
      <c r="N32" s="10" t="str">
        <f t="shared" si="2"/>
        <v>0307</v>
      </c>
      <c r="O32" s="3" t="str">
        <f t="shared" si="3"/>
        <v>Riverland Community College</v>
      </c>
      <c r="P32" s="159">
        <v>527272</v>
      </c>
      <c r="Q32" s="197">
        <f t="shared" si="6"/>
        <v>775089.83999999985</v>
      </c>
      <c r="R32" s="187"/>
      <c r="S32" s="198">
        <f>'Revenue Offset'!K31</f>
        <v>0.48617697604637483</v>
      </c>
      <c r="T32" s="199">
        <f t="shared" si="7"/>
        <v>936433.72464937728</v>
      </c>
      <c r="U32" s="199">
        <f t="shared" si="8"/>
        <v>398259.00542453147</v>
      </c>
      <c r="V32" s="199">
        <f t="shared" si="4"/>
        <v>1334692.7300739088</v>
      </c>
    </row>
    <row r="33" spans="1:22" ht="15" customHeight="1" x14ac:dyDescent="0.2">
      <c r="A33" s="10" t="s">
        <v>41</v>
      </c>
      <c r="B33" s="3" t="s">
        <v>206</v>
      </c>
      <c r="C33" s="159">
        <v>850600</v>
      </c>
      <c r="D33" s="330">
        <v>1553988</v>
      </c>
      <c r="E33" s="163"/>
      <c r="F33" s="329">
        <v>13400</v>
      </c>
      <c r="G33" s="163">
        <f t="shared" si="0"/>
        <v>146225.35345750666</v>
      </c>
      <c r="H33" s="163">
        <f t="shared" si="5"/>
        <v>1531080</v>
      </c>
      <c r="I33" s="163"/>
      <c r="J33" s="163">
        <v>376</v>
      </c>
      <c r="K33" s="158">
        <f>J33*$K$7</f>
        <v>23182.845790230869</v>
      </c>
      <c r="L33" s="163"/>
      <c r="M33" s="163">
        <f t="shared" si="1"/>
        <v>3254476.1992477374</v>
      </c>
      <c r="N33" s="10" t="str">
        <f t="shared" si="2"/>
        <v>0306</v>
      </c>
      <c r="O33" s="3" t="str">
        <f t="shared" si="3"/>
        <v>Rochester CTC</v>
      </c>
      <c r="P33" s="159">
        <v>850600</v>
      </c>
      <c r="Q33" s="197">
        <f t="shared" si="6"/>
        <v>1250381.9999999998</v>
      </c>
      <c r="R33" s="187"/>
      <c r="S33" s="198">
        <f>'Revenue Offset'!K32</f>
        <v>0.61143475656249446</v>
      </c>
      <c r="T33" s="199">
        <f t="shared" si="7"/>
        <v>1264576.3366222649</v>
      </c>
      <c r="U33" s="199">
        <f t="shared" si="8"/>
        <v>485854.98621987493</v>
      </c>
      <c r="V33" s="199">
        <f t="shared" si="4"/>
        <v>1750431.3228421398</v>
      </c>
    </row>
    <row r="34" spans="1:22" ht="15" customHeight="1" x14ac:dyDescent="0.2">
      <c r="A34" s="10" t="s">
        <v>48</v>
      </c>
      <c r="B34" s="3" t="s">
        <v>78</v>
      </c>
      <c r="C34" s="159">
        <v>520968</v>
      </c>
      <c r="D34" s="330">
        <v>1154860</v>
      </c>
      <c r="E34" s="163"/>
      <c r="F34" s="329">
        <v>15520</v>
      </c>
      <c r="G34" s="163">
        <f t="shared" si="0"/>
        <v>169359.51385526147</v>
      </c>
      <c r="H34" s="163">
        <f t="shared" si="5"/>
        <v>937742.4</v>
      </c>
      <c r="I34" s="163"/>
      <c r="J34" s="163"/>
      <c r="K34" s="158"/>
      <c r="L34" s="163"/>
      <c r="M34" s="163">
        <f t="shared" si="1"/>
        <v>2261961.9138552616</v>
      </c>
      <c r="N34" s="10" t="str">
        <f t="shared" si="2"/>
        <v>0206</v>
      </c>
      <c r="O34" s="3" t="str">
        <f t="shared" si="3"/>
        <v>Saint Paul College</v>
      </c>
      <c r="P34" s="159">
        <v>520968</v>
      </c>
      <c r="Q34" s="197">
        <f t="shared" si="6"/>
        <v>765822.95999999985</v>
      </c>
      <c r="R34" s="187"/>
      <c r="S34" s="198">
        <f>'Revenue Offset'!K33</f>
        <v>0.66312130502478173</v>
      </c>
      <c r="T34" s="199">
        <f t="shared" si="7"/>
        <v>762006.77762320766</v>
      </c>
      <c r="U34" s="199">
        <f t="shared" si="8"/>
        <v>257989.43934685874</v>
      </c>
      <c r="V34" s="199">
        <f>+T34+U34</f>
        <v>1019996.2169700664</v>
      </c>
    </row>
    <row r="35" spans="1:22" ht="15" customHeight="1" x14ac:dyDescent="0.2">
      <c r="A35" s="10" t="s">
        <v>43</v>
      </c>
      <c r="B35" s="3" t="s">
        <v>171</v>
      </c>
      <c r="C35" s="159">
        <f>110367+302315</f>
        <v>412682</v>
      </c>
      <c r="D35" s="330">
        <v>485637</v>
      </c>
      <c r="E35" s="163"/>
      <c r="F35" s="329">
        <v>8077</v>
      </c>
      <c r="G35" s="163">
        <f t="shared" si="0"/>
        <v>88138.968647483678</v>
      </c>
      <c r="H35" s="163">
        <f t="shared" si="5"/>
        <v>742827.6</v>
      </c>
      <c r="I35" s="163">
        <v>50000</v>
      </c>
      <c r="J35" s="163"/>
      <c r="K35" s="158"/>
      <c r="L35" s="163"/>
      <c r="M35" s="163">
        <f t="shared" si="1"/>
        <v>1366603.5686474838</v>
      </c>
      <c r="N35" s="10" t="str">
        <f t="shared" si="2"/>
        <v>0309</v>
      </c>
      <c r="O35" s="3" t="str">
        <f t="shared" si="3"/>
        <v>South Central College</v>
      </c>
      <c r="P35" s="159">
        <v>412682</v>
      </c>
      <c r="Q35" s="197">
        <f t="shared" si="6"/>
        <v>606642.53999999992</v>
      </c>
      <c r="R35" s="187"/>
      <c r="S35" s="198">
        <f>'Revenue Offset'!K34</f>
        <v>0.54028196105325865</v>
      </c>
      <c r="T35" s="199">
        <f t="shared" si="7"/>
        <v>628252.31259623973</v>
      </c>
      <c r="U35" s="199">
        <f t="shared" si="8"/>
        <v>278884.51883047004</v>
      </c>
      <c r="V35" s="199">
        <f t="shared" si="4"/>
        <v>907136.83142670977</v>
      </c>
    </row>
    <row r="36" spans="1:22" ht="15" customHeight="1" x14ac:dyDescent="0.2">
      <c r="A36" s="10" t="s">
        <v>44</v>
      </c>
      <c r="B36" s="3" t="s">
        <v>77</v>
      </c>
      <c r="C36" s="159">
        <v>801231</v>
      </c>
      <c r="D36" s="330">
        <v>1164425</v>
      </c>
      <c r="E36" s="163"/>
      <c r="F36" s="329">
        <v>13194</v>
      </c>
      <c r="G36" s="163">
        <f t="shared" si="0"/>
        <v>143977.41145659276</v>
      </c>
      <c r="H36" s="163">
        <f t="shared" si="5"/>
        <v>1442215.8</v>
      </c>
      <c r="I36" s="163"/>
      <c r="J36" s="163">
        <v>1200</v>
      </c>
      <c r="K36" s="158">
        <f>J36*$K$7</f>
        <v>73987.805713502778</v>
      </c>
      <c r="L36" s="163"/>
      <c r="M36" s="163">
        <f t="shared" si="1"/>
        <v>2824606.0171700958</v>
      </c>
      <c r="N36" s="10" t="str">
        <f t="shared" si="2"/>
        <v>0075</v>
      </c>
      <c r="O36" s="3" t="str">
        <f t="shared" si="3"/>
        <v>Southwest Minnesota SU</v>
      </c>
      <c r="P36" s="159">
        <v>801231</v>
      </c>
      <c r="Q36" s="197">
        <f t="shared" si="6"/>
        <v>1177809.5699999998</v>
      </c>
      <c r="R36" s="187"/>
      <c r="S36" s="198">
        <f>'Revenue Offset'!K35</f>
        <v>0.5707003132893298</v>
      </c>
      <c r="T36" s="199">
        <f t="shared" si="7"/>
        <v>1212602.478252196</v>
      </c>
      <c r="U36" s="199">
        <f t="shared" si="8"/>
        <v>505633.27940582909</v>
      </c>
      <c r="V36" s="199">
        <f t="shared" si="4"/>
        <v>1718235.757658025</v>
      </c>
    </row>
    <row r="37" spans="1:22" ht="15" customHeight="1" x14ac:dyDescent="0.2">
      <c r="A37" s="10" t="s">
        <v>45</v>
      </c>
      <c r="B37" s="3" t="s">
        <v>46</v>
      </c>
      <c r="C37" s="159">
        <v>2044941</v>
      </c>
      <c r="D37" s="330">
        <v>3109189</v>
      </c>
      <c r="E37" s="163"/>
      <c r="F37" s="329">
        <v>34389</v>
      </c>
      <c r="G37" s="163">
        <f t="shared" si="0"/>
        <v>375264.45373508928</v>
      </c>
      <c r="H37" s="163">
        <f t="shared" si="5"/>
        <v>3680893.8000000003</v>
      </c>
      <c r="I37" s="163"/>
      <c r="J37" s="163">
        <v>2985</v>
      </c>
      <c r="K37" s="158">
        <f>J37*$K$7</f>
        <v>184044.66671233816</v>
      </c>
      <c r="L37" s="163">
        <v>400000</v>
      </c>
      <c r="M37" s="163">
        <f t="shared" si="1"/>
        <v>7749391.9204474278</v>
      </c>
      <c r="N37" s="10" t="str">
        <f t="shared" si="2"/>
        <v>0073</v>
      </c>
      <c r="O37" s="3" t="str">
        <f t="shared" si="3"/>
        <v>St. Cloud SU</v>
      </c>
      <c r="P37" s="159">
        <v>2104022</v>
      </c>
      <c r="Q37" s="197">
        <f t="shared" si="6"/>
        <v>3092912.3399999994</v>
      </c>
      <c r="R37" s="187"/>
      <c r="S37" s="198">
        <f>'Revenue Offset'!K36</f>
        <v>0.5582072324779036</v>
      </c>
      <c r="T37" s="199">
        <f t="shared" si="7"/>
        <v>3423625.3031478426</v>
      </c>
      <c r="U37" s="199">
        <f t="shared" si="8"/>
        <v>1366426.3023918429</v>
      </c>
      <c r="V37" s="199">
        <f t="shared" si="4"/>
        <v>4790051.6055396851</v>
      </c>
    </row>
    <row r="38" spans="1:22" ht="15" customHeight="1" x14ac:dyDescent="0.2">
      <c r="A38" s="10" t="s">
        <v>47</v>
      </c>
      <c r="B38" s="3" t="s">
        <v>207</v>
      </c>
      <c r="C38" s="159">
        <v>502694</v>
      </c>
      <c r="D38" s="330">
        <v>577319</v>
      </c>
      <c r="E38" s="163"/>
      <c r="F38" s="329">
        <v>10957</v>
      </c>
      <c r="G38" s="163">
        <f t="shared" si="0"/>
        <v>119566.50730103736</v>
      </c>
      <c r="H38" s="163">
        <f t="shared" si="5"/>
        <v>904849.20000000007</v>
      </c>
      <c r="I38" s="163"/>
      <c r="J38" s="163"/>
      <c r="K38" s="158"/>
      <c r="L38" s="163"/>
      <c r="M38" s="163">
        <f t="shared" si="1"/>
        <v>1601734.7073010374</v>
      </c>
      <c r="N38" s="10" t="str">
        <f t="shared" si="2"/>
        <v>0208</v>
      </c>
      <c r="O38" s="3" t="str">
        <f t="shared" si="3"/>
        <v>St. Cloud TCC</v>
      </c>
      <c r="P38" s="159">
        <v>502694</v>
      </c>
      <c r="Q38" s="197">
        <f t="shared" si="6"/>
        <v>738960.17999999982</v>
      </c>
      <c r="R38" s="187"/>
      <c r="S38" s="198">
        <f>'Revenue Offset'!K37</f>
        <v>0.63781145705685938</v>
      </c>
      <c r="T38" s="199">
        <f t="shared" si="7"/>
        <v>580129.95981882059</v>
      </c>
      <c r="U38" s="199">
        <f t="shared" si="8"/>
        <v>267642.91088720085</v>
      </c>
      <c r="V38" s="199">
        <f t="shared" si="4"/>
        <v>847772.87070602144</v>
      </c>
    </row>
    <row r="39" spans="1:22" ht="15" customHeight="1" x14ac:dyDescent="0.2">
      <c r="A39" s="10" t="s">
        <v>49</v>
      </c>
      <c r="B39" s="3" t="s">
        <v>50</v>
      </c>
      <c r="C39" s="159">
        <v>1289807</v>
      </c>
      <c r="D39" s="330">
        <v>1743949</v>
      </c>
      <c r="E39" s="163"/>
      <c r="F39" s="329">
        <v>19854</v>
      </c>
      <c r="G39" s="163">
        <f t="shared" si="0"/>
        <v>216653.59459293564</v>
      </c>
      <c r="H39" s="163">
        <f t="shared" si="5"/>
        <v>2321652.6</v>
      </c>
      <c r="I39" s="163"/>
      <c r="J39" s="163">
        <v>2524</v>
      </c>
      <c r="K39" s="158">
        <f>J39*$K$7</f>
        <v>155621.01801740084</v>
      </c>
      <c r="L39" s="163">
        <v>400000</v>
      </c>
      <c r="M39" s="163">
        <f t="shared" si="1"/>
        <v>4837876.212610337</v>
      </c>
      <c r="N39" s="10" t="str">
        <f t="shared" si="2"/>
        <v>0074</v>
      </c>
      <c r="O39" s="3" t="str">
        <f t="shared" si="3"/>
        <v>Winona SU</v>
      </c>
      <c r="P39" s="213">
        <v>1223540</v>
      </c>
      <c r="Q39" s="219">
        <f t="shared" si="6"/>
        <v>1798603.7999999996</v>
      </c>
      <c r="R39" s="187"/>
      <c r="S39" s="198">
        <f>'Revenue Offset'!K38</f>
        <v>0.64429102422930495</v>
      </c>
      <c r="T39" s="199">
        <f t="shared" si="7"/>
        <v>1720875.9924930322</v>
      </c>
      <c r="U39" s="199">
        <f t="shared" si="8"/>
        <v>639779.51551527984</v>
      </c>
      <c r="V39" s="199">
        <f t="shared" si="4"/>
        <v>2360655.508008312</v>
      </c>
    </row>
    <row r="40" spans="1:22" s="113" customFormat="1" ht="15" customHeight="1" x14ac:dyDescent="0.2">
      <c r="A40" s="201"/>
      <c r="B40" s="202"/>
      <c r="C40" s="335"/>
      <c r="D40" s="161"/>
      <c r="E40" s="161"/>
      <c r="F40" s="336"/>
      <c r="G40" s="161"/>
      <c r="H40" s="166"/>
      <c r="I40" s="161"/>
      <c r="J40" s="161"/>
      <c r="K40" s="146"/>
      <c r="L40" s="166"/>
      <c r="M40" s="166"/>
      <c r="N40" s="201"/>
      <c r="O40" s="202"/>
      <c r="Q40" s="203"/>
      <c r="R40" s="187"/>
      <c r="S40" s="109"/>
      <c r="T40" s="204"/>
      <c r="U40" s="166"/>
      <c r="V40" s="166"/>
    </row>
    <row r="41" spans="1:22" s="205" customFormat="1" ht="15" customHeight="1" x14ac:dyDescent="0.2">
      <c r="B41" s="206" t="s">
        <v>51</v>
      </c>
      <c r="C41" s="160">
        <f t="shared" ref="C41:M41" si="9">SUM(C9:C39)</f>
        <v>22090220</v>
      </c>
      <c r="D41" s="160">
        <f>SUM(D9:D39)</f>
        <v>33438661</v>
      </c>
      <c r="E41" s="160">
        <f t="shared" si="9"/>
        <v>0</v>
      </c>
      <c r="F41" s="160">
        <f t="shared" si="9"/>
        <v>439869</v>
      </c>
      <c r="G41" s="160">
        <f t="shared" si="9"/>
        <v>4799999.9999999991</v>
      </c>
      <c r="H41" s="160">
        <f t="shared" si="9"/>
        <v>39762396.000000015</v>
      </c>
      <c r="I41" s="160">
        <f t="shared" si="9"/>
        <v>1150000</v>
      </c>
      <c r="J41" s="160">
        <f t="shared" si="9"/>
        <v>14597</v>
      </c>
      <c r="K41" s="160">
        <f t="shared" si="9"/>
        <v>900000.00000000012</v>
      </c>
      <c r="L41" s="160">
        <f t="shared" si="9"/>
        <v>2000000</v>
      </c>
      <c r="M41" s="160">
        <f t="shared" si="9"/>
        <v>82051057.000000015</v>
      </c>
      <c r="O41" s="206" t="s">
        <v>51</v>
      </c>
      <c r="P41" s="160">
        <f>SUM(P9:P39)</f>
        <v>22103698</v>
      </c>
      <c r="Q41" s="160">
        <f>SUM(Q9:Q39)</f>
        <v>32492436.059999991</v>
      </c>
      <c r="R41" s="207"/>
      <c r="S41" s="208">
        <f>'Revenue Offset'!K40</f>
        <v>0.58917622469614928</v>
      </c>
      <c r="T41" s="160">
        <f>SUM(T9:T39)</f>
        <v>34270773.165596195</v>
      </c>
      <c r="U41" s="160">
        <f>SUM(U9:U39)</f>
        <v>13648993.64099963</v>
      </c>
      <c r="V41" s="160">
        <f>SUM(V9:V39)</f>
        <v>47919766.806595832</v>
      </c>
    </row>
    <row r="42" spans="1:22" ht="15" customHeight="1" x14ac:dyDescent="0.2">
      <c r="D42" s="107"/>
      <c r="K42" s="146"/>
    </row>
    <row r="43" spans="1:22" ht="12" customHeight="1" x14ac:dyDescent="0.2">
      <c r="B43" s="209"/>
      <c r="D43" s="107"/>
      <c r="G43" s="109">
        <f>3600000+1200000</f>
        <v>4800000</v>
      </c>
      <c r="K43" s="146">
        <v>900000</v>
      </c>
      <c r="N43" s="210"/>
      <c r="O43" s="209"/>
    </row>
    <row r="44" spans="1:22" ht="12" customHeight="1" x14ac:dyDescent="0.2">
      <c r="A44" s="211"/>
      <c r="F44" s="107"/>
      <c r="K44" s="146"/>
      <c r="N44" s="210"/>
    </row>
    <row r="45" spans="1:22" ht="15" customHeight="1" x14ac:dyDescent="0.2">
      <c r="A45" s="211" t="str">
        <f>'FY2015 Detail'!B40</f>
        <v>MnSCU Finance Division</v>
      </c>
      <c r="B45" s="212"/>
      <c r="K45" s="146"/>
    </row>
    <row r="46" spans="1:22" ht="15" customHeight="1" x14ac:dyDescent="0.2">
      <c r="A46" s="211" t="str">
        <f>'FY2015 Detail'!B41</f>
        <v>s:\finance\bargain\FY17 allocation\Summary of FY2017 Institutional Allocation Draft</v>
      </c>
      <c r="B46" s="212"/>
      <c r="K46" s="146"/>
      <c r="P46" s="110"/>
    </row>
    <row r="47" spans="1:22" ht="15" customHeight="1" x14ac:dyDescent="0.2">
      <c r="A47" s="211"/>
      <c r="B47" s="212"/>
      <c r="K47" s="146"/>
      <c r="P47" s="110"/>
    </row>
    <row r="48" spans="1:22" ht="15" customHeight="1" x14ac:dyDescent="0.2">
      <c r="C48" s="110"/>
      <c r="D48" s="110"/>
      <c r="F48" s="110"/>
      <c r="I48" s="163"/>
      <c r="K48" s="146"/>
    </row>
    <row r="49" spans="11:11" ht="15" customHeight="1" x14ac:dyDescent="0.2">
      <c r="K49" s="146"/>
    </row>
    <row r="50" spans="11:11" ht="15" customHeight="1" x14ac:dyDescent="0.2">
      <c r="K50" s="146"/>
    </row>
    <row r="51" spans="11:11" ht="15" customHeight="1" x14ac:dyDescent="0.2">
      <c r="K51" s="146"/>
    </row>
    <row r="52" spans="11:11" ht="15" customHeight="1" x14ac:dyDescent="0.2">
      <c r="K52" s="146"/>
    </row>
  </sheetData>
  <mergeCells count="14">
    <mergeCell ref="U5:U7"/>
    <mergeCell ref="V5:V7"/>
    <mergeCell ref="M5:M7"/>
    <mergeCell ref="Q5:Q6"/>
    <mergeCell ref="S5:S7"/>
    <mergeCell ref="T5:T7"/>
    <mergeCell ref="I5:I6"/>
    <mergeCell ref="J5:J6"/>
    <mergeCell ref="K5:K6"/>
    <mergeCell ref="L5:L6"/>
    <mergeCell ref="D5:D7"/>
    <mergeCell ref="E5:E7"/>
    <mergeCell ref="F5:G6"/>
    <mergeCell ref="H5:H6"/>
  </mergeCells>
  <phoneticPr fontId="10" type="noConversion"/>
  <pageMargins left="0.42" right="0.19" top="0.37" bottom="0.15" header="0.36" footer="0.16"/>
  <pageSetup scale="72" orientation="landscape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48"/>
  <sheetViews>
    <sheetView zoomScale="80" workbookViewId="0">
      <pane xSplit="2" ySplit="8" topLeftCell="C9" activePane="bottomRight" state="frozen"/>
      <selection activeCell="F2" sqref="F2"/>
      <selection pane="topRight" activeCell="F2" sqref="F2"/>
      <selection pane="bottomLeft" activeCell="F2" sqref="F2"/>
      <selection pane="bottomRight" activeCell="N15" sqref="N15"/>
    </sheetView>
  </sheetViews>
  <sheetFormatPr defaultRowHeight="15" customHeight="1" x14ac:dyDescent="0.2"/>
  <cols>
    <col min="1" max="1" width="7.7109375" style="109" customWidth="1"/>
    <col min="2" max="2" width="30.7109375" style="245" customWidth="1"/>
    <col min="3" max="3" width="8.5703125" style="110" customWidth="1"/>
    <col min="4" max="4" width="12" style="110" customWidth="1"/>
    <col min="5" max="5" width="9.28515625" style="110" customWidth="1"/>
    <col min="6" max="6" width="12.7109375" style="110" bestFit="1" customWidth="1"/>
    <col min="7" max="7" width="12.28515625" style="110" customWidth="1"/>
    <col min="8" max="8" width="10.5703125" style="246" customWidth="1"/>
    <col min="9" max="9" width="14" style="247" customWidth="1"/>
    <col min="10" max="10" width="12.28515625" style="107" customWidth="1"/>
    <col min="11" max="12" width="16.42578125" style="246" customWidth="1"/>
    <col min="13" max="13" width="16" style="109" customWidth="1"/>
    <col min="14" max="14" width="14" style="109" customWidth="1"/>
    <col min="15" max="15" width="9.140625" style="109"/>
    <col min="16" max="17" width="12.28515625" style="109" bestFit="1" customWidth="1"/>
    <col min="18" max="18" width="9.140625" style="109"/>
    <col min="19" max="20" width="11.28515625" style="109" bestFit="1" customWidth="1"/>
    <col min="21" max="16384" width="9.140625" style="109"/>
  </cols>
  <sheetData>
    <row r="1" spans="1:20" ht="15" customHeight="1" x14ac:dyDescent="0.25">
      <c r="A1" s="244" t="s">
        <v>80</v>
      </c>
      <c r="L1" s="365"/>
      <c r="M1" s="113"/>
    </row>
    <row r="2" spans="1:20" ht="15" customHeight="1" x14ac:dyDescent="0.2">
      <c r="A2" s="180" t="s">
        <v>190</v>
      </c>
      <c r="L2" s="270"/>
      <c r="M2" s="366"/>
    </row>
    <row r="3" spans="1:20" ht="15" customHeight="1" x14ac:dyDescent="0.2">
      <c r="A3" s="145" t="s">
        <v>222</v>
      </c>
      <c r="L3" s="365"/>
      <c r="M3" s="113"/>
    </row>
    <row r="4" spans="1:20" s="249" customFormat="1" ht="15" customHeight="1" x14ac:dyDescent="0.25">
      <c r="B4" s="250"/>
    </row>
    <row r="5" spans="1:20" s="251" customFormat="1" ht="12.75" customHeight="1" x14ac:dyDescent="0.2">
      <c r="B5" s="252"/>
      <c r="C5" s="253"/>
      <c r="D5" s="253"/>
      <c r="E5" s="253"/>
      <c r="F5" s="148" t="s">
        <v>128</v>
      </c>
      <c r="G5" s="148" t="s">
        <v>129</v>
      </c>
      <c r="H5" s="157"/>
      <c r="I5" s="254" t="s">
        <v>164</v>
      </c>
      <c r="J5" s="254" t="s">
        <v>130</v>
      </c>
      <c r="K5" s="157" t="s">
        <v>131</v>
      </c>
      <c r="L5" s="157"/>
      <c r="N5" s="175" t="s">
        <v>187</v>
      </c>
    </row>
    <row r="6" spans="1:20" s="175" customFormat="1" ht="12.75" x14ac:dyDescent="0.2">
      <c r="B6" s="157"/>
      <c r="C6" s="148" t="s">
        <v>89</v>
      </c>
      <c r="D6" s="148" t="s">
        <v>82</v>
      </c>
      <c r="E6" s="148" t="s">
        <v>83</v>
      </c>
      <c r="F6" s="148" t="s">
        <v>84</v>
      </c>
      <c r="G6" s="157" t="s">
        <v>85</v>
      </c>
      <c r="H6" s="157" t="s">
        <v>86</v>
      </c>
      <c r="I6" s="157" t="s">
        <v>91</v>
      </c>
      <c r="J6" s="157" t="s">
        <v>92</v>
      </c>
      <c r="K6" s="157" t="s">
        <v>157</v>
      </c>
      <c r="L6" s="157" t="s">
        <v>186</v>
      </c>
      <c r="M6" s="175" t="s">
        <v>132</v>
      </c>
      <c r="N6" s="175" t="s">
        <v>158</v>
      </c>
    </row>
    <row r="7" spans="1:20" s="258" customFormat="1" ht="93.75" customHeight="1" x14ac:dyDescent="0.2">
      <c r="A7" s="255" t="s">
        <v>0</v>
      </c>
      <c r="B7" s="256" t="s">
        <v>1</v>
      </c>
      <c r="C7" s="230" t="s">
        <v>221</v>
      </c>
      <c r="D7" s="149" t="s">
        <v>133</v>
      </c>
      <c r="E7" s="149" t="s">
        <v>134</v>
      </c>
      <c r="F7" s="149" t="s">
        <v>135</v>
      </c>
      <c r="G7" s="149" t="s">
        <v>136</v>
      </c>
      <c r="H7" s="232" t="s">
        <v>173</v>
      </c>
      <c r="I7" s="149" t="s">
        <v>137</v>
      </c>
      <c r="J7" s="257" t="s">
        <v>138</v>
      </c>
      <c r="K7" s="149" t="s">
        <v>216</v>
      </c>
      <c r="L7" s="149" t="s">
        <v>208</v>
      </c>
      <c r="M7" s="149" t="s">
        <v>197</v>
      </c>
      <c r="N7" s="255" t="s">
        <v>170</v>
      </c>
    </row>
    <row r="8" spans="1:20" s="263" customFormat="1" ht="12.75" x14ac:dyDescent="0.2">
      <c r="A8" s="109"/>
      <c r="B8" s="259"/>
      <c r="C8" s="260"/>
      <c r="D8" s="261"/>
      <c r="E8" s="261"/>
      <c r="F8" s="261"/>
      <c r="G8" s="261"/>
      <c r="H8" s="260"/>
      <c r="I8" s="261"/>
      <c r="J8" s="262"/>
      <c r="K8" s="261"/>
      <c r="L8" s="260"/>
    </row>
    <row r="9" spans="1:20" ht="15" customHeight="1" x14ac:dyDescent="0.2">
      <c r="A9" s="10" t="s">
        <v>2</v>
      </c>
      <c r="B9" s="3" t="s">
        <v>199</v>
      </c>
      <c r="C9" s="108">
        <f>'FY2015 Detail'!D6</f>
        <v>2046</v>
      </c>
      <c r="D9" s="213">
        <v>1660196</v>
      </c>
      <c r="E9" s="213">
        <v>2396</v>
      </c>
      <c r="F9" s="213">
        <f>+C9*E9</f>
        <v>4902216</v>
      </c>
      <c r="G9" s="213">
        <f>+D9+F9</f>
        <v>6562412</v>
      </c>
      <c r="H9" s="173">
        <f>'Revenue Offset'!K8</f>
        <v>0.5359352806171559</v>
      </c>
      <c r="I9" s="248">
        <f>G9*(1-H9)</f>
        <v>3045383.8832546086</v>
      </c>
      <c r="J9" s="108"/>
      <c r="K9" s="248">
        <f>+I9+J9</f>
        <v>3045383.8832546086</v>
      </c>
      <c r="L9" s="248">
        <v>2935092.2281519235</v>
      </c>
      <c r="M9" s="367">
        <v>2672322.666449836</v>
      </c>
      <c r="N9" s="158">
        <f>AVERAGE(K9:M9)</f>
        <v>2884266.259285456</v>
      </c>
      <c r="P9" s="264"/>
      <c r="Q9" s="264"/>
    </row>
    <row r="10" spans="1:20" ht="15" customHeight="1" x14ac:dyDescent="0.2">
      <c r="A10" s="10" t="s">
        <v>4</v>
      </c>
      <c r="B10" s="3" t="s">
        <v>188</v>
      </c>
      <c r="C10" s="108">
        <f>'FY2015 Detail'!D7</f>
        <v>7123</v>
      </c>
      <c r="D10" s="213">
        <v>1660196</v>
      </c>
      <c r="E10" s="213">
        <v>2396</v>
      </c>
      <c r="F10" s="213">
        <f t="shared" ref="F10:F39" si="0">+C10*E10</f>
        <v>17066708</v>
      </c>
      <c r="G10" s="213">
        <f t="shared" ref="G10:G39" si="1">+D10+F10</f>
        <v>18726904</v>
      </c>
      <c r="H10" s="173">
        <f>'Revenue Offset'!K9</f>
        <v>0.60498680383745629</v>
      </c>
      <c r="I10" s="248">
        <f>G10*(1-H10)</f>
        <v>7397374.203269124</v>
      </c>
      <c r="J10" s="108">
        <f>200000*2</f>
        <v>400000</v>
      </c>
      <c r="K10" s="248">
        <f>+I10+J10</f>
        <v>7797374.203269124</v>
      </c>
      <c r="L10" s="248">
        <v>7126805.1869256115</v>
      </c>
      <c r="M10" s="367">
        <v>6116184.3178374916</v>
      </c>
      <c r="N10" s="158">
        <f t="shared" ref="N10:N39" si="2">AVERAGE(K10:M10)</f>
        <v>7013454.5693440763</v>
      </c>
      <c r="P10" s="264"/>
      <c r="Q10" s="264"/>
      <c r="S10" s="264"/>
      <c r="T10" s="264"/>
    </row>
    <row r="11" spans="1:20" ht="15" customHeight="1" x14ac:dyDescent="0.2">
      <c r="A11" s="10" t="s">
        <v>5</v>
      </c>
      <c r="B11" s="3" t="s">
        <v>160</v>
      </c>
      <c r="C11" s="108">
        <f>'FY2015 Detail'!D8</f>
        <v>4953</v>
      </c>
      <c r="D11" s="213">
        <v>4169885</v>
      </c>
      <c r="E11" s="213">
        <v>3219</v>
      </c>
      <c r="F11" s="213">
        <f t="shared" si="0"/>
        <v>15943707</v>
      </c>
      <c r="G11" s="213">
        <f t="shared" si="1"/>
        <v>20113592</v>
      </c>
      <c r="H11" s="173">
        <f>'Revenue Offset'!K10</f>
        <v>0.626062846721125</v>
      </c>
      <c r="I11" s="248">
        <f t="shared" ref="I11:I39" si="3">G11*(1-H11)</f>
        <v>7521219.3346927539</v>
      </c>
      <c r="J11" s="108">
        <v>200000</v>
      </c>
      <c r="K11" s="248">
        <f t="shared" ref="K11:K39" si="4">+I11+J11</f>
        <v>7721219.3346927539</v>
      </c>
      <c r="L11" s="248">
        <v>6953232.1967227031</v>
      </c>
      <c r="M11" s="367">
        <v>5761299.7995340303</v>
      </c>
      <c r="N11" s="158">
        <f t="shared" si="2"/>
        <v>6811917.1103164954</v>
      </c>
      <c r="P11" s="264"/>
      <c r="Q11" s="264"/>
    </row>
    <row r="12" spans="1:20" ht="15" customHeight="1" x14ac:dyDescent="0.2">
      <c r="A12" s="10" t="s">
        <v>6</v>
      </c>
      <c r="B12" s="3" t="s">
        <v>7</v>
      </c>
      <c r="C12" s="108">
        <f>'FY2015 Detail'!D9</f>
        <v>2993</v>
      </c>
      <c r="D12" s="213">
        <v>1660196</v>
      </c>
      <c r="E12" s="213">
        <v>2396</v>
      </c>
      <c r="F12" s="213">
        <f t="shared" si="0"/>
        <v>7171228</v>
      </c>
      <c r="G12" s="213">
        <f t="shared" si="1"/>
        <v>8831424</v>
      </c>
      <c r="H12" s="173">
        <f>'Revenue Offset'!K11</f>
        <v>0.54728565389201389</v>
      </c>
      <c r="I12" s="248">
        <f t="shared" si="3"/>
        <v>3998112.3413623753</v>
      </c>
      <c r="J12" s="108">
        <v>200000</v>
      </c>
      <c r="K12" s="248">
        <f t="shared" si="4"/>
        <v>4198112.3413623758</v>
      </c>
      <c r="L12" s="248">
        <v>3935815.8427539915</v>
      </c>
      <c r="M12" s="367">
        <v>3759967.7638327032</v>
      </c>
      <c r="N12" s="158">
        <f t="shared" si="2"/>
        <v>3964631.98264969</v>
      </c>
      <c r="P12" s="264"/>
      <c r="Q12" s="264"/>
    </row>
    <row r="13" spans="1:20" ht="15" customHeight="1" x14ac:dyDescent="0.2">
      <c r="A13" s="10" t="s">
        <v>8</v>
      </c>
      <c r="B13" s="3" t="s">
        <v>9</v>
      </c>
      <c r="C13" s="108">
        <f>'FY2015 Detail'!D10</f>
        <v>6410</v>
      </c>
      <c r="D13" s="213">
        <v>1660196</v>
      </c>
      <c r="E13" s="213">
        <v>2396</v>
      </c>
      <c r="F13" s="213">
        <f t="shared" si="0"/>
        <v>15358360</v>
      </c>
      <c r="G13" s="213">
        <f t="shared" si="1"/>
        <v>17018556</v>
      </c>
      <c r="H13" s="173">
        <f>'Revenue Offset'!K12</f>
        <v>0.61632399418779105</v>
      </c>
      <c r="I13" s="248">
        <f>G13*(1-H13)</f>
        <v>6529611.5907714032</v>
      </c>
      <c r="J13" s="108"/>
      <c r="K13" s="248">
        <f>+I13+J13</f>
        <v>6529611.5907714032</v>
      </c>
      <c r="L13" s="248">
        <v>6340852.6774448575</v>
      </c>
      <c r="M13" s="367">
        <v>6008004.8332184218</v>
      </c>
      <c r="N13" s="158">
        <f t="shared" si="2"/>
        <v>6292823.0338115608</v>
      </c>
      <c r="P13" s="264"/>
      <c r="Q13" s="264"/>
    </row>
    <row r="14" spans="1:20" ht="15" customHeight="1" x14ac:dyDescent="0.2">
      <c r="A14" s="10" t="s">
        <v>10</v>
      </c>
      <c r="B14" s="3" t="s">
        <v>11</v>
      </c>
      <c r="C14" s="108">
        <f>'FY2015 Detail'!D11</f>
        <v>2069</v>
      </c>
      <c r="D14" s="213">
        <v>1660196</v>
      </c>
      <c r="E14" s="213">
        <v>2396</v>
      </c>
      <c r="F14" s="213">
        <f t="shared" si="0"/>
        <v>4957324</v>
      </c>
      <c r="G14" s="213">
        <f t="shared" si="1"/>
        <v>6617520</v>
      </c>
      <c r="H14" s="173">
        <f>'Revenue Offset'!K13</f>
        <v>0.52990560939852538</v>
      </c>
      <c r="I14" s="248">
        <f t="shared" si="3"/>
        <v>3110859.0316930702</v>
      </c>
      <c r="J14" s="108"/>
      <c r="K14" s="248">
        <f t="shared" si="4"/>
        <v>3110859.0316930702</v>
      </c>
      <c r="L14" s="248">
        <v>2725267.035785709</v>
      </c>
      <c r="M14" s="367">
        <v>2749030.2722365404</v>
      </c>
      <c r="N14" s="158">
        <f t="shared" si="2"/>
        <v>2861718.7799051069</v>
      </c>
      <c r="P14" s="264"/>
      <c r="Q14" s="264"/>
    </row>
    <row r="15" spans="1:20" ht="15" customHeight="1" x14ac:dyDescent="0.2">
      <c r="A15" s="10" t="s">
        <v>12</v>
      </c>
      <c r="B15" s="3" t="s">
        <v>13</v>
      </c>
      <c r="C15" s="108">
        <f>'FY2015 Detail'!D12</f>
        <v>1223</v>
      </c>
      <c r="D15" s="213">
        <v>1660196</v>
      </c>
      <c r="E15" s="213">
        <v>2396</v>
      </c>
      <c r="F15" s="213">
        <f t="shared" si="0"/>
        <v>2930308</v>
      </c>
      <c r="G15" s="213">
        <f t="shared" si="1"/>
        <v>4590504</v>
      </c>
      <c r="H15" s="173">
        <f>'Revenue Offset'!K14</f>
        <v>0.53716253548001791</v>
      </c>
      <c r="I15" s="248">
        <f t="shared" si="3"/>
        <v>2124657.232228836</v>
      </c>
      <c r="J15" s="108"/>
      <c r="K15" s="248">
        <f>+I15+J15</f>
        <v>2124657.232228836</v>
      </c>
      <c r="L15" s="248">
        <v>1852224.3419857449</v>
      </c>
      <c r="M15" s="367">
        <v>1790880.0667281861</v>
      </c>
      <c r="N15" s="158">
        <f t="shared" si="2"/>
        <v>1922587.2136475891</v>
      </c>
      <c r="P15" s="264"/>
      <c r="Q15" s="264"/>
    </row>
    <row r="16" spans="1:20" ht="15" customHeight="1" x14ac:dyDescent="0.2">
      <c r="A16" s="10" t="s">
        <v>14</v>
      </c>
      <c r="B16" s="3" t="s">
        <v>245</v>
      </c>
      <c r="C16" s="108">
        <f>'FY2015 Detail'!D13</f>
        <v>3927</v>
      </c>
      <c r="D16" s="213">
        <v>1660196</v>
      </c>
      <c r="E16" s="213">
        <v>2396</v>
      </c>
      <c r="F16" s="213">
        <f t="shared" si="0"/>
        <v>9409092</v>
      </c>
      <c r="G16" s="213">
        <f t="shared" si="1"/>
        <v>11069288</v>
      </c>
      <c r="H16" s="173">
        <f>'Revenue Offset'!K15</f>
        <v>0.52857921921047757</v>
      </c>
      <c r="I16" s="248">
        <f t="shared" si="3"/>
        <v>5218292.3917440912</v>
      </c>
      <c r="J16" s="108">
        <v>200000</v>
      </c>
      <c r="K16" s="248">
        <f t="shared" si="4"/>
        <v>5418292.3917440912</v>
      </c>
      <c r="L16" s="248">
        <v>5325009.0207859315</v>
      </c>
      <c r="M16" s="367">
        <v>5023145.0810955372</v>
      </c>
      <c r="N16" s="158">
        <f t="shared" si="2"/>
        <v>5255482.1645418536</v>
      </c>
      <c r="P16" s="264"/>
      <c r="Q16" s="264"/>
    </row>
    <row r="17" spans="1:17" ht="15" customHeight="1" x14ac:dyDescent="0.2">
      <c r="A17" s="10" t="s">
        <v>16</v>
      </c>
      <c r="B17" s="3" t="s">
        <v>246</v>
      </c>
      <c r="C17" s="108">
        <f>'FY2015 Detail'!D14</f>
        <v>3809</v>
      </c>
      <c r="D17" s="213">
        <v>1660196</v>
      </c>
      <c r="E17" s="213">
        <v>2396</v>
      </c>
      <c r="F17" s="213">
        <f t="shared" si="0"/>
        <v>9126364</v>
      </c>
      <c r="G17" s="213">
        <f t="shared" si="1"/>
        <v>10786560</v>
      </c>
      <c r="H17" s="173">
        <f>'Revenue Offset'!K16</f>
        <v>0.58966686318357808</v>
      </c>
      <c r="I17" s="248">
        <f t="shared" si="3"/>
        <v>4426083.0002585445</v>
      </c>
      <c r="J17" s="108"/>
      <c r="K17" s="248">
        <f t="shared" si="4"/>
        <v>4426083.0002585445</v>
      </c>
      <c r="L17" s="248">
        <v>4106810.1198536325</v>
      </c>
      <c r="M17" s="367">
        <v>3831039.9060518923</v>
      </c>
      <c r="N17" s="158">
        <f t="shared" si="2"/>
        <v>4121311.0087213567</v>
      </c>
      <c r="P17" s="264"/>
      <c r="Q17" s="264"/>
    </row>
    <row r="18" spans="1:17" ht="15" customHeight="1" x14ac:dyDescent="0.2">
      <c r="A18" s="10" t="s">
        <v>18</v>
      </c>
      <c r="B18" s="3" t="s">
        <v>19</v>
      </c>
      <c r="C18" s="108">
        <f>'FY2015 Detail'!D15</f>
        <v>3431</v>
      </c>
      <c r="D18" s="213">
        <v>1660196</v>
      </c>
      <c r="E18" s="213">
        <v>2396</v>
      </c>
      <c r="F18" s="213">
        <f t="shared" si="0"/>
        <v>8220676</v>
      </c>
      <c r="G18" s="213">
        <f t="shared" si="1"/>
        <v>9880872</v>
      </c>
      <c r="H18" s="173">
        <f>'Revenue Offset'!K17</f>
        <v>0.53156842626075473</v>
      </c>
      <c r="I18" s="248">
        <f t="shared" si="3"/>
        <v>4628512.4208760438</v>
      </c>
      <c r="J18" s="108"/>
      <c r="K18" s="248">
        <f t="shared" si="4"/>
        <v>4628512.4208760438</v>
      </c>
      <c r="L18" s="248">
        <v>4276205.5180672286</v>
      </c>
      <c r="M18" s="367">
        <v>3433460.8500760901</v>
      </c>
      <c r="N18" s="158">
        <f t="shared" si="2"/>
        <v>4112726.2630064543</v>
      </c>
      <c r="P18" s="264"/>
      <c r="Q18" s="264"/>
    </row>
    <row r="19" spans="1:17" ht="15" customHeight="1" x14ac:dyDescent="0.2">
      <c r="A19" s="10" t="s">
        <v>20</v>
      </c>
      <c r="B19" s="3" t="s">
        <v>247</v>
      </c>
      <c r="C19" s="108">
        <f>'FY2015 Detail'!D16</f>
        <v>6052</v>
      </c>
      <c r="D19" s="213">
        <v>4169885</v>
      </c>
      <c r="E19" s="213">
        <v>3219</v>
      </c>
      <c r="F19" s="213">
        <f t="shared" si="0"/>
        <v>19481388</v>
      </c>
      <c r="G19" s="213">
        <f t="shared" si="1"/>
        <v>23651273</v>
      </c>
      <c r="H19" s="173">
        <f>'Revenue Offset'!K18</f>
        <v>0.57975633749561317</v>
      </c>
      <c r="I19" s="248">
        <f t="shared" si="3"/>
        <v>9939297.588411117</v>
      </c>
      <c r="J19" s="108"/>
      <c r="K19" s="248">
        <f t="shared" si="4"/>
        <v>9939297.588411117</v>
      </c>
      <c r="L19" s="248">
        <v>7725741.0525150122</v>
      </c>
      <c r="M19" s="367">
        <v>6500530.8942879392</v>
      </c>
      <c r="N19" s="158">
        <f t="shared" si="2"/>
        <v>8055189.8450713567</v>
      </c>
      <c r="P19" s="264"/>
      <c r="Q19" s="264"/>
    </row>
    <row r="20" spans="1:17" ht="15" customHeight="1" x14ac:dyDescent="0.2">
      <c r="A20" s="10" t="s">
        <v>21</v>
      </c>
      <c r="B20" s="3" t="s">
        <v>200</v>
      </c>
      <c r="C20" s="108">
        <f>'FY2015 Detail'!D17</f>
        <v>6026</v>
      </c>
      <c r="D20" s="213">
        <v>1660196</v>
      </c>
      <c r="E20" s="213">
        <v>2396</v>
      </c>
      <c r="F20" s="213">
        <f t="shared" si="0"/>
        <v>14438296</v>
      </c>
      <c r="G20" s="213">
        <f t="shared" si="1"/>
        <v>16098492</v>
      </c>
      <c r="H20" s="173">
        <f>'Revenue Offset'!K19</f>
        <v>0.60927954217116709</v>
      </c>
      <c r="I20" s="248">
        <f t="shared" si="3"/>
        <v>6290010.1645938037</v>
      </c>
      <c r="J20" s="108"/>
      <c r="K20" s="248">
        <f t="shared" si="4"/>
        <v>6290010.1645938037</v>
      </c>
      <c r="L20" s="248">
        <v>6348061.2512947014</v>
      </c>
      <c r="M20" s="367">
        <v>6032690.7335643834</v>
      </c>
      <c r="N20" s="158">
        <f t="shared" si="2"/>
        <v>6223587.3831509622</v>
      </c>
      <c r="P20" s="264"/>
      <c r="Q20" s="264"/>
    </row>
    <row r="21" spans="1:17" ht="15" customHeight="1" x14ac:dyDescent="0.2">
      <c r="A21" s="10" t="s">
        <v>23</v>
      </c>
      <c r="B21" s="200" t="s">
        <v>79</v>
      </c>
      <c r="C21" s="108">
        <f>'FY2015 Detail'!D18</f>
        <v>1454</v>
      </c>
      <c r="D21" s="213">
        <v>1660196</v>
      </c>
      <c r="E21" s="213">
        <v>2396</v>
      </c>
      <c r="F21" s="213">
        <f t="shared" si="0"/>
        <v>3483784</v>
      </c>
      <c r="G21" s="213">
        <f t="shared" si="1"/>
        <v>5143980</v>
      </c>
      <c r="H21" s="173">
        <f>'Revenue Offset'!K20</f>
        <v>0.48747669235101038</v>
      </c>
      <c r="I21" s="248">
        <f t="shared" si="3"/>
        <v>2636409.6440802501</v>
      </c>
      <c r="J21" s="108">
        <v>200000</v>
      </c>
      <c r="K21" s="248">
        <f t="shared" si="4"/>
        <v>2836409.6440802501</v>
      </c>
      <c r="L21" s="248">
        <v>2737531.254255692</v>
      </c>
      <c r="M21" s="367">
        <v>2857466.0196708576</v>
      </c>
      <c r="N21" s="158">
        <f t="shared" si="2"/>
        <v>2810468.9726689332</v>
      </c>
      <c r="P21" s="264"/>
      <c r="Q21" s="264"/>
    </row>
    <row r="22" spans="1:17" ht="15" customHeight="1" x14ac:dyDescent="0.2">
      <c r="A22" s="45" t="s">
        <v>155</v>
      </c>
      <c r="B22" s="3" t="s">
        <v>248</v>
      </c>
      <c r="C22" s="108">
        <f>'FY2015 Detail'!D19</f>
        <v>4398</v>
      </c>
      <c r="D22" s="213">
        <v>1660196</v>
      </c>
      <c r="E22" s="213">
        <v>2396</v>
      </c>
      <c r="F22" s="213">
        <f>+C22*E22</f>
        <v>10537608</v>
      </c>
      <c r="G22" s="213">
        <f>+D22+F22</f>
        <v>12197804</v>
      </c>
      <c r="H22" s="173">
        <f>'Revenue Offset'!K21</f>
        <v>0.54156197426482311</v>
      </c>
      <c r="I22" s="248">
        <f t="shared" si="3"/>
        <v>5591937.1840646435</v>
      </c>
      <c r="J22" s="108">
        <f>(200000)+(352*500)+(392*500)</f>
        <v>572000</v>
      </c>
      <c r="K22" s="248">
        <f>+I22+J22</f>
        <v>6163937.1840646435</v>
      </c>
      <c r="L22" s="248">
        <v>5664235.7387752123</v>
      </c>
      <c r="M22" s="367">
        <v>5510267.5451262705</v>
      </c>
      <c r="N22" s="158">
        <f t="shared" si="2"/>
        <v>5779480.1559887081</v>
      </c>
      <c r="P22" s="264"/>
      <c r="Q22" s="264"/>
    </row>
    <row r="23" spans="1:17" ht="15" customHeight="1" x14ac:dyDescent="0.2">
      <c r="A23" s="10" t="s">
        <v>28</v>
      </c>
      <c r="B23" s="3" t="s">
        <v>64</v>
      </c>
      <c r="C23" s="108">
        <f>'FY2015 Detail'!D20</f>
        <v>5697</v>
      </c>
      <c r="D23" s="213">
        <v>4169885</v>
      </c>
      <c r="E23" s="213">
        <v>3219</v>
      </c>
      <c r="F23" s="213">
        <f>+C23*E23</f>
        <v>18338643</v>
      </c>
      <c r="G23" s="213">
        <f t="shared" si="1"/>
        <v>22508528</v>
      </c>
      <c r="H23" s="173">
        <f>'Revenue Offset'!K22</f>
        <v>0.59059776488770976</v>
      </c>
      <c r="I23" s="248">
        <f t="shared" si="3"/>
        <v>9215041.6722875684</v>
      </c>
      <c r="J23" s="108"/>
      <c r="K23" s="248">
        <f t="shared" si="4"/>
        <v>9215041.6722875684</v>
      </c>
      <c r="L23" s="248">
        <v>8869379.3760273475</v>
      </c>
      <c r="M23" s="367">
        <v>7777061.4813732607</v>
      </c>
      <c r="N23" s="158">
        <f t="shared" si="2"/>
        <v>8620494.1765627246</v>
      </c>
      <c r="P23" s="264"/>
      <c r="Q23" s="264"/>
    </row>
    <row r="24" spans="1:17" ht="15" customHeight="1" x14ac:dyDescent="0.2">
      <c r="A24" s="10" t="s">
        <v>24</v>
      </c>
      <c r="B24" s="3" t="s">
        <v>25</v>
      </c>
      <c r="C24" s="108">
        <f>'FY2015 Detail'!D21</f>
        <v>13861</v>
      </c>
      <c r="D24" s="213">
        <v>4169885</v>
      </c>
      <c r="E24" s="213">
        <v>3219</v>
      </c>
      <c r="F24" s="213">
        <f>+C24*E24</f>
        <v>44618559</v>
      </c>
      <c r="G24" s="213">
        <f t="shared" si="1"/>
        <v>48788444</v>
      </c>
      <c r="H24" s="173">
        <f>'Revenue Offset'!K23</f>
        <v>0.66441885080407515</v>
      </c>
      <c r="I24" s="248">
        <f t="shared" si="3"/>
        <v>16372482.105001025</v>
      </c>
      <c r="J24" s="108"/>
      <c r="K24" s="248">
        <f t="shared" si="4"/>
        <v>16372482.105001025</v>
      </c>
      <c r="L24" s="248">
        <v>14838547.617458452</v>
      </c>
      <c r="M24" s="367">
        <v>12785349.460735517</v>
      </c>
      <c r="N24" s="158">
        <f t="shared" si="2"/>
        <v>14665459.727731666</v>
      </c>
      <c r="P24" s="264"/>
      <c r="Q24" s="264"/>
    </row>
    <row r="25" spans="1:17" ht="15" customHeight="1" x14ac:dyDescent="0.2">
      <c r="A25" s="10" t="s">
        <v>26</v>
      </c>
      <c r="B25" s="3" t="s">
        <v>234</v>
      </c>
      <c r="C25" s="108">
        <f>'FY2015 Detail'!D22</f>
        <v>1948</v>
      </c>
      <c r="D25" s="213">
        <v>1660196</v>
      </c>
      <c r="E25" s="213">
        <v>2396</v>
      </c>
      <c r="F25" s="213">
        <f t="shared" si="0"/>
        <v>4667408</v>
      </c>
      <c r="G25" s="213">
        <f t="shared" si="1"/>
        <v>6327604</v>
      </c>
      <c r="H25" s="173">
        <f>'Revenue Offset'!K24</f>
        <v>0.51254532218198412</v>
      </c>
      <c r="I25" s="248">
        <f t="shared" si="3"/>
        <v>3084420.1691799886</v>
      </c>
      <c r="J25" s="108">
        <f>(200000)+((114+246+348)*500)</f>
        <v>554000</v>
      </c>
      <c r="K25" s="248">
        <f t="shared" si="4"/>
        <v>3638420.1691799886</v>
      </c>
      <c r="L25" s="248">
        <v>3409644.811179494</v>
      </c>
      <c r="M25" s="367">
        <v>3132933.2690726281</v>
      </c>
      <c r="N25" s="158">
        <f t="shared" si="2"/>
        <v>3393666.0831440371</v>
      </c>
      <c r="P25" s="264"/>
      <c r="Q25" s="264"/>
    </row>
    <row r="26" spans="1:17" ht="15" customHeight="1" x14ac:dyDescent="0.2">
      <c r="A26" s="10" t="s">
        <v>29</v>
      </c>
      <c r="B26" s="3" t="s">
        <v>203</v>
      </c>
      <c r="C26" s="108">
        <f>'FY2015 Detail'!D23</f>
        <v>6799</v>
      </c>
      <c r="D26" s="213">
        <v>1660196</v>
      </c>
      <c r="E26" s="213">
        <v>2396</v>
      </c>
      <c r="F26" s="213">
        <f t="shared" si="0"/>
        <v>16290404</v>
      </c>
      <c r="G26" s="213">
        <f t="shared" si="1"/>
        <v>17950600</v>
      </c>
      <c r="H26" s="173">
        <f>'Revenue Offset'!K25</f>
        <v>0.64364123513885774</v>
      </c>
      <c r="I26" s="248">
        <f t="shared" si="3"/>
        <v>6396853.6445164206</v>
      </c>
      <c r="J26" s="108"/>
      <c r="K26" s="248">
        <f t="shared" si="4"/>
        <v>6396853.6445164206</v>
      </c>
      <c r="L26" s="248">
        <v>6200740.1400090223</v>
      </c>
      <c r="M26" s="367">
        <v>5347961.6673782961</v>
      </c>
      <c r="N26" s="158">
        <f t="shared" si="2"/>
        <v>5981851.8173012463</v>
      </c>
      <c r="P26" s="264"/>
      <c r="Q26" s="264"/>
    </row>
    <row r="27" spans="1:17" ht="15" customHeight="1" x14ac:dyDescent="0.2">
      <c r="A27" s="10" t="s">
        <v>31</v>
      </c>
      <c r="B27" s="3" t="s">
        <v>204</v>
      </c>
      <c r="C27" s="108">
        <f>'FY2015 Detail'!D24</f>
        <v>4644</v>
      </c>
      <c r="D27" s="213">
        <v>1660196</v>
      </c>
      <c r="E27" s="213">
        <v>2396</v>
      </c>
      <c r="F27" s="213">
        <f t="shared" si="0"/>
        <v>11127024</v>
      </c>
      <c r="G27" s="213">
        <f t="shared" si="1"/>
        <v>12787220</v>
      </c>
      <c r="H27" s="173">
        <f>'Revenue Offset'!K26</f>
        <v>0.58457424457278995</v>
      </c>
      <c r="I27" s="248">
        <f t="shared" si="3"/>
        <v>5312140.5283139292</v>
      </c>
      <c r="J27" s="108"/>
      <c r="K27" s="248">
        <f t="shared" si="4"/>
        <v>5312140.5283139292</v>
      </c>
      <c r="L27" s="248">
        <v>4549197.9668220347</v>
      </c>
      <c r="M27" s="367">
        <v>3734912.6636302606</v>
      </c>
      <c r="N27" s="158">
        <f t="shared" si="2"/>
        <v>4532083.7195887407</v>
      </c>
      <c r="P27" s="264"/>
      <c r="Q27" s="264"/>
    </row>
    <row r="28" spans="1:17" ht="15" customHeight="1" x14ac:dyDescent="0.2">
      <c r="A28" s="45" t="s">
        <v>172</v>
      </c>
      <c r="B28" s="3" t="s">
        <v>65</v>
      </c>
      <c r="C28" s="108">
        <f>'FY2015 Detail'!D25</f>
        <v>3742</v>
      </c>
      <c r="D28" s="213">
        <v>1660196</v>
      </c>
      <c r="E28" s="213">
        <v>2396</v>
      </c>
      <c r="F28" s="213">
        <f t="shared" si="0"/>
        <v>8965832</v>
      </c>
      <c r="G28" s="213">
        <f t="shared" si="1"/>
        <v>10626028</v>
      </c>
      <c r="H28" s="173">
        <f>'Revenue Offset'!K27</f>
        <v>0.49179006686944149</v>
      </c>
      <c r="I28" s="248">
        <f t="shared" si="3"/>
        <v>5400252.9793234421</v>
      </c>
      <c r="J28" s="265">
        <f>(200000*4)+(278*500)</f>
        <v>939000</v>
      </c>
      <c r="K28" s="248">
        <f t="shared" si="4"/>
        <v>6339252.9793234421</v>
      </c>
      <c r="L28" s="248">
        <v>6287947.4015582763</v>
      </c>
      <c r="M28" s="367">
        <v>5620462.1729380479</v>
      </c>
      <c r="N28" s="158">
        <f t="shared" si="2"/>
        <v>6082554.1846065894</v>
      </c>
      <c r="P28" s="264"/>
      <c r="Q28" s="264"/>
    </row>
    <row r="29" spans="1:17" ht="15" customHeight="1" x14ac:dyDescent="0.2">
      <c r="A29" s="10" t="s">
        <v>33</v>
      </c>
      <c r="B29" s="3" t="s">
        <v>205</v>
      </c>
      <c r="C29" s="108">
        <f>'FY2015 Detail'!D26</f>
        <v>2299</v>
      </c>
      <c r="D29" s="213">
        <v>1660196</v>
      </c>
      <c r="E29" s="213">
        <v>2396</v>
      </c>
      <c r="F29" s="213">
        <f t="shared" si="0"/>
        <v>5508404</v>
      </c>
      <c r="G29" s="213">
        <f t="shared" si="1"/>
        <v>7168600</v>
      </c>
      <c r="H29" s="173">
        <f>'Revenue Offset'!K28</f>
        <v>0.51828060700799883</v>
      </c>
      <c r="I29" s="248">
        <f t="shared" si="3"/>
        <v>3453253.6406024597</v>
      </c>
      <c r="J29" s="108">
        <v>200000</v>
      </c>
      <c r="K29" s="248">
        <f t="shared" si="4"/>
        <v>3653253.6406024597</v>
      </c>
      <c r="L29" s="248">
        <v>3586594.4616409289</v>
      </c>
      <c r="M29" s="367">
        <v>2941242.394247923</v>
      </c>
      <c r="N29" s="158">
        <f t="shared" si="2"/>
        <v>3393696.8321637702</v>
      </c>
      <c r="P29" s="264"/>
      <c r="Q29" s="264"/>
    </row>
    <row r="30" spans="1:17" ht="15" customHeight="1" x14ac:dyDescent="0.2">
      <c r="A30" s="10" t="s">
        <v>35</v>
      </c>
      <c r="B30" s="3" t="s">
        <v>201</v>
      </c>
      <c r="C30" s="108">
        <f>'FY2015 Detail'!D27</f>
        <v>723</v>
      </c>
      <c r="D30" s="213">
        <v>1660196</v>
      </c>
      <c r="E30" s="213">
        <v>2396</v>
      </c>
      <c r="F30" s="213">
        <f t="shared" si="0"/>
        <v>1732308</v>
      </c>
      <c r="G30" s="213">
        <f t="shared" si="1"/>
        <v>3392504</v>
      </c>
      <c r="H30" s="173">
        <f>'Revenue Offset'!K29</f>
        <v>0.56500392293571977</v>
      </c>
      <c r="I30" s="248">
        <f t="shared" si="3"/>
        <v>1475725.931424879</v>
      </c>
      <c r="J30" s="108"/>
      <c r="K30" s="248">
        <f t="shared" si="4"/>
        <v>1475725.931424879</v>
      </c>
      <c r="L30" s="248">
        <v>1443666.6850136509</v>
      </c>
      <c r="M30" s="367">
        <v>1568414.841686944</v>
      </c>
      <c r="N30" s="158">
        <f t="shared" si="2"/>
        <v>1495935.8193751581</v>
      </c>
      <c r="P30" s="264"/>
      <c r="Q30" s="264"/>
    </row>
    <row r="31" spans="1:17" ht="15" customHeight="1" x14ac:dyDescent="0.2">
      <c r="A31" s="10" t="s">
        <v>37</v>
      </c>
      <c r="B31" s="3" t="s">
        <v>38</v>
      </c>
      <c r="C31" s="108">
        <f>'FY2015 Detail'!D28</f>
        <v>2860</v>
      </c>
      <c r="D31" s="213">
        <v>1660196</v>
      </c>
      <c r="E31" s="213">
        <v>2396</v>
      </c>
      <c r="F31" s="213">
        <f t="shared" si="0"/>
        <v>6852560</v>
      </c>
      <c r="G31" s="213">
        <f t="shared" si="1"/>
        <v>8512756</v>
      </c>
      <c r="H31" s="173">
        <f>'Revenue Offset'!K30</f>
        <v>0.51995381790586437</v>
      </c>
      <c r="I31" s="248">
        <f t="shared" si="3"/>
        <v>4086516.0168989454</v>
      </c>
      <c r="J31" s="108">
        <v>200000</v>
      </c>
      <c r="K31" s="248">
        <f t="shared" si="4"/>
        <v>4286516.016898945</v>
      </c>
      <c r="L31" s="248">
        <v>4081177.5730568911</v>
      </c>
      <c r="M31" s="367">
        <v>3720530.9975600457</v>
      </c>
      <c r="N31" s="158">
        <f t="shared" si="2"/>
        <v>4029408.1958386279</v>
      </c>
      <c r="P31" s="264"/>
      <c r="Q31" s="264"/>
    </row>
    <row r="32" spans="1:17" ht="15" customHeight="1" x14ac:dyDescent="0.2">
      <c r="A32" s="10" t="s">
        <v>39</v>
      </c>
      <c r="B32" s="3" t="s">
        <v>202</v>
      </c>
      <c r="C32" s="108">
        <f>'FY2015 Detail'!D29</f>
        <v>2078</v>
      </c>
      <c r="D32" s="213">
        <v>1660196</v>
      </c>
      <c r="E32" s="213">
        <v>2396</v>
      </c>
      <c r="F32" s="213">
        <f t="shared" si="0"/>
        <v>4978888</v>
      </c>
      <c r="G32" s="213">
        <f t="shared" si="1"/>
        <v>6639084</v>
      </c>
      <c r="H32" s="173">
        <f>'Revenue Offset'!K31</f>
        <v>0.48617697604637483</v>
      </c>
      <c r="I32" s="248">
        <f t="shared" si="3"/>
        <v>3411314.2171621299</v>
      </c>
      <c r="J32" s="108">
        <f>200000+(142*500)</f>
        <v>271000</v>
      </c>
      <c r="K32" s="248">
        <f t="shared" si="4"/>
        <v>3682314.2171621299</v>
      </c>
      <c r="L32" s="248">
        <v>3362535.7394808442</v>
      </c>
      <c r="M32" s="367">
        <v>3517622.5384827289</v>
      </c>
      <c r="N32" s="158">
        <f t="shared" si="2"/>
        <v>3520824.1650419012</v>
      </c>
      <c r="P32" s="264"/>
      <c r="Q32" s="264"/>
    </row>
    <row r="33" spans="1:17" ht="15" customHeight="1" x14ac:dyDescent="0.2">
      <c r="A33" s="10" t="s">
        <v>41</v>
      </c>
      <c r="B33" s="3" t="s">
        <v>206</v>
      </c>
      <c r="C33" s="108">
        <f>'FY2015 Detail'!D30</f>
        <v>4134</v>
      </c>
      <c r="D33" s="213">
        <v>1660196</v>
      </c>
      <c r="E33" s="213">
        <v>2396</v>
      </c>
      <c r="F33" s="213">
        <f t="shared" si="0"/>
        <v>9905064</v>
      </c>
      <c r="G33" s="213">
        <f t="shared" si="1"/>
        <v>11565260</v>
      </c>
      <c r="H33" s="173">
        <f>'Revenue Offset'!K32</f>
        <v>0.61143475656249446</v>
      </c>
      <c r="I33" s="248">
        <f t="shared" si="3"/>
        <v>4493858.0673180455</v>
      </c>
      <c r="J33" s="108"/>
      <c r="K33" s="248">
        <f t="shared" si="4"/>
        <v>4493858.0673180455</v>
      </c>
      <c r="L33" s="248">
        <v>4184777.6871185382</v>
      </c>
      <c r="M33" s="367">
        <v>3524789.7319807601</v>
      </c>
      <c r="N33" s="158">
        <f t="shared" si="2"/>
        <v>4067808.4954724479</v>
      </c>
      <c r="P33" s="264"/>
      <c r="Q33" s="264"/>
    </row>
    <row r="34" spans="1:17" ht="15" customHeight="1" x14ac:dyDescent="0.2">
      <c r="A34" s="10" t="s">
        <v>48</v>
      </c>
      <c r="B34" s="3" t="s">
        <v>78</v>
      </c>
      <c r="C34" s="108">
        <f>'FY2015 Detail'!D31</f>
        <v>4642</v>
      </c>
      <c r="D34" s="213">
        <v>1660196</v>
      </c>
      <c r="E34" s="213">
        <v>2396</v>
      </c>
      <c r="F34" s="213">
        <f t="shared" si="0"/>
        <v>11122232</v>
      </c>
      <c r="G34" s="213">
        <f t="shared" si="1"/>
        <v>12782428</v>
      </c>
      <c r="H34" s="173">
        <f>'Revenue Offset'!K33</f>
        <v>0.66312130502478173</v>
      </c>
      <c r="I34" s="248">
        <f t="shared" si="3"/>
        <v>4306127.6632546894</v>
      </c>
      <c r="J34" s="108"/>
      <c r="K34" s="248">
        <f t="shared" si="4"/>
        <v>4306127.6632546894</v>
      </c>
      <c r="L34" s="248">
        <v>4268137.3844855949</v>
      </c>
      <c r="M34" s="367">
        <v>3670588.5804131385</v>
      </c>
      <c r="N34" s="158">
        <f t="shared" si="2"/>
        <v>4081617.8760511409</v>
      </c>
      <c r="P34" s="264"/>
      <c r="Q34" s="264"/>
    </row>
    <row r="35" spans="1:17" ht="15" customHeight="1" x14ac:dyDescent="0.2">
      <c r="A35" s="10" t="s">
        <v>43</v>
      </c>
      <c r="B35" s="3" t="s">
        <v>171</v>
      </c>
      <c r="C35" s="108">
        <f>'FY2015 Detail'!D32</f>
        <v>2490</v>
      </c>
      <c r="D35" s="213">
        <v>1660196</v>
      </c>
      <c r="E35" s="213">
        <v>2396</v>
      </c>
      <c r="F35" s="213">
        <f t="shared" si="0"/>
        <v>5966040</v>
      </c>
      <c r="G35" s="213">
        <f t="shared" si="1"/>
        <v>7626236</v>
      </c>
      <c r="H35" s="173">
        <f>'Revenue Offset'!K34</f>
        <v>0.54028196105325865</v>
      </c>
      <c r="I35" s="248">
        <f t="shared" si="3"/>
        <v>3505918.2584650409</v>
      </c>
      <c r="J35" s="108">
        <v>200000</v>
      </c>
      <c r="K35" s="248">
        <f t="shared" si="4"/>
        <v>3705918.2584650409</v>
      </c>
      <c r="L35" s="248">
        <v>3689832.5316237635</v>
      </c>
      <c r="M35" s="367">
        <v>3272463.7498625461</v>
      </c>
      <c r="N35" s="158">
        <f t="shared" si="2"/>
        <v>3556071.513317117</v>
      </c>
      <c r="P35" s="264"/>
      <c r="Q35" s="264"/>
    </row>
    <row r="36" spans="1:17" ht="15" customHeight="1" x14ac:dyDescent="0.2">
      <c r="A36" s="10" t="s">
        <v>44</v>
      </c>
      <c r="B36" s="3" t="s">
        <v>77</v>
      </c>
      <c r="C36" s="108">
        <f>'FY2015 Detail'!D33</f>
        <v>3679</v>
      </c>
      <c r="D36" s="213">
        <v>4169885</v>
      </c>
      <c r="E36" s="213">
        <v>3219</v>
      </c>
      <c r="F36" s="213">
        <f t="shared" si="0"/>
        <v>11842701</v>
      </c>
      <c r="G36" s="213">
        <f t="shared" si="1"/>
        <v>16012586</v>
      </c>
      <c r="H36" s="173">
        <f>'Revenue Offset'!K35</f>
        <v>0.5707003132893298</v>
      </c>
      <c r="I36" s="248">
        <f t="shared" si="3"/>
        <v>6874198.1532276636</v>
      </c>
      <c r="J36" s="108"/>
      <c r="K36" s="248">
        <f t="shared" si="4"/>
        <v>6874198.1532276636</v>
      </c>
      <c r="L36" s="248">
        <v>6580678.0768495891</v>
      </c>
      <c r="M36" s="367">
        <v>5425093.9409138849</v>
      </c>
      <c r="N36" s="158">
        <f t="shared" si="2"/>
        <v>6293323.3903303789</v>
      </c>
      <c r="P36" s="264"/>
      <c r="Q36" s="264"/>
    </row>
    <row r="37" spans="1:17" ht="15" customHeight="1" x14ac:dyDescent="0.2">
      <c r="A37" s="10" t="s">
        <v>45</v>
      </c>
      <c r="B37" s="3" t="s">
        <v>46</v>
      </c>
      <c r="C37" s="108">
        <f>'FY2015 Detail'!D34</f>
        <v>11851</v>
      </c>
      <c r="D37" s="213">
        <v>4169885</v>
      </c>
      <c r="E37" s="213">
        <v>3219</v>
      </c>
      <c r="F37" s="213">
        <f>+C37*E37</f>
        <v>38148369</v>
      </c>
      <c r="G37" s="213">
        <f>+D37+F37</f>
        <v>42318254</v>
      </c>
      <c r="H37" s="173">
        <f>'Revenue Offset'!K36</f>
        <v>0.5582072324779036</v>
      </c>
      <c r="I37" s="248">
        <f>G37*(1-H37)</f>
        <v>18695898.551363025</v>
      </c>
      <c r="J37" s="108"/>
      <c r="K37" s="248">
        <f>+I37+J37</f>
        <v>18695898.551363025</v>
      </c>
      <c r="L37" s="248">
        <v>17927040.737685986</v>
      </c>
      <c r="M37" s="367">
        <v>15816244.684577957</v>
      </c>
      <c r="N37" s="158">
        <f t="shared" si="2"/>
        <v>17479727.991208989</v>
      </c>
      <c r="P37" s="264"/>
      <c r="Q37" s="264"/>
    </row>
    <row r="38" spans="1:17" ht="15" customHeight="1" x14ac:dyDescent="0.2">
      <c r="A38" s="10" t="s">
        <v>47</v>
      </c>
      <c r="B38" s="3" t="s">
        <v>207</v>
      </c>
      <c r="C38" s="108">
        <f>'FY2015 Detail'!D35</f>
        <v>3462</v>
      </c>
      <c r="D38" s="213">
        <v>1660196</v>
      </c>
      <c r="E38" s="213">
        <v>2396</v>
      </c>
      <c r="F38" s="213">
        <f t="shared" si="0"/>
        <v>8294952</v>
      </c>
      <c r="G38" s="213">
        <f t="shared" si="1"/>
        <v>9955148</v>
      </c>
      <c r="H38" s="173">
        <f>'Revenue Offset'!K37</f>
        <v>0.63781145705685938</v>
      </c>
      <c r="I38" s="248">
        <f t="shared" si="3"/>
        <v>3605640.5489033205</v>
      </c>
      <c r="J38" s="108"/>
      <c r="K38" s="248">
        <f t="shared" si="4"/>
        <v>3605640.5489033205</v>
      </c>
      <c r="L38" s="248">
        <v>3239118.9599160715</v>
      </c>
      <c r="M38" s="367">
        <v>3461737.5241227085</v>
      </c>
      <c r="N38" s="158">
        <f t="shared" si="2"/>
        <v>3435499.0109807006</v>
      </c>
      <c r="P38" s="264"/>
      <c r="Q38" s="264"/>
    </row>
    <row r="39" spans="1:17" ht="15" customHeight="1" x14ac:dyDescent="0.2">
      <c r="A39" s="10" t="s">
        <v>49</v>
      </c>
      <c r="B39" s="3" t="s">
        <v>50</v>
      </c>
      <c r="C39" s="108">
        <f>'FY2015 Detail'!D36</f>
        <v>8149</v>
      </c>
      <c r="D39" s="213">
        <v>4169885</v>
      </c>
      <c r="E39" s="213">
        <v>3219</v>
      </c>
      <c r="F39" s="213">
        <f t="shared" si="0"/>
        <v>26231631</v>
      </c>
      <c r="G39" s="213">
        <f t="shared" si="1"/>
        <v>30401516</v>
      </c>
      <c r="H39" s="173">
        <f>'Revenue Offset'!K38</f>
        <v>0.64429102422930495</v>
      </c>
      <c r="I39" s="248">
        <f t="shared" si="3"/>
        <v>10814092.118236398</v>
      </c>
      <c r="J39" s="108">
        <v>200000</v>
      </c>
      <c r="K39" s="248">
        <f t="shared" si="4"/>
        <v>11014092.118236398</v>
      </c>
      <c r="L39" s="248">
        <v>10836472.856422983</v>
      </c>
      <c r="M39" s="367">
        <v>8273293.9522056337</v>
      </c>
      <c r="N39" s="158">
        <f t="shared" si="2"/>
        <v>10041286.308955006</v>
      </c>
      <c r="Q39" s="264"/>
    </row>
    <row r="40" spans="1:17" ht="15" customHeight="1" x14ac:dyDescent="0.2">
      <c r="B40" s="266"/>
      <c r="G40" s="111"/>
      <c r="H40" s="267"/>
      <c r="I40" s="111"/>
      <c r="J40" s="111"/>
      <c r="K40" s="368"/>
      <c r="L40" s="368"/>
    </row>
    <row r="41" spans="1:17" ht="15" customHeight="1" x14ac:dyDescent="0.2">
      <c r="B41" s="245" t="s">
        <v>51</v>
      </c>
      <c r="C41" s="110">
        <f>SUM(C9:C40)</f>
        <v>138972</v>
      </c>
      <c r="D41" s="110">
        <f>SUM(D9:D40)</f>
        <v>69033899</v>
      </c>
      <c r="F41" s="110">
        <f>SUM(F9:F40)</f>
        <v>377618078</v>
      </c>
      <c r="G41" s="110">
        <f>SUM(G9:G40)</f>
        <v>446651977</v>
      </c>
      <c r="H41" s="174">
        <f>'Revenue Offset'!K40</f>
        <v>0.58917622469614928</v>
      </c>
      <c r="I41" s="110">
        <f t="shared" ref="I41:N41" si="5">SUM(I9:I40)</f>
        <v>182961494.27677965</v>
      </c>
      <c r="J41" s="110">
        <f t="shared" si="5"/>
        <v>4336000</v>
      </c>
      <c r="K41" s="110">
        <f t="shared" si="5"/>
        <v>187297494.27677962</v>
      </c>
      <c r="L41" s="110">
        <f t="shared" si="5"/>
        <v>175408373.47166738</v>
      </c>
      <c r="M41" s="110">
        <f t="shared" si="5"/>
        <v>155636994.40089244</v>
      </c>
      <c r="N41" s="110">
        <f t="shared" si="5"/>
        <v>172780954.04977986</v>
      </c>
    </row>
    <row r="42" spans="1:17" ht="12" customHeight="1" x14ac:dyDescent="0.2">
      <c r="B42" s="266"/>
      <c r="H42" s="268"/>
      <c r="K42" s="268"/>
      <c r="L42" s="268"/>
    </row>
    <row r="43" spans="1:17" ht="14.1" customHeight="1" x14ac:dyDescent="0.2">
      <c r="A43" s="211" t="str">
        <f>+'FY2015 Detail'!B40</f>
        <v>MnSCU Finance Division</v>
      </c>
      <c r="B43" s="269"/>
      <c r="I43" s="270"/>
    </row>
    <row r="44" spans="1:17" ht="14.1" customHeight="1" x14ac:dyDescent="0.2">
      <c r="A44" s="211" t="str">
        <f>+'FY2015 Detail'!B41</f>
        <v>s:\finance\bargain\FY17 allocation\Summary of FY2017 Institutional Allocation Draft</v>
      </c>
      <c r="B44" s="269"/>
      <c r="M44" s="112"/>
    </row>
    <row r="45" spans="1:17" ht="14.1" customHeight="1" x14ac:dyDescent="0.2">
      <c r="A45" s="211"/>
      <c r="B45" s="269"/>
    </row>
    <row r="47" spans="1:17" ht="15" customHeight="1" x14ac:dyDescent="0.2">
      <c r="E47" s="338"/>
      <c r="H47" s="339"/>
      <c r="I47" s="341"/>
      <c r="J47" s="340"/>
    </row>
    <row r="48" spans="1:17" ht="15" customHeight="1" x14ac:dyDescent="0.2">
      <c r="E48" s="338"/>
      <c r="H48" s="339"/>
      <c r="I48" s="341"/>
      <c r="J48" s="340"/>
    </row>
  </sheetData>
  <phoneticPr fontId="10" type="noConversion"/>
  <pageMargins left="0.28999999999999998" right="0.24" top="0.49" bottom="0.23" header="0.5" footer="0.23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44"/>
  <sheetViews>
    <sheetView zoomScale="80" workbookViewId="0">
      <selection activeCell="B8" sqref="B8:B38"/>
    </sheetView>
  </sheetViews>
  <sheetFormatPr defaultRowHeight="15" customHeight="1" x14ac:dyDescent="0.2"/>
  <cols>
    <col min="1" max="1" width="7.85546875" customWidth="1"/>
    <col min="2" max="2" width="31.28515625" bestFit="1" customWidth="1"/>
    <col min="3" max="3" width="13.85546875" customWidth="1"/>
    <col min="4" max="4" width="16.28515625" customWidth="1"/>
    <col min="5" max="5" width="12" customWidth="1"/>
    <col min="6" max="6" width="23.85546875" style="18" customWidth="1"/>
    <col min="7" max="7" width="13.42578125" customWidth="1"/>
  </cols>
  <sheetData>
    <row r="1" spans="1:8" ht="15" customHeight="1" x14ac:dyDescent="0.25">
      <c r="A1" s="42" t="s">
        <v>80</v>
      </c>
      <c r="F1" s="77"/>
    </row>
    <row r="2" spans="1:8" ht="14.1" customHeight="1" x14ac:dyDescent="0.2">
      <c r="A2" s="4" t="s">
        <v>152</v>
      </c>
    </row>
    <row r="3" spans="1:8" s="34" customFormat="1" ht="14.1" customHeight="1" x14ac:dyDescent="0.25">
      <c r="A3" s="78" t="s">
        <v>213</v>
      </c>
      <c r="F3" s="43"/>
    </row>
    <row r="4" spans="1:8" s="34" customFormat="1" ht="15" customHeight="1" x14ac:dyDescent="0.25">
      <c r="B4" s="42"/>
      <c r="C4" s="42"/>
      <c r="D4" s="42"/>
      <c r="E4" s="42"/>
      <c r="F4" s="43" t="s">
        <v>119</v>
      </c>
      <c r="G4" s="34" t="s">
        <v>153</v>
      </c>
    </row>
    <row r="5" spans="1:8" s="34" customFormat="1" ht="15" customHeight="1" x14ac:dyDescent="0.2">
      <c r="C5" s="34" t="s">
        <v>89</v>
      </c>
      <c r="D5" s="34" t="s">
        <v>82</v>
      </c>
      <c r="E5" s="34" t="s">
        <v>83</v>
      </c>
      <c r="F5" s="43" t="s">
        <v>84</v>
      </c>
      <c r="G5" s="34" t="s">
        <v>85</v>
      </c>
    </row>
    <row r="6" spans="1:8" ht="72" customHeight="1" x14ac:dyDescent="0.2">
      <c r="A6" s="1" t="s">
        <v>0</v>
      </c>
      <c r="B6" s="1" t="s">
        <v>1</v>
      </c>
      <c r="C6" s="33" t="s">
        <v>68</v>
      </c>
      <c r="D6" s="33" t="s">
        <v>74</v>
      </c>
      <c r="E6" s="33" t="s">
        <v>69</v>
      </c>
      <c r="F6" s="17" t="s">
        <v>154</v>
      </c>
      <c r="G6" s="44" t="s">
        <v>70</v>
      </c>
      <c r="H6" s="15"/>
    </row>
    <row r="7" spans="1:8" ht="15" customHeight="1" x14ac:dyDescent="0.2">
      <c r="B7" s="2"/>
      <c r="C7" s="2"/>
      <c r="D7" s="2"/>
      <c r="E7" s="2"/>
      <c r="F7" s="79"/>
      <c r="G7" s="2"/>
      <c r="H7" s="15"/>
    </row>
    <row r="8" spans="1:8" ht="15" customHeight="1" x14ac:dyDescent="0.2">
      <c r="A8" s="80" t="s">
        <v>2</v>
      </c>
      <c r="B8" s="3" t="s">
        <v>199</v>
      </c>
      <c r="C8" s="8">
        <f>Instruction!M8</f>
        <v>5195040.666666667</v>
      </c>
      <c r="D8" s="8">
        <f>'Student &amp; Institutional Support'!N9</f>
        <v>2884266.259285456</v>
      </c>
      <c r="E8" s="8">
        <f>Facilities!V9</f>
        <v>1023146.924068873</v>
      </c>
      <c r="F8" s="81">
        <f>SUM(C8:E8)</f>
        <v>9102453.8500209972</v>
      </c>
      <c r="G8" s="81">
        <f>IF(F8*0.035&gt;70000,F8*0.035,0)</f>
        <v>318585.88475073496</v>
      </c>
      <c r="H8" s="15"/>
    </row>
    <row r="9" spans="1:8" s="109" customFormat="1" ht="15" customHeight="1" x14ac:dyDescent="0.2">
      <c r="A9" s="80" t="s">
        <v>4</v>
      </c>
      <c r="B9" s="3" t="s">
        <v>188</v>
      </c>
      <c r="C9" s="158">
        <f>Instruction!M9</f>
        <v>13392637.666666666</v>
      </c>
      <c r="D9" s="158">
        <f>'Student &amp; Institutional Support'!N10</f>
        <v>7013454.5693440763</v>
      </c>
      <c r="E9" s="158">
        <f>Facilities!V10</f>
        <v>1788662.2784473277</v>
      </c>
      <c r="F9" s="224">
        <f t="shared" ref="F9:F38" si="0">SUM(C9:E9)</f>
        <v>22194754.514458068</v>
      </c>
      <c r="G9" s="224">
        <f>IF(F9*0.035&gt;70000,F9*0.035,0)</f>
        <v>776816.40800603246</v>
      </c>
      <c r="H9" s="113"/>
    </row>
    <row r="10" spans="1:8" ht="15" customHeight="1" x14ac:dyDescent="0.2">
      <c r="A10" s="80" t="s">
        <v>5</v>
      </c>
      <c r="B10" s="3" t="s">
        <v>160</v>
      </c>
      <c r="C10" s="8">
        <f>Instruction!M10</f>
        <v>11051626.379849007</v>
      </c>
      <c r="D10" s="8">
        <f>'Student &amp; Institutional Support'!N11</f>
        <v>6811917.1103164954</v>
      </c>
      <c r="E10" s="8">
        <f>Facilities!V11</f>
        <v>1994493.7084550774</v>
      </c>
      <c r="F10" s="81">
        <f t="shared" si="0"/>
        <v>19858037.19862058</v>
      </c>
      <c r="G10" s="81">
        <f>IF(F10*0.06&gt;70000,F10*0.06,0)</f>
        <v>1191482.2319172348</v>
      </c>
      <c r="H10" s="15"/>
    </row>
    <row r="11" spans="1:8" ht="15" customHeight="1" x14ac:dyDescent="0.2">
      <c r="A11" s="10" t="s">
        <v>6</v>
      </c>
      <c r="B11" s="3" t="s">
        <v>7</v>
      </c>
      <c r="C11" s="8">
        <f>Instruction!M11</f>
        <v>6748350.8589756712</v>
      </c>
      <c r="D11" s="8">
        <f>'Student &amp; Institutional Support'!N12</f>
        <v>3964631.98264969</v>
      </c>
      <c r="E11" s="8">
        <f>Facilities!V12</f>
        <v>1361958.9539939077</v>
      </c>
      <c r="F11" s="81">
        <f>SUM(C11:E11)</f>
        <v>12074941.795619268</v>
      </c>
      <c r="G11" s="81">
        <f>IF(F11*0.035&gt;70000,F11*0.035,0)</f>
        <v>422622.96284667443</v>
      </c>
      <c r="H11" s="15"/>
    </row>
    <row r="12" spans="1:8" ht="15" customHeight="1" x14ac:dyDescent="0.2">
      <c r="A12" s="80" t="s">
        <v>8</v>
      </c>
      <c r="B12" s="3" t="s">
        <v>9</v>
      </c>
      <c r="C12" s="8">
        <f>Instruction!M12</f>
        <v>12888754.666666666</v>
      </c>
      <c r="D12" s="8">
        <f>'Student &amp; Institutional Support'!N13</f>
        <v>6292823.0338115608</v>
      </c>
      <c r="E12" s="8">
        <f>Facilities!V13</f>
        <v>1454095.1139547797</v>
      </c>
      <c r="F12" s="81">
        <f t="shared" si="0"/>
        <v>20635672.814433005</v>
      </c>
      <c r="G12" s="81">
        <f t="shared" ref="G12:G17" si="1">IF(F12*0.035&gt;70000,F12*0.035,0)</f>
        <v>722248.54850515525</v>
      </c>
      <c r="H12" s="15"/>
    </row>
    <row r="13" spans="1:8" ht="15" customHeight="1" x14ac:dyDescent="0.2">
      <c r="A13" s="80" t="s">
        <v>10</v>
      </c>
      <c r="B13" s="3" t="s">
        <v>11</v>
      </c>
      <c r="C13" s="8">
        <f>Instruction!M13</f>
        <v>5424647</v>
      </c>
      <c r="D13" s="8">
        <f>'Student &amp; Institutional Support'!N14</f>
        <v>2861718.7799051069</v>
      </c>
      <c r="E13" s="8">
        <f>Facilities!V14</f>
        <v>1228413.285233465</v>
      </c>
      <c r="F13" s="81">
        <f t="shared" si="0"/>
        <v>9514779.065138571</v>
      </c>
      <c r="G13" s="81">
        <f t="shared" si="1"/>
        <v>333017.26727985003</v>
      </c>
      <c r="H13" s="15"/>
    </row>
    <row r="14" spans="1:8" ht="15" customHeight="1" x14ac:dyDescent="0.2">
      <c r="A14" s="80" t="s">
        <v>12</v>
      </c>
      <c r="B14" s="3" t="s">
        <v>13</v>
      </c>
      <c r="C14" s="8">
        <f>Instruction!M14</f>
        <v>2269535.3333333335</v>
      </c>
      <c r="D14" s="8">
        <f>'Student &amp; Institutional Support'!N15</f>
        <v>1922587.2136475891</v>
      </c>
      <c r="E14" s="8">
        <f>Facilities!V15</f>
        <v>383067.67045009136</v>
      </c>
      <c r="F14" s="81">
        <f t="shared" si="0"/>
        <v>4575190.2174310144</v>
      </c>
      <c r="G14" s="81">
        <f t="shared" si="1"/>
        <v>160131.65761008553</v>
      </c>
      <c r="H14" s="15"/>
    </row>
    <row r="15" spans="1:8" ht="15" customHeight="1" x14ac:dyDescent="0.2">
      <c r="A15" s="80" t="s">
        <v>14</v>
      </c>
      <c r="B15" s="3" t="s">
        <v>245</v>
      </c>
      <c r="C15" s="8">
        <f>Instruction!M15</f>
        <v>10476494</v>
      </c>
      <c r="D15" s="8">
        <f>'Student &amp; Institutional Support'!N16</f>
        <v>5255482.1645418536</v>
      </c>
      <c r="E15" s="8">
        <f>Facilities!V16</f>
        <v>2161521.1309653656</v>
      </c>
      <c r="F15" s="81">
        <f t="shared" si="0"/>
        <v>17893497.295507219</v>
      </c>
      <c r="G15" s="81">
        <f t="shared" si="1"/>
        <v>626272.4053427527</v>
      </c>
      <c r="H15" s="15"/>
    </row>
    <row r="16" spans="1:8" ht="15" customHeight="1" x14ac:dyDescent="0.2">
      <c r="A16" s="80" t="s">
        <v>16</v>
      </c>
      <c r="B16" s="3" t="s">
        <v>246</v>
      </c>
      <c r="C16" s="8">
        <f>Instruction!M16</f>
        <v>7306370.333333333</v>
      </c>
      <c r="D16" s="8">
        <f>'Student &amp; Institutional Support'!N17</f>
        <v>4121311.0087213567</v>
      </c>
      <c r="E16" s="8">
        <f>Facilities!V17</f>
        <v>718633.8716500334</v>
      </c>
      <c r="F16" s="81">
        <f t="shared" si="0"/>
        <v>12146315.213704722</v>
      </c>
      <c r="G16" s="81">
        <f t="shared" si="1"/>
        <v>425121.0324796653</v>
      </c>
      <c r="H16" s="15"/>
    </row>
    <row r="17" spans="1:8" ht="15" customHeight="1" x14ac:dyDescent="0.2">
      <c r="A17" s="80" t="s">
        <v>18</v>
      </c>
      <c r="B17" s="3" t="s">
        <v>19</v>
      </c>
      <c r="C17" s="8">
        <f>Instruction!M17</f>
        <v>7682271</v>
      </c>
      <c r="D17" s="8">
        <f>'Student &amp; Institutional Support'!N18</f>
        <v>4112726.2630064543</v>
      </c>
      <c r="E17" s="8">
        <f>Facilities!V18</f>
        <v>1003483.1432749999</v>
      </c>
      <c r="F17" s="81">
        <f t="shared" si="0"/>
        <v>12798480.406281454</v>
      </c>
      <c r="G17" s="81">
        <f t="shared" si="1"/>
        <v>447946.81421985093</v>
      </c>
      <c r="H17" s="15"/>
    </row>
    <row r="18" spans="1:8" ht="15" customHeight="1" x14ac:dyDescent="0.2">
      <c r="A18" s="80" t="s">
        <v>20</v>
      </c>
      <c r="B18" s="3" t="s">
        <v>247</v>
      </c>
      <c r="C18" s="8">
        <f>Instruction!M18</f>
        <v>14749371.621681431</v>
      </c>
      <c r="D18" s="8">
        <f>'Student &amp; Institutional Support'!N19</f>
        <v>8055189.8450713567</v>
      </c>
      <c r="E18" s="8">
        <f>Facilities!V19</f>
        <v>752262.55028783868</v>
      </c>
      <c r="F18" s="81">
        <f t="shared" si="0"/>
        <v>23556824.017040629</v>
      </c>
      <c r="G18" s="81">
        <f>IF(F18*0.06&gt;70000,F18*0.06,0)</f>
        <v>1413409.4410224378</v>
      </c>
      <c r="H18" s="15"/>
    </row>
    <row r="19" spans="1:8" ht="15" customHeight="1" x14ac:dyDescent="0.2">
      <c r="A19" s="80" t="s">
        <v>21</v>
      </c>
      <c r="B19" s="3" t="s">
        <v>200</v>
      </c>
      <c r="C19" s="8">
        <f>Instruction!M19</f>
        <v>12140089.666666666</v>
      </c>
      <c r="D19" s="8">
        <f>'Student &amp; Institutional Support'!N20</f>
        <v>6223587.3831509622</v>
      </c>
      <c r="E19" s="8">
        <f>Facilities!V20</f>
        <v>2032495.3425008198</v>
      </c>
      <c r="F19" s="81">
        <f t="shared" si="0"/>
        <v>20396172.39231845</v>
      </c>
      <c r="G19" s="81">
        <f>IF(F19*0.035&gt;70000,F19*0.035,0)</f>
        <v>713866.03373114578</v>
      </c>
      <c r="H19" s="15"/>
    </row>
    <row r="20" spans="1:8" ht="15" customHeight="1" x14ac:dyDescent="0.2">
      <c r="A20" s="80" t="s">
        <v>23</v>
      </c>
      <c r="B20" s="200" t="s">
        <v>79</v>
      </c>
      <c r="C20" s="8">
        <f>Instruction!M20</f>
        <v>4133808.6666666665</v>
      </c>
      <c r="D20" s="8">
        <f>'Student &amp; Institutional Support'!N21</f>
        <v>2810468.9726689332</v>
      </c>
      <c r="E20" s="8">
        <f>Facilities!V21</f>
        <v>705904.26651783928</v>
      </c>
      <c r="F20" s="81">
        <f t="shared" si="0"/>
        <v>7650181.9058534391</v>
      </c>
      <c r="G20" s="81">
        <f>IF(F20*0.035&gt;70000,F20*0.035,0)</f>
        <v>267756.36670487042</v>
      </c>
      <c r="H20" s="15"/>
    </row>
    <row r="21" spans="1:8" ht="15" customHeight="1" x14ac:dyDescent="0.2">
      <c r="A21" s="45" t="s">
        <v>155</v>
      </c>
      <c r="B21" s="3" t="s">
        <v>248</v>
      </c>
      <c r="C21" s="8">
        <f>Instruction!M21</f>
        <v>10798224.666666666</v>
      </c>
      <c r="D21" s="8">
        <f>'Student &amp; Institutional Support'!N22</f>
        <v>5779480.1559887081</v>
      </c>
      <c r="E21" s="8">
        <f>Facilities!V22</f>
        <v>1609472.108476707</v>
      </c>
      <c r="F21" s="81">
        <f>SUM(C21:E21)</f>
        <v>18187176.931132082</v>
      </c>
      <c r="G21" s="81">
        <f>IF(F21*0.035&gt;70000,F21*0.035,0)</f>
        <v>636551.19258962292</v>
      </c>
      <c r="H21" s="15"/>
    </row>
    <row r="22" spans="1:8" ht="15" customHeight="1" x14ac:dyDescent="0.2">
      <c r="A22" s="80" t="s">
        <v>28</v>
      </c>
      <c r="B22" s="3" t="s">
        <v>64</v>
      </c>
      <c r="C22" s="8">
        <f>Instruction!M22</f>
        <v>14914534.335218407</v>
      </c>
      <c r="D22" s="8">
        <f>'Student &amp; Institutional Support'!N23</f>
        <v>8620494.1765627246</v>
      </c>
      <c r="E22" s="8">
        <f>Facilities!V23</f>
        <v>2549116.6729052737</v>
      </c>
      <c r="F22" s="81">
        <f t="shared" si="0"/>
        <v>26084145.184686407</v>
      </c>
      <c r="G22" s="81">
        <f>IF(F22*0.06&gt;70000,F22*0.06,0)</f>
        <v>1565048.7110811844</v>
      </c>
      <c r="H22" s="15"/>
    </row>
    <row r="23" spans="1:8" ht="15" customHeight="1" x14ac:dyDescent="0.2">
      <c r="A23" s="80" t="s">
        <v>24</v>
      </c>
      <c r="B23" s="3" t="s">
        <v>25</v>
      </c>
      <c r="C23" s="8">
        <f>Instruction!M23</f>
        <v>30967131.06232053</v>
      </c>
      <c r="D23" s="8">
        <f>'Student &amp; Institutional Support'!N24</f>
        <v>14665459.727731666</v>
      </c>
      <c r="E23" s="8">
        <f>Facilities!V24</f>
        <v>3363167.9501288435</v>
      </c>
      <c r="F23" s="81">
        <f t="shared" si="0"/>
        <v>48995758.740181044</v>
      </c>
      <c r="G23" s="81">
        <f>IF(F23*0.06&gt;70000,F23*0.06,0)</f>
        <v>2939745.5244108625</v>
      </c>
      <c r="H23" s="15"/>
    </row>
    <row r="24" spans="1:8" ht="15" customHeight="1" x14ac:dyDescent="0.2">
      <c r="A24" s="80" t="s">
        <v>26</v>
      </c>
      <c r="B24" s="3" t="s">
        <v>234</v>
      </c>
      <c r="C24" s="8">
        <f>Instruction!M24</f>
        <v>5501633.6931713419</v>
      </c>
      <c r="D24" s="8">
        <f>'Student &amp; Institutional Support'!N25</f>
        <v>3393666.0831440371</v>
      </c>
      <c r="E24" s="8">
        <f>Facilities!V25</f>
        <v>1267077.8075490305</v>
      </c>
      <c r="F24" s="81">
        <f t="shared" si="0"/>
        <v>10162377.583864409</v>
      </c>
      <c r="G24" s="81">
        <f>IF(F24*0.035&gt;70000,F24*0.035,0)</f>
        <v>355683.21543525439</v>
      </c>
      <c r="H24" s="15"/>
    </row>
    <row r="25" spans="1:8" ht="15" customHeight="1" x14ac:dyDescent="0.2">
      <c r="A25" s="80" t="s">
        <v>29</v>
      </c>
      <c r="B25" s="3" t="s">
        <v>203</v>
      </c>
      <c r="C25" s="8">
        <f>Instruction!M25</f>
        <v>11980687.333333334</v>
      </c>
      <c r="D25" s="8">
        <f>'Student &amp; Institutional Support'!N26</f>
        <v>5981851.8173012463</v>
      </c>
      <c r="E25" s="8">
        <f>Facilities!V26</f>
        <v>1096661.8216810666</v>
      </c>
      <c r="F25" s="81">
        <f t="shared" si="0"/>
        <v>19059200.972315647</v>
      </c>
      <c r="G25" s="81">
        <f>IF(F25*0.035&gt;70000,F25*0.035,0)</f>
        <v>667072.03403104772</v>
      </c>
      <c r="H25" s="15"/>
    </row>
    <row r="26" spans="1:8" ht="15" customHeight="1" x14ac:dyDescent="0.2">
      <c r="A26" s="80" t="s">
        <v>31</v>
      </c>
      <c r="B26" s="3" t="s">
        <v>204</v>
      </c>
      <c r="C26" s="8">
        <f>Instruction!M26</f>
        <v>8819383.333333334</v>
      </c>
      <c r="D26" s="8">
        <f>'Student &amp; Institutional Support'!N27</f>
        <v>4532083.7195887407</v>
      </c>
      <c r="E26" s="8">
        <f>Facilities!V27</f>
        <v>1059071.2793194053</v>
      </c>
      <c r="F26" s="81">
        <f t="shared" si="0"/>
        <v>14410538.332241479</v>
      </c>
      <c r="G26" s="81">
        <f>IF(F26*0.035&gt;70000,F26*0.035,0)</f>
        <v>504368.84162845183</v>
      </c>
      <c r="H26" s="15"/>
    </row>
    <row r="27" spans="1:8" ht="15" customHeight="1" x14ac:dyDescent="0.2">
      <c r="A27" s="45" t="s">
        <v>172</v>
      </c>
      <c r="B27" s="3" t="s">
        <v>65</v>
      </c>
      <c r="C27" s="8">
        <f>Instruction!M27</f>
        <v>9054263</v>
      </c>
      <c r="D27" s="8">
        <f>'Student &amp; Institutional Support'!N28</f>
        <v>6082554.1846065894</v>
      </c>
      <c r="E27" s="8">
        <f>Facilities!V28</f>
        <v>2667112.1555724135</v>
      </c>
      <c r="F27" s="81">
        <f t="shared" si="0"/>
        <v>17803929.340179004</v>
      </c>
      <c r="G27" s="81">
        <f t="shared" ref="G27:G34" si="2">IF(F27*0.035&gt;70000,F27*0.035,0)</f>
        <v>623137.52690626518</v>
      </c>
      <c r="H27" s="15"/>
    </row>
    <row r="28" spans="1:8" ht="15" customHeight="1" x14ac:dyDescent="0.2">
      <c r="A28" s="80" t="s">
        <v>33</v>
      </c>
      <c r="B28" s="3" t="s">
        <v>205</v>
      </c>
      <c r="C28" s="8">
        <f>Instruction!M28</f>
        <v>6183339.5817604465</v>
      </c>
      <c r="D28" s="8">
        <f>'Student &amp; Institutional Support'!N29</f>
        <v>3393696.8321637702</v>
      </c>
      <c r="E28" s="8">
        <f>Facilities!V29</f>
        <v>1228183.9029206356</v>
      </c>
      <c r="F28" s="81">
        <f t="shared" si="0"/>
        <v>10805220.316844853</v>
      </c>
      <c r="G28" s="81">
        <f t="shared" si="2"/>
        <v>378182.7110895699</v>
      </c>
      <c r="H28" s="15"/>
    </row>
    <row r="29" spans="1:8" ht="15" customHeight="1" x14ac:dyDescent="0.2">
      <c r="A29" s="80" t="s">
        <v>35</v>
      </c>
      <c r="B29" s="3" t="s">
        <v>201</v>
      </c>
      <c r="C29" s="8">
        <f>Instruction!M29</f>
        <v>1703310.6666666667</v>
      </c>
      <c r="D29" s="8">
        <f>'Student &amp; Institutional Support'!N30</f>
        <v>1495935.8193751581</v>
      </c>
      <c r="E29" s="8">
        <f>Facilities!V30</f>
        <v>236634.70553048886</v>
      </c>
      <c r="F29" s="81">
        <f t="shared" si="0"/>
        <v>3435881.1915723137</v>
      </c>
      <c r="G29" s="81">
        <f t="shared" si="2"/>
        <v>120255.84170503099</v>
      </c>
      <c r="H29" s="15"/>
    </row>
    <row r="30" spans="1:8" ht="15" customHeight="1" x14ac:dyDescent="0.2">
      <c r="A30" s="80" t="s">
        <v>37</v>
      </c>
      <c r="B30" s="3" t="s">
        <v>38</v>
      </c>
      <c r="C30" s="8">
        <f>Instruction!M30</f>
        <v>7704171.9149981886</v>
      </c>
      <c r="D30" s="8">
        <f>'Student &amp; Institutional Support'!N31</f>
        <v>4029408.1958386279</v>
      </c>
      <c r="E30" s="8">
        <f>Facilities!V31</f>
        <v>1506157.3194866795</v>
      </c>
      <c r="F30" s="81">
        <f t="shared" si="0"/>
        <v>13239737.430323496</v>
      </c>
      <c r="G30" s="81">
        <f t="shared" si="2"/>
        <v>463390.81006132241</v>
      </c>
      <c r="H30" s="15"/>
    </row>
    <row r="31" spans="1:8" ht="15" customHeight="1" x14ac:dyDescent="0.2">
      <c r="A31" s="80" t="s">
        <v>39</v>
      </c>
      <c r="B31" s="3" t="s">
        <v>202</v>
      </c>
      <c r="C31" s="8">
        <f>Instruction!M31</f>
        <v>5394066.71</v>
      </c>
      <c r="D31" s="8">
        <f>'Student &amp; Institutional Support'!N32</f>
        <v>3520824.1650419012</v>
      </c>
      <c r="E31" s="8">
        <f>Facilities!V32</f>
        <v>1334692.7300739088</v>
      </c>
      <c r="F31" s="81">
        <f t="shared" si="0"/>
        <v>10249583.60511581</v>
      </c>
      <c r="G31" s="81">
        <f t="shared" si="2"/>
        <v>358735.42617905338</v>
      </c>
      <c r="H31" s="15"/>
    </row>
    <row r="32" spans="1:8" ht="15" customHeight="1" x14ac:dyDescent="0.2">
      <c r="A32" s="80" t="s">
        <v>41</v>
      </c>
      <c r="B32" s="3" t="s">
        <v>206</v>
      </c>
      <c r="C32" s="8">
        <f>Instruction!M32</f>
        <v>8641577</v>
      </c>
      <c r="D32" s="8">
        <f>'Student &amp; Institutional Support'!N33</f>
        <v>4067808.4954724479</v>
      </c>
      <c r="E32" s="8">
        <f>Facilities!V33</f>
        <v>1750431.3228421398</v>
      </c>
      <c r="F32" s="81">
        <f t="shared" si="0"/>
        <v>14459816.818314588</v>
      </c>
      <c r="G32" s="81">
        <f t="shared" si="2"/>
        <v>506093.58864101063</v>
      </c>
      <c r="H32" s="15"/>
    </row>
    <row r="33" spans="1:8" ht="15" customHeight="1" x14ac:dyDescent="0.2">
      <c r="A33" s="80" t="s">
        <v>48</v>
      </c>
      <c r="B33" s="3" t="s">
        <v>78</v>
      </c>
      <c r="C33" s="8">
        <f>Instruction!M33</f>
        <v>9109690</v>
      </c>
      <c r="D33" s="8">
        <f>'Student &amp; Institutional Support'!N34</f>
        <v>4081617.8760511409</v>
      </c>
      <c r="E33" s="8">
        <f>Facilities!V34</f>
        <v>1019996.2169700664</v>
      </c>
      <c r="F33" s="81">
        <f t="shared" si="0"/>
        <v>14211304.093021207</v>
      </c>
      <c r="G33" s="81">
        <f>IF(F33*0.035&gt;70000,F33*0.035,0)</f>
        <v>497395.64325574227</v>
      </c>
      <c r="H33" s="15"/>
    </row>
    <row r="34" spans="1:8" ht="15" customHeight="1" x14ac:dyDescent="0.2">
      <c r="A34" s="80" t="s">
        <v>43</v>
      </c>
      <c r="B34" s="3" t="s">
        <v>171</v>
      </c>
      <c r="C34" s="8">
        <f>Instruction!M34</f>
        <v>6527266.6560652675</v>
      </c>
      <c r="D34" s="8">
        <f>'Student &amp; Institutional Support'!N35</f>
        <v>3556071.513317117</v>
      </c>
      <c r="E34" s="8">
        <f>Facilities!V35</f>
        <v>907136.83142670977</v>
      </c>
      <c r="F34" s="81">
        <f t="shared" si="0"/>
        <v>10990475.000809094</v>
      </c>
      <c r="G34" s="81">
        <f t="shared" si="2"/>
        <v>384666.62502831832</v>
      </c>
      <c r="H34" s="15"/>
    </row>
    <row r="35" spans="1:8" ht="15" customHeight="1" x14ac:dyDescent="0.2">
      <c r="A35" s="80" t="s">
        <v>44</v>
      </c>
      <c r="B35" s="3" t="s">
        <v>77</v>
      </c>
      <c r="C35" s="8">
        <f>Instruction!M35</f>
        <v>7993761.1200337512</v>
      </c>
      <c r="D35" s="8">
        <f>'Student &amp; Institutional Support'!N36</f>
        <v>6293323.3903303789</v>
      </c>
      <c r="E35" s="8">
        <f>Facilities!V36</f>
        <v>1718235.757658025</v>
      </c>
      <c r="F35" s="81">
        <f t="shared" si="0"/>
        <v>16005320.268022155</v>
      </c>
      <c r="G35" s="81">
        <f>IF(F35*0.06&gt;70000,F35*0.06,0)</f>
        <v>960319.21608132927</v>
      </c>
      <c r="H35" s="15"/>
    </row>
    <row r="36" spans="1:8" ht="15" customHeight="1" x14ac:dyDescent="0.2">
      <c r="A36" s="80" t="s">
        <v>45</v>
      </c>
      <c r="B36" s="3" t="s">
        <v>46</v>
      </c>
      <c r="C36" s="8">
        <f>Instruction!M36</f>
        <v>31220698.377134278</v>
      </c>
      <c r="D36" s="8">
        <f>'Student &amp; Institutional Support'!N37</f>
        <v>17479727.991208989</v>
      </c>
      <c r="E36" s="8">
        <f>Facilities!V37</f>
        <v>4790051.6055396851</v>
      </c>
      <c r="F36" s="81">
        <f t="shared" si="0"/>
        <v>53490477.973882951</v>
      </c>
      <c r="G36" s="81">
        <f>IF(F36*0.06&gt;70000,F36*0.06,0)</f>
        <v>3209428.6784329768</v>
      </c>
      <c r="H36" s="15"/>
    </row>
    <row r="37" spans="1:8" ht="15" customHeight="1" x14ac:dyDescent="0.2">
      <c r="A37" s="80" t="s">
        <v>47</v>
      </c>
      <c r="B37" s="3" t="s">
        <v>207</v>
      </c>
      <c r="C37" s="8">
        <f>Instruction!M37</f>
        <v>7261647</v>
      </c>
      <c r="D37" s="8">
        <f>'Student &amp; Institutional Support'!N38</f>
        <v>3435499.0109807006</v>
      </c>
      <c r="E37" s="8">
        <f>Facilities!V38</f>
        <v>847772.87070602144</v>
      </c>
      <c r="F37" s="81">
        <f t="shared" si="0"/>
        <v>11544918.881686723</v>
      </c>
      <c r="G37" s="81">
        <f>IF(F37*0.035&gt;70000,F37*0.035,0)</f>
        <v>404072.16085903533</v>
      </c>
      <c r="H37" s="15"/>
    </row>
    <row r="38" spans="1:8" ht="15" customHeight="1" x14ac:dyDescent="0.2">
      <c r="A38" s="80" t="s">
        <v>49</v>
      </c>
      <c r="B38" s="3" t="s">
        <v>50</v>
      </c>
      <c r="C38" s="8">
        <f>Instruction!M38</f>
        <v>18925125.140009951</v>
      </c>
      <c r="D38" s="8">
        <f>'Student &amp; Institutional Support'!N39</f>
        <v>10041286.308955006</v>
      </c>
      <c r="E38" s="8">
        <f>Facilities!V39</f>
        <v>2360655.508008312</v>
      </c>
      <c r="F38" s="81">
        <f t="shared" si="0"/>
        <v>31327066.95697327</v>
      </c>
      <c r="G38" s="81">
        <f>IF(F38*0.06&gt;70000,F38*0.06,0)</f>
        <v>1879624.0174183962</v>
      </c>
      <c r="H38" s="15"/>
    </row>
    <row r="39" spans="1:8" ht="15" customHeight="1" x14ac:dyDescent="0.2">
      <c r="G39" s="18"/>
    </row>
    <row r="40" spans="1:8" s="69" customFormat="1" ht="15" customHeight="1" x14ac:dyDescent="0.2">
      <c r="B40" s="69" t="s">
        <v>51</v>
      </c>
      <c r="C40" s="82">
        <f>SUM(C8:C39)</f>
        <v>316159509.45121825</v>
      </c>
      <c r="D40" s="82">
        <f>SUM(D8:D39)</f>
        <v>172780954.04977986</v>
      </c>
      <c r="E40" s="82">
        <f>SUM(E8:E39)</f>
        <v>47919766.806595832</v>
      </c>
      <c r="F40" s="82">
        <f>SUM(F8:F39)</f>
        <v>536860230.30759406</v>
      </c>
      <c r="G40" s="82">
        <f>SUM(G8:G39)</f>
        <v>24273048.819250967</v>
      </c>
    </row>
    <row r="41" spans="1:8" ht="12" customHeight="1" x14ac:dyDescent="0.2"/>
    <row r="42" spans="1:8" s="47" customFormat="1" ht="12" customHeight="1" x14ac:dyDescent="0.2">
      <c r="A42" s="16" t="str">
        <f>'FY2015 Detail'!B40</f>
        <v>MnSCU Finance Division</v>
      </c>
      <c r="F42" s="83"/>
    </row>
    <row r="43" spans="1:8" s="47" customFormat="1" ht="12" customHeight="1" x14ac:dyDescent="0.2">
      <c r="A43" s="16" t="str">
        <f>'FY2015 Detail'!B41</f>
        <v>s:\finance\bargain\FY17 allocation\Summary of FY2017 Institutional Allocation Draft</v>
      </c>
      <c r="F43" s="83"/>
    </row>
    <row r="44" spans="1:8" s="47" customFormat="1" ht="12" customHeight="1" x14ac:dyDescent="0.2">
      <c r="A44" s="16"/>
      <c r="F44" s="83"/>
    </row>
  </sheetData>
  <phoneticPr fontId="10" type="noConversion"/>
  <pageMargins left="0.75" right="0.4" top="0.49" bottom="0.18" header="0.5" footer="0.15"/>
  <pageSetup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45"/>
  <sheetViews>
    <sheetView zoomScale="80" workbookViewId="0">
      <selection activeCell="B9" sqref="B9:B39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14.85546875" customWidth="1"/>
    <col min="8" max="8" width="2.7109375" customWidth="1"/>
    <col min="9" max="9" width="21.42578125" style="11" customWidth="1"/>
  </cols>
  <sheetData>
    <row r="1" spans="1:9" ht="15" customHeight="1" x14ac:dyDescent="0.25">
      <c r="A1" s="42" t="s">
        <v>80</v>
      </c>
    </row>
    <row r="2" spans="1:9" ht="15" customHeight="1" x14ac:dyDescent="0.2">
      <c r="A2" s="4" t="s">
        <v>103</v>
      </c>
    </row>
    <row r="3" spans="1:9" ht="15" customHeight="1" x14ac:dyDescent="0.2">
      <c r="A3" s="4" t="s">
        <v>214</v>
      </c>
    </row>
    <row r="4" spans="1:9" ht="15" customHeight="1" x14ac:dyDescent="0.2">
      <c r="A4" t="s">
        <v>104</v>
      </c>
    </row>
    <row r="5" spans="1:9" ht="15" customHeight="1" x14ac:dyDescent="0.2">
      <c r="G5" s="34" t="s">
        <v>166</v>
      </c>
      <c r="I5" s="34" t="s">
        <v>167</v>
      </c>
    </row>
    <row r="6" spans="1:9" ht="15" customHeight="1" x14ac:dyDescent="0.2">
      <c r="C6" s="34" t="s">
        <v>89</v>
      </c>
      <c r="D6" s="34" t="s">
        <v>82</v>
      </c>
      <c r="E6" s="34" t="s">
        <v>83</v>
      </c>
      <c r="F6" s="34" t="s">
        <v>84</v>
      </c>
      <c r="G6" s="34" t="s">
        <v>85</v>
      </c>
      <c r="H6" s="34"/>
      <c r="I6" s="35" t="s">
        <v>86</v>
      </c>
    </row>
    <row r="7" spans="1:9" ht="60" customHeight="1" x14ac:dyDescent="0.2">
      <c r="A7" s="36" t="s">
        <v>0</v>
      </c>
      <c r="B7" s="37" t="s">
        <v>93</v>
      </c>
      <c r="C7" s="36" t="s">
        <v>68</v>
      </c>
      <c r="D7" s="33" t="s">
        <v>74</v>
      </c>
      <c r="E7" s="38" t="s">
        <v>70</v>
      </c>
      <c r="F7" s="39" t="s">
        <v>69</v>
      </c>
      <c r="G7" s="32" t="s">
        <v>105</v>
      </c>
      <c r="I7" s="32" t="s">
        <v>106</v>
      </c>
    </row>
    <row r="8" spans="1:9" ht="15" customHeight="1" x14ac:dyDescent="0.2">
      <c r="B8" s="40"/>
      <c r="D8" s="11"/>
      <c r="F8" s="11"/>
    </row>
    <row r="9" spans="1:9" ht="15" customHeight="1" x14ac:dyDescent="0.2">
      <c r="A9" s="45" t="s">
        <v>2</v>
      </c>
      <c r="B9" s="3" t="s">
        <v>199</v>
      </c>
      <c r="C9" s="8">
        <f>Instruction!M8</f>
        <v>5195040.666666667</v>
      </c>
      <c r="D9" s="8">
        <f>'Student &amp; Institutional Support'!N9</f>
        <v>2884266.259285456</v>
      </c>
      <c r="E9" s="8">
        <f>Library!G8</f>
        <v>318585.88475073496</v>
      </c>
      <c r="F9" s="8">
        <f>Facilities!V9</f>
        <v>1023146.924068873</v>
      </c>
      <c r="G9" s="8">
        <f t="shared" ref="G9:G39" si="0">SUM(C9:F9)</f>
        <v>9421039.7347717322</v>
      </c>
      <c r="I9" s="41">
        <f>+G9*0.0117</f>
        <v>110226.16489682927</v>
      </c>
    </row>
    <row r="10" spans="1:9" s="109" customFormat="1" ht="15" customHeight="1" x14ac:dyDescent="0.2">
      <c r="A10" s="45" t="s">
        <v>4</v>
      </c>
      <c r="B10" s="3" t="s">
        <v>188</v>
      </c>
      <c r="C10" s="158">
        <f>Instruction!M9</f>
        <v>13392637.666666666</v>
      </c>
      <c r="D10" s="158">
        <f>'Student &amp; Institutional Support'!N10</f>
        <v>7013454.5693440763</v>
      </c>
      <c r="E10" s="158">
        <f>Library!G9</f>
        <v>776816.40800603246</v>
      </c>
      <c r="F10" s="158">
        <f>Facilities!V10</f>
        <v>1788662.2784473277</v>
      </c>
      <c r="G10" s="158">
        <f t="shared" si="0"/>
        <v>22971570.922464099</v>
      </c>
      <c r="I10" s="197">
        <f>+G10*0.0117</f>
        <v>268767.37979282998</v>
      </c>
    </row>
    <row r="11" spans="1:9" ht="15" customHeight="1" x14ac:dyDescent="0.2">
      <c r="A11" s="45" t="s">
        <v>5</v>
      </c>
      <c r="B11" s="3" t="s">
        <v>160</v>
      </c>
      <c r="C11" s="8">
        <f>Instruction!M10</f>
        <v>11051626.379849007</v>
      </c>
      <c r="D11" s="8">
        <f>'Student &amp; Institutional Support'!N11</f>
        <v>6811917.1103164954</v>
      </c>
      <c r="E11" s="8">
        <f>Library!G10</f>
        <v>1191482.2319172348</v>
      </c>
      <c r="F11" s="8">
        <f>Facilities!V11</f>
        <v>1994493.7084550774</v>
      </c>
      <c r="G11" s="8">
        <f t="shared" si="0"/>
        <v>21049519.430537816</v>
      </c>
      <c r="I11" s="41">
        <f>G11*0.0262</f>
        <v>551497.40908009082</v>
      </c>
    </row>
    <row r="12" spans="1:9" ht="15" customHeight="1" x14ac:dyDescent="0.2">
      <c r="A12" s="45" t="s">
        <v>6</v>
      </c>
      <c r="B12" s="3" t="s">
        <v>7</v>
      </c>
      <c r="C12" s="8">
        <f>Instruction!M11</f>
        <v>6748350.8589756712</v>
      </c>
      <c r="D12" s="8">
        <f>'Student &amp; Institutional Support'!N12</f>
        <v>3964631.98264969</v>
      </c>
      <c r="E12" s="8">
        <f>Library!G11</f>
        <v>422622.96284667443</v>
      </c>
      <c r="F12" s="8">
        <f>Facilities!V12</f>
        <v>1361958.9539939077</v>
      </c>
      <c r="G12" s="8">
        <f t="shared" si="0"/>
        <v>12497564.758465942</v>
      </c>
      <c r="I12" s="41">
        <f t="shared" ref="I12:I18" si="1">+G12*0.0117</f>
        <v>146221.50767405154</v>
      </c>
    </row>
    <row r="13" spans="1:9" ht="15" customHeight="1" x14ac:dyDescent="0.2">
      <c r="A13" s="45" t="s">
        <v>8</v>
      </c>
      <c r="B13" s="3" t="s">
        <v>9</v>
      </c>
      <c r="C13" s="8">
        <f>Instruction!M12</f>
        <v>12888754.666666666</v>
      </c>
      <c r="D13" s="8">
        <f>'Student &amp; Institutional Support'!N13</f>
        <v>6292823.0338115608</v>
      </c>
      <c r="E13" s="8">
        <f>Library!G12</f>
        <v>722248.54850515525</v>
      </c>
      <c r="F13" s="8">
        <f>Facilities!V13</f>
        <v>1454095.1139547797</v>
      </c>
      <c r="G13" s="8">
        <f t="shared" si="0"/>
        <v>21357921.362938158</v>
      </c>
      <c r="I13" s="41">
        <f t="shared" si="1"/>
        <v>249887.67994637645</v>
      </c>
    </row>
    <row r="14" spans="1:9" ht="15" customHeight="1" x14ac:dyDescent="0.2">
      <c r="A14" s="45" t="s">
        <v>10</v>
      </c>
      <c r="B14" s="3" t="s">
        <v>11</v>
      </c>
      <c r="C14" s="8">
        <f>Instruction!M13</f>
        <v>5424647</v>
      </c>
      <c r="D14" s="8">
        <f>'Student &amp; Institutional Support'!N14</f>
        <v>2861718.7799051069</v>
      </c>
      <c r="E14" s="8">
        <f>Library!G13</f>
        <v>333017.26727985003</v>
      </c>
      <c r="F14" s="8">
        <f>Facilities!V14</f>
        <v>1228413.285233465</v>
      </c>
      <c r="G14" s="8">
        <f t="shared" si="0"/>
        <v>9847796.3324184231</v>
      </c>
      <c r="I14" s="41">
        <f t="shared" si="1"/>
        <v>115219.21708929555</v>
      </c>
    </row>
    <row r="15" spans="1:9" ht="15" customHeight="1" x14ac:dyDescent="0.2">
      <c r="A15" s="45" t="s">
        <v>12</v>
      </c>
      <c r="B15" s="3" t="s">
        <v>13</v>
      </c>
      <c r="C15" s="8">
        <f>Instruction!M14</f>
        <v>2269535.3333333335</v>
      </c>
      <c r="D15" s="8">
        <f>'Student &amp; Institutional Support'!N15</f>
        <v>1922587.2136475891</v>
      </c>
      <c r="E15" s="8">
        <f>Library!G14</f>
        <v>160131.65761008553</v>
      </c>
      <c r="F15" s="8">
        <f>Facilities!V15</f>
        <v>383067.67045009136</v>
      </c>
      <c r="G15" s="8">
        <f t="shared" si="0"/>
        <v>4735321.8750410993</v>
      </c>
      <c r="I15" s="41">
        <f t="shared" si="1"/>
        <v>55403.265937980861</v>
      </c>
    </row>
    <row r="16" spans="1:9" ht="15" customHeight="1" x14ac:dyDescent="0.2">
      <c r="A16" s="45" t="s">
        <v>14</v>
      </c>
      <c r="B16" s="3" t="s">
        <v>245</v>
      </c>
      <c r="C16" s="8">
        <f>Instruction!M15</f>
        <v>10476494</v>
      </c>
      <c r="D16" s="8">
        <f>'Student &amp; Institutional Support'!N16</f>
        <v>5255482.1645418536</v>
      </c>
      <c r="E16" s="8">
        <f>Library!G15</f>
        <v>626272.4053427527</v>
      </c>
      <c r="F16" s="8">
        <f>Facilities!V16</f>
        <v>2161521.1309653656</v>
      </c>
      <c r="G16" s="8">
        <f t="shared" si="0"/>
        <v>18519769.700849973</v>
      </c>
      <c r="I16" s="41">
        <f t="shared" si="1"/>
        <v>216681.30549994469</v>
      </c>
    </row>
    <row r="17" spans="1:9" ht="15" customHeight="1" x14ac:dyDescent="0.2">
      <c r="A17" s="45" t="s">
        <v>16</v>
      </c>
      <c r="B17" s="3" t="s">
        <v>246</v>
      </c>
      <c r="C17" s="8">
        <f>Instruction!M16</f>
        <v>7306370.333333333</v>
      </c>
      <c r="D17" s="8">
        <f>'Student &amp; Institutional Support'!N17</f>
        <v>4121311.0087213567</v>
      </c>
      <c r="E17" s="8">
        <f>Library!G16</f>
        <v>425121.0324796653</v>
      </c>
      <c r="F17" s="8">
        <f>Facilities!V17</f>
        <v>718633.8716500334</v>
      </c>
      <c r="G17" s="8">
        <f t="shared" si="0"/>
        <v>12571436.246184388</v>
      </c>
      <c r="I17" s="41">
        <f t="shared" si="1"/>
        <v>147085.80408035734</v>
      </c>
    </row>
    <row r="18" spans="1:9" ht="15" customHeight="1" x14ac:dyDescent="0.2">
      <c r="A18" s="45" t="s">
        <v>18</v>
      </c>
      <c r="B18" s="3" t="s">
        <v>19</v>
      </c>
      <c r="C18" s="8">
        <f>Instruction!M17</f>
        <v>7682271</v>
      </c>
      <c r="D18" s="8">
        <f>'Student &amp; Institutional Support'!N18</f>
        <v>4112726.2630064543</v>
      </c>
      <c r="E18" s="8">
        <f>Library!G17</f>
        <v>447946.81421985093</v>
      </c>
      <c r="F18" s="8">
        <f>Facilities!V18</f>
        <v>1003483.1432749999</v>
      </c>
      <c r="G18" s="8">
        <f t="shared" si="0"/>
        <v>13246427.220501306</v>
      </c>
      <c r="I18" s="41">
        <f t="shared" si="1"/>
        <v>154983.19847986527</v>
      </c>
    </row>
    <row r="19" spans="1:9" ht="15" customHeight="1" x14ac:dyDescent="0.2">
      <c r="A19" s="45" t="s">
        <v>20</v>
      </c>
      <c r="B19" s="3" t="s">
        <v>247</v>
      </c>
      <c r="C19" s="8">
        <f>Instruction!M18</f>
        <v>14749371.621681431</v>
      </c>
      <c r="D19" s="8">
        <f>'Student &amp; Institutional Support'!N19</f>
        <v>8055189.8450713567</v>
      </c>
      <c r="E19" s="8">
        <f>Library!G18</f>
        <v>1413409.4410224378</v>
      </c>
      <c r="F19" s="8">
        <f>Facilities!V19</f>
        <v>752262.55028783868</v>
      </c>
      <c r="G19" s="8">
        <f t="shared" si="0"/>
        <v>24970233.458063066</v>
      </c>
      <c r="I19" s="41">
        <f>G19*0.0262</f>
        <v>654220.11660125235</v>
      </c>
    </row>
    <row r="20" spans="1:9" ht="15" customHeight="1" x14ac:dyDescent="0.2">
      <c r="A20" s="45" t="s">
        <v>21</v>
      </c>
      <c r="B20" s="3" t="s">
        <v>200</v>
      </c>
      <c r="C20" s="8">
        <f>Instruction!M19</f>
        <v>12140089.666666666</v>
      </c>
      <c r="D20" s="8">
        <f>'Student &amp; Institutional Support'!N20</f>
        <v>6223587.3831509622</v>
      </c>
      <c r="E20" s="8">
        <f>Library!G19</f>
        <v>713866.03373114578</v>
      </c>
      <c r="F20" s="8">
        <f>Facilities!V20</f>
        <v>2032495.3425008198</v>
      </c>
      <c r="G20" s="8">
        <f t="shared" si="0"/>
        <v>21110038.426049598</v>
      </c>
      <c r="I20" s="41">
        <f>+G20*0.0117</f>
        <v>246987.44958478029</v>
      </c>
    </row>
    <row r="21" spans="1:9" ht="15" customHeight="1" x14ac:dyDescent="0.2">
      <c r="A21" s="45" t="s">
        <v>23</v>
      </c>
      <c r="B21" s="200" t="s">
        <v>79</v>
      </c>
      <c r="C21" s="8">
        <f>Instruction!M20</f>
        <v>4133808.6666666665</v>
      </c>
      <c r="D21" s="8">
        <f>'Student &amp; Institutional Support'!N21</f>
        <v>2810468.9726689332</v>
      </c>
      <c r="E21" s="8">
        <f>Library!G20</f>
        <v>267756.36670487042</v>
      </c>
      <c r="F21" s="8">
        <f>Facilities!V21</f>
        <v>705904.26651783928</v>
      </c>
      <c r="G21" s="8">
        <f t="shared" si="0"/>
        <v>7917938.2725583091</v>
      </c>
      <c r="I21" s="41">
        <f>+G21*0.0117</f>
        <v>92639.877788932223</v>
      </c>
    </row>
    <row r="22" spans="1:9" ht="15" customHeight="1" x14ac:dyDescent="0.2">
      <c r="A22" s="45" t="s">
        <v>155</v>
      </c>
      <c r="B22" s="3" t="s">
        <v>248</v>
      </c>
      <c r="C22" s="8">
        <f>Instruction!M21</f>
        <v>10798224.666666666</v>
      </c>
      <c r="D22" s="8">
        <f>'Student &amp; Institutional Support'!N22</f>
        <v>5779480.1559887081</v>
      </c>
      <c r="E22" s="8">
        <f>Library!G21</f>
        <v>636551.19258962292</v>
      </c>
      <c r="F22" s="8">
        <f>Facilities!V22</f>
        <v>1609472.108476707</v>
      </c>
      <c r="G22" s="8">
        <f>SUM(C22:F22)</f>
        <v>18823728.123721704</v>
      </c>
      <c r="I22" s="41">
        <f>+G22*0.0117</f>
        <v>220237.61904754394</v>
      </c>
    </row>
    <row r="23" spans="1:9" ht="15" customHeight="1" x14ac:dyDescent="0.2">
      <c r="A23" s="45" t="s">
        <v>28</v>
      </c>
      <c r="B23" s="3" t="s">
        <v>64</v>
      </c>
      <c r="C23" s="8">
        <f>Instruction!M22</f>
        <v>14914534.335218407</v>
      </c>
      <c r="D23" s="8">
        <f>'Student &amp; Institutional Support'!N23</f>
        <v>8620494.1765627246</v>
      </c>
      <c r="E23" s="8">
        <f>Library!G22</f>
        <v>1565048.7110811844</v>
      </c>
      <c r="F23" s="8">
        <f>Facilities!V23</f>
        <v>2549116.6729052737</v>
      </c>
      <c r="G23" s="8">
        <f t="shared" si="0"/>
        <v>27649193.895767592</v>
      </c>
      <c r="I23" s="41">
        <f>G23*0.0262</f>
        <v>724408.88006911089</v>
      </c>
    </row>
    <row r="24" spans="1:9" ht="15" customHeight="1" x14ac:dyDescent="0.2">
      <c r="A24" s="45" t="s">
        <v>24</v>
      </c>
      <c r="B24" s="3" t="s">
        <v>25</v>
      </c>
      <c r="C24" s="8">
        <f>Instruction!M23</f>
        <v>30967131.06232053</v>
      </c>
      <c r="D24" s="8">
        <f>'Student &amp; Institutional Support'!N24</f>
        <v>14665459.727731666</v>
      </c>
      <c r="E24" s="8">
        <f>Library!G23</f>
        <v>2939745.5244108625</v>
      </c>
      <c r="F24" s="8">
        <f>Facilities!V24</f>
        <v>3363167.9501288435</v>
      </c>
      <c r="G24" s="8">
        <f t="shared" si="0"/>
        <v>51935504.26459191</v>
      </c>
      <c r="I24" s="41">
        <f>G24*0.0262</f>
        <v>1360710.2117323081</v>
      </c>
    </row>
    <row r="25" spans="1:9" ht="15" customHeight="1" x14ac:dyDescent="0.2">
      <c r="A25" s="45" t="s">
        <v>26</v>
      </c>
      <c r="B25" s="3" t="s">
        <v>234</v>
      </c>
      <c r="C25" s="8">
        <f>Instruction!M24</f>
        <v>5501633.6931713419</v>
      </c>
      <c r="D25" s="8">
        <f>'Student &amp; Institutional Support'!N25</f>
        <v>3393666.0831440371</v>
      </c>
      <c r="E25" s="8">
        <f>Library!G24</f>
        <v>355683.21543525439</v>
      </c>
      <c r="F25" s="8">
        <f>Facilities!V25</f>
        <v>1267077.8075490305</v>
      </c>
      <c r="G25" s="8">
        <f t="shared" si="0"/>
        <v>10518060.799299665</v>
      </c>
      <c r="I25" s="41">
        <f t="shared" ref="I25:I35" si="2">+G25*0.0117</f>
        <v>123061.31135180609</v>
      </c>
    </row>
    <row r="26" spans="1:9" ht="15" customHeight="1" x14ac:dyDescent="0.2">
      <c r="A26" s="45" t="s">
        <v>29</v>
      </c>
      <c r="B26" s="3" t="s">
        <v>203</v>
      </c>
      <c r="C26" s="8">
        <f>Instruction!M25</f>
        <v>11980687.333333334</v>
      </c>
      <c r="D26" s="8">
        <f>'Student &amp; Institutional Support'!N26</f>
        <v>5981851.8173012463</v>
      </c>
      <c r="E26" s="8">
        <f>Library!G25</f>
        <v>667072.03403104772</v>
      </c>
      <c r="F26" s="8">
        <f>Facilities!V26</f>
        <v>1096661.8216810666</v>
      </c>
      <c r="G26" s="8">
        <f t="shared" si="0"/>
        <v>19726273.006346695</v>
      </c>
      <c r="I26" s="41">
        <f t="shared" si="2"/>
        <v>230797.39417425633</v>
      </c>
    </row>
    <row r="27" spans="1:9" ht="15" customHeight="1" x14ac:dyDescent="0.2">
      <c r="A27" s="45" t="s">
        <v>31</v>
      </c>
      <c r="B27" s="3" t="s">
        <v>204</v>
      </c>
      <c r="C27" s="8">
        <f>Instruction!M26</f>
        <v>8819383.333333334</v>
      </c>
      <c r="D27" s="8">
        <f>'Student &amp; Institutional Support'!N27</f>
        <v>4532083.7195887407</v>
      </c>
      <c r="E27" s="8">
        <f>Library!G26</f>
        <v>504368.84162845183</v>
      </c>
      <c r="F27" s="8">
        <f>Facilities!V27</f>
        <v>1059071.2793194053</v>
      </c>
      <c r="G27" s="8">
        <f t="shared" si="0"/>
        <v>14914907.17386993</v>
      </c>
      <c r="I27" s="41">
        <f t="shared" si="2"/>
        <v>174504.41393427819</v>
      </c>
    </row>
    <row r="28" spans="1:9" ht="15" customHeight="1" x14ac:dyDescent="0.2">
      <c r="A28" s="45" t="s">
        <v>172</v>
      </c>
      <c r="B28" s="3" t="s">
        <v>65</v>
      </c>
      <c r="C28" s="8">
        <f>Instruction!M27</f>
        <v>9054263</v>
      </c>
      <c r="D28" s="8">
        <f>'Student &amp; Institutional Support'!N28</f>
        <v>6082554.1846065894</v>
      </c>
      <c r="E28" s="8">
        <f>Library!G27</f>
        <v>623137.52690626518</v>
      </c>
      <c r="F28" s="8">
        <f>Facilities!V28</f>
        <v>2667112.1555724135</v>
      </c>
      <c r="G28" s="8">
        <f t="shared" si="0"/>
        <v>18427066.867085267</v>
      </c>
      <c r="I28" s="41">
        <f t="shared" si="2"/>
        <v>215596.68234489762</v>
      </c>
    </row>
    <row r="29" spans="1:9" ht="15" customHeight="1" x14ac:dyDescent="0.2">
      <c r="A29" s="45" t="s">
        <v>33</v>
      </c>
      <c r="B29" s="3" t="s">
        <v>205</v>
      </c>
      <c r="C29" s="8">
        <f>Instruction!M28</f>
        <v>6183339.5817604465</v>
      </c>
      <c r="D29" s="8">
        <f>'Student &amp; Institutional Support'!N29</f>
        <v>3393696.8321637702</v>
      </c>
      <c r="E29" s="8">
        <f>Library!G28</f>
        <v>378182.7110895699</v>
      </c>
      <c r="F29" s="8">
        <f>Facilities!V29</f>
        <v>1228183.9029206356</v>
      </c>
      <c r="G29" s="8">
        <f t="shared" si="0"/>
        <v>11183403.027934423</v>
      </c>
      <c r="I29" s="41">
        <f t="shared" si="2"/>
        <v>130845.81542683275</v>
      </c>
    </row>
    <row r="30" spans="1:9" ht="15" customHeight="1" x14ac:dyDescent="0.2">
      <c r="A30" s="45" t="s">
        <v>35</v>
      </c>
      <c r="B30" s="3" t="s">
        <v>201</v>
      </c>
      <c r="C30" s="8">
        <f>Instruction!M29</f>
        <v>1703310.6666666667</v>
      </c>
      <c r="D30" s="8">
        <f>'Student &amp; Institutional Support'!N30</f>
        <v>1495935.8193751581</v>
      </c>
      <c r="E30" s="8">
        <f>Library!G29</f>
        <v>120255.84170503099</v>
      </c>
      <c r="F30" s="8">
        <f>Facilities!V30</f>
        <v>236634.70553048886</v>
      </c>
      <c r="G30" s="8">
        <f t="shared" si="0"/>
        <v>3556137.0332773449</v>
      </c>
      <c r="I30" s="41">
        <f t="shared" si="2"/>
        <v>41606.803289344934</v>
      </c>
    </row>
    <row r="31" spans="1:9" ht="15" customHeight="1" x14ac:dyDescent="0.2">
      <c r="A31" s="45" t="s">
        <v>37</v>
      </c>
      <c r="B31" s="3" t="s">
        <v>38</v>
      </c>
      <c r="C31" s="8">
        <f>Instruction!M30</f>
        <v>7704171.9149981886</v>
      </c>
      <c r="D31" s="8">
        <f>'Student &amp; Institutional Support'!N31</f>
        <v>4029408.1958386279</v>
      </c>
      <c r="E31" s="8">
        <f>Library!G30</f>
        <v>463390.81006132241</v>
      </c>
      <c r="F31" s="8">
        <f>Facilities!V31</f>
        <v>1506157.3194866795</v>
      </c>
      <c r="G31" s="8">
        <f t="shared" si="0"/>
        <v>13703128.240384819</v>
      </c>
      <c r="I31" s="41">
        <f t="shared" si="2"/>
        <v>160326.60041250239</v>
      </c>
    </row>
    <row r="32" spans="1:9" ht="15" customHeight="1" x14ac:dyDescent="0.2">
      <c r="A32" s="45" t="s">
        <v>39</v>
      </c>
      <c r="B32" s="3" t="s">
        <v>202</v>
      </c>
      <c r="C32" s="8">
        <f>Instruction!M31</f>
        <v>5394066.71</v>
      </c>
      <c r="D32" s="8">
        <f>'Student &amp; Institutional Support'!N32</f>
        <v>3520824.1650419012</v>
      </c>
      <c r="E32" s="8">
        <f>Library!G31</f>
        <v>358735.42617905338</v>
      </c>
      <c r="F32" s="8">
        <f>Facilities!V32</f>
        <v>1334692.7300739088</v>
      </c>
      <c r="G32" s="8">
        <f t="shared" si="0"/>
        <v>10608319.031294864</v>
      </c>
      <c r="I32" s="41">
        <f t="shared" si="2"/>
        <v>124117.3326661499</v>
      </c>
    </row>
    <row r="33" spans="1:9" ht="15" customHeight="1" x14ac:dyDescent="0.2">
      <c r="A33" s="45" t="s">
        <v>41</v>
      </c>
      <c r="B33" s="3" t="s">
        <v>206</v>
      </c>
      <c r="C33" s="8">
        <f>Instruction!M32</f>
        <v>8641577</v>
      </c>
      <c r="D33" s="8">
        <f>'Student &amp; Institutional Support'!N33</f>
        <v>4067808.4954724479</v>
      </c>
      <c r="E33" s="8">
        <f>Library!G32</f>
        <v>506093.58864101063</v>
      </c>
      <c r="F33" s="8">
        <f>Facilities!V33</f>
        <v>1750431.3228421398</v>
      </c>
      <c r="G33" s="8">
        <f t="shared" si="0"/>
        <v>14965910.406955598</v>
      </c>
      <c r="I33" s="41">
        <f t="shared" si="2"/>
        <v>175101.15176138049</v>
      </c>
    </row>
    <row r="34" spans="1:9" ht="15" customHeight="1" x14ac:dyDescent="0.2">
      <c r="A34" s="45" t="s">
        <v>48</v>
      </c>
      <c r="B34" s="3" t="s">
        <v>78</v>
      </c>
      <c r="C34" s="8">
        <f>Instruction!M33</f>
        <v>9109690</v>
      </c>
      <c r="D34" s="8">
        <f>'Student &amp; Institutional Support'!N34</f>
        <v>4081617.8760511409</v>
      </c>
      <c r="E34" s="8">
        <f>Library!G33</f>
        <v>497395.64325574227</v>
      </c>
      <c r="F34" s="8">
        <f>Facilities!V34</f>
        <v>1019996.2169700664</v>
      </c>
      <c r="G34" s="8">
        <f t="shared" si="0"/>
        <v>14708699.736276949</v>
      </c>
      <c r="I34" s="41">
        <f>+G34*0.0117</f>
        <v>172091.78691444031</v>
      </c>
    </row>
    <row r="35" spans="1:9" ht="15" customHeight="1" x14ac:dyDescent="0.2">
      <c r="A35" s="45" t="s">
        <v>43</v>
      </c>
      <c r="B35" s="3" t="s">
        <v>171</v>
      </c>
      <c r="C35" s="8">
        <f>Instruction!M34</f>
        <v>6527266.6560652675</v>
      </c>
      <c r="D35" s="8">
        <f>'Student &amp; Institutional Support'!N35</f>
        <v>3556071.513317117</v>
      </c>
      <c r="E35" s="8">
        <f>Library!G34</f>
        <v>384666.62502831832</v>
      </c>
      <c r="F35" s="8">
        <f>Facilities!V35</f>
        <v>907136.83142670977</v>
      </c>
      <c r="G35" s="8">
        <f t="shared" si="0"/>
        <v>11375141.625837412</v>
      </c>
      <c r="I35" s="41">
        <f t="shared" si="2"/>
        <v>133089.15702229773</v>
      </c>
    </row>
    <row r="36" spans="1:9" ht="15" customHeight="1" x14ac:dyDescent="0.2">
      <c r="A36" s="45" t="s">
        <v>44</v>
      </c>
      <c r="B36" s="3" t="s">
        <v>77</v>
      </c>
      <c r="C36" s="8">
        <f>Instruction!M35</f>
        <v>7993761.1200337512</v>
      </c>
      <c r="D36" s="8">
        <f>'Student &amp; Institutional Support'!N36</f>
        <v>6293323.3903303789</v>
      </c>
      <c r="E36" s="8">
        <f>Library!G35</f>
        <v>960319.21608132927</v>
      </c>
      <c r="F36" s="8">
        <f>Facilities!V36</f>
        <v>1718235.757658025</v>
      </c>
      <c r="G36" s="8">
        <f t="shared" si="0"/>
        <v>16965639.484103482</v>
      </c>
      <c r="I36" s="41">
        <f>G36*0.0262</f>
        <v>444499.75448351126</v>
      </c>
    </row>
    <row r="37" spans="1:9" ht="15" customHeight="1" x14ac:dyDescent="0.2">
      <c r="A37" s="45" t="s">
        <v>45</v>
      </c>
      <c r="B37" s="3" t="s">
        <v>46</v>
      </c>
      <c r="C37" s="8">
        <f>Instruction!M36</f>
        <v>31220698.377134278</v>
      </c>
      <c r="D37" s="8">
        <f>'Student &amp; Institutional Support'!N37</f>
        <v>17479727.991208989</v>
      </c>
      <c r="E37" s="8">
        <f>Library!G36</f>
        <v>3209428.6784329768</v>
      </c>
      <c r="F37" s="8">
        <f>Facilities!V37</f>
        <v>4790051.6055396851</v>
      </c>
      <c r="G37" s="8">
        <f t="shared" si="0"/>
        <v>56699906.65231593</v>
      </c>
      <c r="I37" s="41">
        <f>G37*0.0262</f>
        <v>1485537.5542906774</v>
      </c>
    </row>
    <row r="38" spans="1:9" ht="15" customHeight="1" x14ac:dyDescent="0.2">
      <c r="A38" s="45" t="s">
        <v>47</v>
      </c>
      <c r="B38" s="3" t="s">
        <v>207</v>
      </c>
      <c r="C38" s="8">
        <f>Instruction!M37</f>
        <v>7261647</v>
      </c>
      <c r="D38" s="8">
        <f>'Student &amp; Institutional Support'!N38</f>
        <v>3435499.0109807006</v>
      </c>
      <c r="E38" s="8">
        <f>Library!G37</f>
        <v>404072.16085903533</v>
      </c>
      <c r="F38" s="8">
        <f>Facilities!V38</f>
        <v>847772.87070602144</v>
      </c>
      <c r="G38" s="8">
        <f t="shared" si="0"/>
        <v>11948991.042545758</v>
      </c>
      <c r="I38" s="41">
        <f>+G38*0.0117</f>
        <v>139803.19519778536</v>
      </c>
    </row>
    <row r="39" spans="1:9" ht="15" customHeight="1" x14ac:dyDescent="0.2">
      <c r="A39" s="45" t="s">
        <v>49</v>
      </c>
      <c r="B39" s="3" t="s">
        <v>50</v>
      </c>
      <c r="C39" s="8">
        <f>Instruction!M38</f>
        <v>18925125.140009951</v>
      </c>
      <c r="D39" s="8">
        <f>'Student &amp; Institutional Support'!N39</f>
        <v>10041286.308955006</v>
      </c>
      <c r="E39" s="8">
        <f>Library!G38</f>
        <v>1879624.0174183962</v>
      </c>
      <c r="F39" s="8">
        <f>Facilities!V39</f>
        <v>2360655.508008312</v>
      </c>
      <c r="G39" s="8">
        <f t="shared" si="0"/>
        <v>33206690.974391665</v>
      </c>
      <c r="I39" s="41">
        <f>G39*0.0262</f>
        <v>870015.30352906161</v>
      </c>
    </row>
    <row r="40" spans="1:9" ht="15" customHeight="1" x14ac:dyDescent="0.2">
      <c r="D40" s="11"/>
      <c r="F40" s="11"/>
    </row>
    <row r="41" spans="1:9" ht="15" customHeight="1" x14ac:dyDescent="0.2">
      <c r="B41" t="s">
        <v>51</v>
      </c>
      <c r="C41" s="46">
        <f>SUM(C9:C40)</f>
        <v>316159509.45121825</v>
      </c>
      <c r="D41" s="46">
        <f>SUM(D9:D40)</f>
        <v>172780954.04977986</v>
      </c>
      <c r="E41" s="46">
        <f>SUM(E9:E40)</f>
        <v>24273048.819250967</v>
      </c>
      <c r="F41" s="46">
        <f>SUM(F9:F40)</f>
        <v>47919766.806595832</v>
      </c>
      <c r="G41" s="46">
        <f>SUM(G9:G40)</f>
        <v>561133279.12684488</v>
      </c>
      <c r="I41" s="46">
        <f>SUM(I9:I40)</f>
        <v>9936171.3441007715</v>
      </c>
    </row>
    <row r="42" spans="1:9" ht="12" customHeight="1" x14ac:dyDescent="0.2"/>
    <row r="43" spans="1:9" ht="12" customHeight="1" x14ac:dyDescent="0.2">
      <c r="A43" s="16" t="str">
        <f>'FY2015 Detail'!B40</f>
        <v>MnSCU Finance Division</v>
      </c>
    </row>
    <row r="44" spans="1:9" ht="12" customHeight="1" x14ac:dyDescent="0.2">
      <c r="A44" s="16" t="str">
        <f>'FY2015 Detail'!B41</f>
        <v>s:\finance\bargain\FY17 allocation\Summary of FY2017 Institutional Allocation Draft</v>
      </c>
    </row>
    <row r="45" spans="1:9" ht="12" customHeight="1" x14ac:dyDescent="0.2">
      <c r="A45" s="16"/>
    </row>
  </sheetData>
  <phoneticPr fontId="10" type="noConversion"/>
  <pageMargins left="0.75" right="0.53" top="0.47" bottom="0.28999999999999998" header="0.5" footer="0.28999999999999998"/>
  <pageSetup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L44"/>
  <sheetViews>
    <sheetView zoomScale="80" workbookViewId="0">
      <selection activeCell="B8" sqref="B8:B38"/>
    </sheetView>
  </sheetViews>
  <sheetFormatPr defaultRowHeight="12" customHeight="1" x14ac:dyDescent="0.2"/>
  <cols>
    <col min="1" max="1" width="6.7109375" customWidth="1"/>
    <col min="2" max="2" width="32.7109375" customWidth="1"/>
    <col min="3" max="3" width="26" style="48" customWidth="1"/>
    <col min="4" max="4" width="8.42578125" style="48" customWidth="1"/>
    <col min="5" max="5" width="12.140625" customWidth="1"/>
    <col min="6" max="6" width="11.28515625" style="28" bestFit="1" customWidth="1"/>
    <col min="7" max="7" width="22.85546875" style="11" customWidth="1"/>
    <col min="8" max="8" width="12" bestFit="1" customWidth="1"/>
    <col min="9" max="9" width="14.42578125" customWidth="1"/>
    <col min="10" max="10" width="12.28515625" customWidth="1"/>
    <col min="12" max="12" width="9.5703125" bestFit="1" customWidth="1"/>
  </cols>
  <sheetData>
    <row r="1" spans="1:12" ht="15.75" customHeight="1" x14ac:dyDescent="0.25">
      <c r="A1" s="42" t="s">
        <v>80</v>
      </c>
    </row>
    <row r="2" spans="1:12" ht="15" customHeight="1" x14ac:dyDescent="0.2">
      <c r="A2" s="49" t="s">
        <v>107</v>
      </c>
    </row>
    <row r="3" spans="1:12" ht="15" customHeight="1" x14ac:dyDescent="0.2">
      <c r="A3" s="4" t="s">
        <v>217</v>
      </c>
    </row>
    <row r="4" spans="1:12" s="50" customFormat="1" ht="12" customHeight="1" x14ac:dyDescent="0.25">
      <c r="B4" s="51"/>
      <c r="C4" s="85"/>
      <c r="D4" s="85"/>
      <c r="E4" s="50" t="s">
        <v>184</v>
      </c>
      <c r="F4" s="97"/>
      <c r="G4" s="86" t="s">
        <v>108</v>
      </c>
      <c r="I4" s="50" t="s">
        <v>168</v>
      </c>
      <c r="J4" s="50" t="s">
        <v>109</v>
      </c>
    </row>
    <row r="5" spans="1:12" s="50" customFormat="1" ht="12" customHeight="1" x14ac:dyDescent="0.2">
      <c r="C5" s="85" t="s">
        <v>89</v>
      </c>
      <c r="D5" s="85" t="s">
        <v>82</v>
      </c>
      <c r="E5" s="50" t="s">
        <v>83</v>
      </c>
      <c r="F5" s="97" t="s">
        <v>84</v>
      </c>
      <c r="G5" s="86" t="s">
        <v>85</v>
      </c>
      <c r="H5" s="50" t="s">
        <v>86</v>
      </c>
      <c r="I5" s="50" t="s">
        <v>91</v>
      </c>
      <c r="J5" s="50" t="s">
        <v>92</v>
      </c>
    </row>
    <row r="6" spans="1:12" s="54" customFormat="1" ht="66.75" customHeight="1" x14ac:dyDescent="0.2">
      <c r="A6" s="36" t="s">
        <v>0</v>
      </c>
      <c r="B6" s="32" t="s">
        <v>93</v>
      </c>
      <c r="C6" s="52" t="s">
        <v>110</v>
      </c>
      <c r="D6" s="32" t="s">
        <v>111</v>
      </c>
      <c r="E6" s="32" t="s">
        <v>112</v>
      </c>
      <c r="F6" s="33" t="s">
        <v>174</v>
      </c>
      <c r="G6" s="53" t="s">
        <v>113</v>
      </c>
      <c r="H6" s="32" t="s">
        <v>114</v>
      </c>
      <c r="I6" s="32" t="s">
        <v>115</v>
      </c>
      <c r="J6" s="32" t="s">
        <v>72</v>
      </c>
      <c r="K6" s="54" t="s">
        <v>116</v>
      </c>
    </row>
    <row r="7" spans="1:12" s="59" customFormat="1" ht="15" customHeight="1" x14ac:dyDescent="0.2">
      <c r="A7" s="55"/>
      <c r="B7" s="56"/>
      <c r="C7" s="57"/>
      <c r="D7" s="56"/>
      <c r="E7" s="56"/>
      <c r="F7" s="98"/>
      <c r="G7" s="58"/>
      <c r="H7" s="56"/>
      <c r="I7" s="56"/>
      <c r="J7" s="56"/>
    </row>
    <row r="8" spans="1:12" ht="15" customHeight="1" x14ac:dyDescent="0.2">
      <c r="A8" s="45" t="s">
        <v>2</v>
      </c>
      <c r="B8" s="3" t="s">
        <v>199</v>
      </c>
      <c r="C8" s="60">
        <f>'Enrollment Detail'!F8</f>
        <v>8397892.8107028585</v>
      </c>
      <c r="D8" s="61">
        <f t="shared" ref="D8:D38" si="0">C8/$C$40</f>
        <v>1.6363350942838212E-2</v>
      </c>
      <c r="E8" s="62">
        <f>C8/'FY2015 Detail'!D6</f>
        <v>4104.5419407149848</v>
      </c>
      <c r="F8" s="99">
        <f>((-SUM('Enrollment Detail'!H8:I8))*0.5)*E8</f>
        <v>-146326.92018648921</v>
      </c>
      <c r="G8" s="63">
        <f t="shared" ref="G8:G38" si="1">+C8+F8</f>
        <v>8251565.8905163696</v>
      </c>
      <c r="H8" s="61">
        <f t="shared" ref="H8:H38" si="2">G8/$G$40</f>
        <v>1.674108879452308E-2</v>
      </c>
      <c r="I8" s="63">
        <f t="shared" ref="I8:I38" si="3">H8*-$F$40</f>
        <v>340187.08978598466</v>
      </c>
      <c r="J8" s="63">
        <f t="shared" ref="J8:J38" si="4">+F8+I8</f>
        <v>193860.16959949545</v>
      </c>
      <c r="L8" s="11"/>
    </row>
    <row r="9" spans="1:12" s="109" customFormat="1" ht="15" customHeight="1" x14ac:dyDescent="0.2">
      <c r="A9" s="10" t="s">
        <v>4</v>
      </c>
      <c r="B9" s="3" t="s">
        <v>188</v>
      </c>
      <c r="C9" s="271">
        <f>'Enrollment Detail'!F9</f>
        <v>21182908.644016773</v>
      </c>
      <c r="D9" s="272">
        <f t="shared" si="0"/>
        <v>4.1275040768604082E-2</v>
      </c>
      <c r="E9" s="273">
        <f>C9/'FY2015 Detail'!D7</f>
        <v>2973.8745814989152</v>
      </c>
      <c r="F9" s="273">
        <f>((-SUM('Enrollment Detail'!H9:I9))*0.5)*E9</f>
        <v>-410543.38597592525</v>
      </c>
      <c r="G9" s="274">
        <f t="shared" si="1"/>
        <v>20772365.258040845</v>
      </c>
      <c r="H9" s="272">
        <f t="shared" si="2"/>
        <v>4.2143759847667696E-2</v>
      </c>
      <c r="I9" s="274">
        <f t="shared" si="3"/>
        <v>856381.75576177821</v>
      </c>
      <c r="J9" s="274">
        <f t="shared" si="4"/>
        <v>445838.36978585296</v>
      </c>
      <c r="L9" s="110"/>
    </row>
    <row r="10" spans="1:12" ht="15" customHeight="1" x14ac:dyDescent="0.2">
      <c r="A10" s="10" t="s">
        <v>5</v>
      </c>
      <c r="B10" s="3" t="s">
        <v>160</v>
      </c>
      <c r="C10" s="60">
        <f>'Enrollment Detail'!F10</f>
        <v>19055025.722082738</v>
      </c>
      <c r="D10" s="61">
        <f t="shared" si="0"/>
        <v>3.7128846502763664E-2</v>
      </c>
      <c r="E10" s="62">
        <f>C10/'FY2015 Detail'!D8</f>
        <v>3847.1685285852491</v>
      </c>
      <c r="F10" s="99">
        <f>((-SUM('Enrollment Detail'!H10:I10))*0.5)*E10</f>
        <v>-849647.16953805229</v>
      </c>
      <c r="G10" s="63">
        <f t="shared" si="1"/>
        <v>18205378.552544687</v>
      </c>
      <c r="H10" s="61">
        <f t="shared" si="2"/>
        <v>3.6935760185389993E-2</v>
      </c>
      <c r="I10" s="63">
        <f t="shared" si="3"/>
        <v>750552.66241772636</v>
      </c>
      <c r="J10" s="63">
        <f t="shared" si="4"/>
        <v>-99094.507120325929</v>
      </c>
      <c r="L10" s="11"/>
    </row>
    <row r="11" spans="1:12" ht="15" customHeight="1" x14ac:dyDescent="0.2">
      <c r="A11" s="10" t="s">
        <v>6</v>
      </c>
      <c r="B11" s="3" t="s">
        <v>7</v>
      </c>
      <c r="C11" s="60">
        <f>'Enrollment Detail'!F11</f>
        <v>11135605.804472035</v>
      </c>
      <c r="D11" s="61">
        <f t="shared" si="0"/>
        <v>2.1697803228382915E-2</v>
      </c>
      <c r="E11" s="62">
        <f>C11/'FY2015 Detail'!D9</f>
        <v>3720.549884554639</v>
      </c>
      <c r="F11" s="99">
        <f>((-SUM('Enrollment Detail'!H11:I11))*0.5)*E11</f>
        <v>-196445.03390448494</v>
      </c>
      <c r="G11" s="63">
        <f t="shared" si="1"/>
        <v>10939160.770567549</v>
      </c>
      <c r="H11" s="61">
        <f t="shared" si="2"/>
        <v>2.2193782880424246E-2</v>
      </c>
      <c r="I11" s="63">
        <f t="shared" si="3"/>
        <v>450988.4931679928</v>
      </c>
      <c r="J11" s="63">
        <f t="shared" si="4"/>
        <v>254543.45926350786</v>
      </c>
      <c r="L11" s="11"/>
    </row>
    <row r="12" spans="1:12" ht="15" customHeight="1" x14ac:dyDescent="0.2">
      <c r="A12" s="10" t="s">
        <v>8</v>
      </c>
      <c r="B12" s="3" t="s">
        <v>9</v>
      </c>
      <c r="C12" s="60">
        <f>'Enrollment Detail'!F12</f>
        <v>19903826.248983379</v>
      </c>
      <c r="D12" s="61">
        <f t="shared" si="0"/>
        <v>3.878274007049768E-2</v>
      </c>
      <c r="E12" s="62">
        <f>C12/'FY2015 Detail'!D10</f>
        <v>3105.1210996853947</v>
      </c>
      <c r="F12" s="99">
        <f>((-SUM('Enrollment Detail'!H12:I12))*0.5)*E12</f>
        <v>-1071887.8036113982</v>
      </c>
      <c r="G12" s="63">
        <f t="shared" si="1"/>
        <v>18831938.445371982</v>
      </c>
      <c r="H12" s="61">
        <f t="shared" si="2"/>
        <v>3.8206948580427121E-2</v>
      </c>
      <c r="I12" s="63">
        <f t="shared" si="3"/>
        <v>776383.83062817587</v>
      </c>
      <c r="J12" s="63">
        <f t="shared" si="4"/>
        <v>-295503.97298322234</v>
      </c>
      <c r="L12" s="11"/>
    </row>
    <row r="13" spans="1:12" ht="15" customHeight="1" x14ac:dyDescent="0.2">
      <c r="A13" s="10" t="s">
        <v>10</v>
      </c>
      <c r="B13" s="3" t="s">
        <v>11</v>
      </c>
      <c r="C13" s="60">
        <f>'Enrollment Detail'!F13</f>
        <v>8619383.0471849572</v>
      </c>
      <c r="D13" s="61">
        <f t="shared" si="0"/>
        <v>1.6794926166726485E-2</v>
      </c>
      <c r="E13" s="62">
        <f>C13/'FY2015 Detail'!D11</f>
        <v>4165.9657067109511</v>
      </c>
      <c r="F13" s="99">
        <f>((-SUM('Enrollment Detail'!H13:I13))*0.5)*E13</f>
        <v>-403057.1821242845</v>
      </c>
      <c r="G13" s="63">
        <f t="shared" si="1"/>
        <v>8216325.8650606731</v>
      </c>
      <c r="H13" s="61">
        <f t="shared" si="2"/>
        <v>1.6669592498777187E-2</v>
      </c>
      <c r="I13" s="63">
        <f t="shared" si="3"/>
        <v>338734.25018404488</v>
      </c>
      <c r="J13" s="63">
        <f t="shared" si="4"/>
        <v>-64322.931940239621</v>
      </c>
      <c r="L13" s="11"/>
    </row>
    <row r="14" spans="1:12" ht="15" customHeight="1" x14ac:dyDescent="0.2">
      <c r="A14" s="10" t="s">
        <v>12</v>
      </c>
      <c r="B14" s="3" t="s">
        <v>13</v>
      </c>
      <c r="C14" s="60">
        <f>'Enrollment Detail'!F14</f>
        <v>4352254.2045910079</v>
      </c>
      <c r="D14" s="61">
        <f t="shared" si="0"/>
        <v>8.480396755171888E-3</v>
      </c>
      <c r="E14" s="62">
        <f>C14/'FY2015 Detail'!D12</f>
        <v>3558.6706497064661</v>
      </c>
      <c r="F14" s="99">
        <f>((-SUM('Enrollment Detail'!H14:I14))*0.5)*E14</f>
        <v>-177043.86482289669</v>
      </c>
      <c r="G14" s="63">
        <f t="shared" si="1"/>
        <v>4175210.3397681112</v>
      </c>
      <c r="H14" s="61">
        <f t="shared" si="2"/>
        <v>8.470824563638641E-3</v>
      </c>
      <c r="I14" s="63">
        <f t="shared" si="3"/>
        <v>172131.28678551732</v>
      </c>
      <c r="J14" s="63">
        <f t="shared" si="4"/>
        <v>-4912.5780373793677</v>
      </c>
      <c r="L14" s="11"/>
    </row>
    <row r="15" spans="1:12" ht="15" customHeight="1" x14ac:dyDescent="0.2">
      <c r="A15" s="10" t="s">
        <v>14</v>
      </c>
      <c r="B15" s="3" t="s">
        <v>245</v>
      </c>
      <c r="C15" s="60">
        <f>'Enrollment Detail'!F15</f>
        <v>16358248.569884606</v>
      </c>
      <c r="D15" s="61">
        <f t="shared" si="0"/>
        <v>3.1874157981399635E-2</v>
      </c>
      <c r="E15" s="62">
        <f>C15/'FY2015 Detail'!D13</f>
        <v>4165.5840514093725</v>
      </c>
      <c r="F15" s="99">
        <f>((-SUM('Enrollment Detail'!H15:I15))*0.5)*E15</f>
        <v>-741265.68194829777</v>
      </c>
      <c r="G15" s="63">
        <f t="shared" si="1"/>
        <v>15616982.887936307</v>
      </c>
      <c r="H15" s="61">
        <f t="shared" si="2"/>
        <v>3.1684325217589501E-2</v>
      </c>
      <c r="I15" s="63">
        <f t="shared" si="3"/>
        <v>643840.94247984176</v>
      </c>
      <c r="J15" s="63">
        <f t="shared" si="4"/>
        <v>-97424.739468456013</v>
      </c>
      <c r="L15" s="11"/>
    </row>
    <row r="16" spans="1:12" ht="15" customHeight="1" x14ac:dyDescent="0.2">
      <c r="A16" s="10" t="s">
        <v>16</v>
      </c>
      <c r="B16" s="3" t="s">
        <v>246</v>
      </c>
      <c r="C16" s="60">
        <f>'Enrollment Detail'!F16</f>
        <v>11852802.374534355</v>
      </c>
      <c r="D16" s="61">
        <f t="shared" si="0"/>
        <v>2.3095265596082198E-2</v>
      </c>
      <c r="E16" s="62">
        <f>C16/'FY2015 Detail'!D14</f>
        <v>3111.7884942332253</v>
      </c>
      <c r="F16" s="99">
        <f>((-SUM('Enrollment Detail'!H16:I16))*0.5)*E16</f>
        <v>-362523.35957817076</v>
      </c>
      <c r="G16" s="63">
        <f t="shared" si="1"/>
        <v>11490279.014956186</v>
      </c>
      <c r="H16" s="61">
        <f t="shared" si="2"/>
        <v>2.3311912407353887E-2</v>
      </c>
      <c r="I16" s="63">
        <f t="shared" si="3"/>
        <v>473709.43052389612</v>
      </c>
      <c r="J16" s="63">
        <f t="shared" si="4"/>
        <v>111186.07094572537</v>
      </c>
      <c r="L16" s="11"/>
    </row>
    <row r="17" spans="1:12" ht="15" customHeight="1" x14ac:dyDescent="0.2">
      <c r="A17" s="10" t="s">
        <v>18</v>
      </c>
      <c r="B17" s="3" t="s">
        <v>19</v>
      </c>
      <c r="C17" s="60">
        <f>'Enrollment Detail'!F17</f>
        <v>12242944.077226305</v>
      </c>
      <c r="D17" s="61">
        <f t="shared" si="0"/>
        <v>2.3855459342595441E-2</v>
      </c>
      <c r="E17" s="62">
        <f>C17/'FY2015 Detail'!D15</f>
        <v>3568.3311213134089</v>
      </c>
      <c r="F17" s="99">
        <f>((-SUM('Enrollment Detail'!H17:I17))*0.5)*E17</f>
        <v>-336136.79162772314</v>
      </c>
      <c r="G17" s="63">
        <f t="shared" si="1"/>
        <v>11906807.285598582</v>
      </c>
      <c r="H17" s="61">
        <f t="shared" si="2"/>
        <v>2.4156980707937637E-2</v>
      </c>
      <c r="I17" s="63">
        <f t="shared" si="3"/>
        <v>490881.63057458965</v>
      </c>
      <c r="J17" s="63">
        <f t="shared" si="4"/>
        <v>154744.83894686651</v>
      </c>
      <c r="L17" s="11"/>
    </row>
    <row r="18" spans="1:12" ht="15" customHeight="1" x14ac:dyDescent="0.2">
      <c r="A18" s="10" t="s">
        <v>20</v>
      </c>
      <c r="B18" s="3" t="s">
        <v>247</v>
      </c>
      <c r="C18" s="60">
        <f>'Enrollment Detail'!F18</f>
        <v>24217970.907775227</v>
      </c>
      <c r="D18" s="61">
        <f t="shared" si="0"/>
        <v>4.7188880117916755E-2</v>
      </c>
      <c r="E18" s="62">
        <f>C18/'FY2015 Detail'!D16</f>
        <v>4001.6475392887023</v>
      </c>
      <c r="F18" s="99">
        <f>((-SUM('Enrollment Detail'!H18:I18))*0.5)*E18</f>
        <v>-299123.15356183052</v>
      </c>
      <c r="G18" s="63">
        <f t="shared" si="1"/>
        <v>23918847.754213396</v>
      </c>
      <c r="H18" s="61">
        <f t="shared" si="2"/>
        <v>4.8527462475477769E-2</v>
      </c>
      <c r="I18" s="63">
        <f t="shared" si="3"/>
        <v>986101.70681563788</v>
      </c>
      <c r="J18" s="63">
        <f t="shared" si="4"/>
        <v>686978.55325380736</v>
      </c>
      <c r="L18" s="11"/>
    </row>
    <row r="19" spans="1:12" ht="15" customHeight="1" x14ac:dyDescent="0.2">
      <c r="A19" s="10" t="s">
        <v>21</v>
      </c>
      <c r="B19" s="3" t="s">
        <v>200</v>
      </c>
      <c r="C19" s="60">
        <f>'Enrollment Detail'!F19</f>
        <v>19077543.083548777</v>
      </c>
      <c r="D19" s="61">
        <f t="shared" si="0"/>
        <v>3.7172721733881878E-2</v>
      </c>
      <c r="E19" s="62">
        <f>C19/'FY2015 Detail'!D17</f>
        <v>3165.8717364003946</v>
      </c>
      <c r="F19" s="99">
        <f>((-SUM('Enrollment Detail'!H19:I19))*0.5)*E19</f>
        <v>-1295158.1273614014</v>
      </c>
      <c r="G19" s="63">
        <f t="shared" si="1"/>
        <v>17782384.956187375</v>
      </c>
      <c r="H19" s="61">
        <f t="shared" si="2"/>
        <v>3.6077574787601298E-2</v>
      </c>
      <c r="I19" s="63">
        <f t="shared" si="3"/>
        <v>733113.91655395238</v>
      </c>
      <c r="J19" s="63">
        <f t="shared" si="4"/>
        <v>-562044.21080744907</v>
      </c>
      <c r="L19" s="11"/>
    </row>
    <row r="20" spans="1:12" ht="15" customHeight="1" x14ac:dyDescent="0.2">
      <c r="A20" s="10" t="s">
        <v>23</v>
      </c>
      <c r="B20" s="200" t="s">
        <v>79</v>
      </c>
      <c r="C20" s="60">
        <f>'Enrollment Detail'!F20</f>
        <v>7212034.0060404697</v>
      </c>
      <c r="D20" s="61">
        <f t="shared" si="0"/>
        <v>1.4052697041110068E-2</v>
      </c>
      <c r="E20" s="62">
        <f>C20/'FY2015 Detail'!D18</f>
        <v>4960.1334291887688</v>
      </c>
      <c r="F20" s="99">
        <f>((-SUM('Enrollment Detail'!H20:I20))*0.5)*E20</f>
        <v>-399290.74104969588</v>
      </c>
      <c r="G20" s="63">
        <f t="shared" si="1"/>
        <v>6812743.264990774</v>
      </c>
      <c r="H20" s="61">
        <f t="shared" si="2"/>
        <v>1.3821951063201459E-2</v>
      </c>
      <c r="I20" s="63">
        <f t="shared" si="3"/>
        <v>280868.78727344767</v>
      </c>
      <c r="J20" s="63">
        <f t="shared" si="4"/>
        <v>-118421.95377624821</v>
      </c>
      <c r="L20" s="11"/>
    </row>
    <row r="21" spans="1:12" ht="15" customHeight="1" x14ac:dyDescent="0.2">
      <c r="A21" s="45" t="s">
        <v>155</v>
      </c>
      <c r="B21" s="3" t="s">
        <v>248</v>
      </c>
      <c r="C21" s="60">
        <f>'Enrollment Detail'!F21</f>
        <v>17214256.015244998</v>
      </c>
      <c r="D21" s="61">
        <f t="shared" si="0"/>
        <v>3.3542094278498212E-2</v>
      </c>
      <c r="E21" s="62">
        <f>C21/'FY2015 Detail'!D19</f>
        <v>3914.1100534890857</v>
      </c>
      <c r="F21" s="99">
        <f>((-SUM('Enrollment Detail'!H21:I21))*0.5)*E21</f>
        <v>-332503.64904389787</v>
      </c>
      <c r="G21" s="63">
        <f>+C21+F21</f>
        <v>16881752.366201099</v>
      </c>
      <c r="H21" s="61">
        <f t="shared" si="2"/>
        <v>3.4250337344399112E-2</v>
      </c>
      <c r="I21" s="63">
        <f t="shared" si="3"/>
        <v>695983.56047136022</v>
      </c>
      <c r="J21" s="63">
        <f>+F21+I21</f>
        <v>363479.91142746236</v>
      </c>
      <c r="L21" s="11"/>
    </row>
    <row r="22" spans="1:12" ht="15" customHeight="1" x14ac:dyDescent="0.2">
      <c r="A22" s="10" t="s">
        <v>28</v>
      </c>
      <c r="B22" s="3" t="s">
        <v>64</v>
      </c>
      <c r="C22" s="60">
        <f>'Enrollment Detail'!F22</f>
        <v>25100077.222862318</v>
      </c>
      <c r="D22" s="61">
        <f t="shared" si="0"/>
        <v>4.8907670239203838E-2</v>
      </c>
      <c r="E22" s="62">
        <f>C22/'FY2015 Detail'!D20</f>
        <v>4405.8411835812385</v>
      </c>
      <c r="F22" s="99">
        <f>((-SUM('Enrollment Detail'!H22:I22))*0.5)*E22</f>
        <v>-1367132.5192652585</v>
      </c>
      <c r="G22" s="63">
        <f t="shared" si="1"/>
        <v>23732944.703597061</v>
      </c>
      <c r="H22" s="61">
        <f t="shared" si="2"/>
        <v>4.8150295339102152E-2</v>
      </c>
      <c r="I22" s="63">
        <f t="shared" si="3"/>
        <v>978437.48664087174</v>
      </c>
      <c r="J22" s="63">
        <f t="shared" si="4"/>
        <v>-388695.03262438672</v>
      </c>
      <c r="L22" s="11"/>
    </row>
    <row r="23" spans="1:12" ht="15" customHeight="1" x14ac:dyDescent="0.2">
      <c r="A23" s="10" t="s">
        <v>24</v>
      </c>
      <c r="B23" s="3" t="s">
        <v>25</v>
      </c>
      <c r="C23" s="60">
        <f>'Enrollment Detail'!F23</f>
        <v>48572336.314463064</v>
      </c>
      <c r="D23" s="61">
        <f t="shared" si="0"/>
        <v>9.4643525839501988E-2</v>
      </c>
      <c r="E23" s="62">
        <f>C23/'FY2015 Detail'!D21</f>
        <v>3504.2447380753961</v>
      </c>
      <c r="F23" s="99">
        <f>((-SUM('Enrollment Detail'!H23:I23))*0.5)*E23</f>
        <v>-2420557.0528255799</v>
      </c>
      <c r="G23" s="63">
        <f t="shared" si="1"/>
        <v>46151779.261637487</v>
      </c>
      <c r="H23" s="61">
        <f t="shared" si="2"/>
        <v>9.363447434047599E-2</v>
      </c>
      <c r="I23" s="63">
        <f t="shared" si="3"/>
        <v>1902698.1888984372</v>
      </c>
      <c r="J23" s="63">
        <f t="shared" si="4"/>
        <v>-517858.86392714269</v>
      </c>
      <c r="L23" s="11"/>
    </row>
    <row r="24" spans="1:12" ht="15" customHeight="1" x14ac:dyDescent="0.2">
      <c r="A24" s="10" t="s">
        <v>26</v>
      </c>
      <c r="B24" s="3" t="s">
        <v>234</v>
      </c>
      <c r="C24" s="60">
        <f>'Enrollment Detail'!F24</f>
        <v>9250982.9917506352</v>
      </c>
      <c r="D24" s="61">
        <f t="shared" si="0"/>
        <v>1.8025602930692036E-2</v>
      </c>
      <c r="E24" s="62">
        <f>C24/'FY2015 Detail'!D22</f>
        <v>4748.9645748206549</v>
      </c>
      <c r="F24" s="99">
        <f>((-SUM('Enrollment Detail'!H24:I24))*0.5)*E24</f>
        <v>-334564.55429611512</v>
      </c>
      <c r="G24" s="63">
        <f t="shared" si="1"/>
        <v>8916418.4374545198</v>
      </c>
      <c r="H24" s="61">
        <f t="shared" si="2"/>
        <v>1.8089966773713509E-2</v>
      </c>
      <c r="I24" s="63">
        <f t="shared" si="3"/>
        <v>367596.94823959458</v>
      </c>
      <c r="J24" s="63">
        <f t="shared" si="4"/>
        <v>33032.393943479459</v>
      </c>
      <c r="L24" s="11"/>
    </row>
    <row r="25" spans="1:12" ht="15" customHeight="1" x14ac:dyDescent="0.2">
      <c r="A25" s="10" t="s">
        <v>29</v>
      </c>
      <c r="B25" s="3" t="s">
        <v>203</v>
      </c>
      <c r="C25" s="60">
        <f>'Enrollment Detail'!F25</f>
        <v>18629611.184665628</v>
      </c>
      <c r="D25" s="61">
        <f t="shared" si="0"/>
        <v>3.6299923399212085E-2</v>
      </c>
      <c r="E25" s="62">
        <f>C25/'FY2015 Detail'!D23</f>
        <v>2740.0516523997098</v>
      </c>
      <c r="F25" s="99">
        <f>((-SUM('Enrollment Detail'!H25:I25))*0.5)*E25</f>
        <v>-682957.87436062773</v>
      </c>
      <c r="G25" s="63">
        <f t="shared" si="1"/>
        <v>17946653.310304999</v>
      </c>
      <c r="H25" s="61">
        <f t="shared" si="2"/>
        <v>3.6410848633911364E-2</v>
      </c>
      <c r="I25" s="63">
        <f t="shared" si="3"/>
        <v>739886.20366559434</v>
      </c>
      <c r="J25" s="63">
        <f t="shared" si="4"/>
        <v>56928.32930496661</v>
      </c>
      <c r="L25" s="11"/>
    </row>
    <row r="26" spans="1:12" ht="15" customHeight="1" x14ac:dyDescent="0.2">
      <c r="A26" s="10" t="s">
        <v>31</v>
      </c>
      <c r="B26" s="3" t="s">
        <v>204</v>
      </c>
      <c r="C26" s="60">
        <f>'Enrollment Detail'!F26</f>
        <v>13855835.894550525</v>
      </c>
      <c r="D26" s="61">
        <f t="shared" si="0"/>
        <v>2.6998189957836455E-2</v>
      </c>
      <c r="E26" s="62">
        <f>C26/'FY2015 Detail'!D24</f>
        <v>2983.599460497529</v>
      </c>
      <c r="F26" s="99">
        <f>((-SUM('Enrollment Detail'!H26:I26))*0.5)*E26</f>
        <v>-567928.15730570466</v>
      </c>
      <c r="G26" s="63">
        <f t="shared" si="1"/>
        <v>13287907.73724482</v>
      </c>
      <c r="H26" s="61">
        <f t="shared" si="2"/>
        <v>2.6959009510948106E-2</v>
      </c>
      <c r="I26" s="63">
        <f t="shared" si="3"/>
        <v>547820.22254385788</v>
      </c>
      <c r="J26" s="63">
        <f t="shared" si="4"/>
        <v>-20107.934761846787</v>
      </c>
      <c r="L26" s="11"/>
    </row>
    <row r="27" spans="1:12" ht="15" customHeight="1" x14ac:dyDescent="0.2">
      <c r="A27" s="45" t="s">
        <v>172</v>
      </c>
      <c r="B27" s="3" t="s">
        <v>65</v>
      </c>
      <c r="C27" s="60">
        <f>'Enrollment Detail'!F27</f>
        <v>15759954.711512854</v>
      </c>
      <c r="D27" s="61">
        <f t="shared" si="0"/>
        <v>3.0708378351656736E-2</v>
      </c>
      <c r="E27" s="62">
        <f>C27/'FY2015 Detail'!D25</f>
        <v>4211.6394205004954</v>
      </c>
      <c r="F27" s="99">
        <f>((-SUM('Enrollment Detail'!H27:I27))*0.5)*E27</f>
        <v>-594683.48617466993</v>
      </c>
      <c r="G27" s="63">
        <f t="shared" si="1"/>
        <v>15165271.225338185</v>
      </c>
      <c r="H27" s="61">
        <f t="shared" si="2"/>
        <v>3.0767875521445394E-2</v>
      </c>
      <c r="I27" s="63">
        <f t="shared" si="3"/>
        <v>625218.23765502125</v>
      </c>
      <c r="J27" s="63">
        <f t="shared" si="4"/>
        <v>30534.751480351319</v>
      </c>
      <c r="L27" s="11"/>
    </row>
    <row r="28" spans="1:12" ht="15" customHeight="1" x14ac:dyDescent="0.2">
      <c r="A28" s="10" t="s">
        <v>33</v>
      </c>
      <c r="B28" s="3" t="s">
        <v>205</v>
      </c>
      <c r="C28" s="60">
        <f>'Enrollment Detail'!F28</f>
        <v>9955219.1250137873</v>
      </c>
      <c r="D28" s="61">
        <f t="shared" si="0"/>
        <v>1.9397811799627084E-2</v>
      </c>
      <c r="E28" s="62">
        <f>C28/'FY2015 Detail'!D26</f>
        <v>4330.2388538554969</v>
      </c>
      <c r="F28" s="99">
        <f>((-SUM('Enrollment Detail'!H28:I28))*0.5)*E28</f>
        <v>-293590.1942914027</v>
      </c>
      <c r="G28" s="63">
        <f t="shared" si="1"/>
        <v>9661628.9307223838</v>
      </c>
      <c r="H28" s="61">
        <f t="shared" si="2"/>
        <v>1.9601877992012823E-2</v>
      </c>
      <c r="I28" s="63">
        <f t="shared" si="3"/>
        <v>398319.72163150751</v>
      </c>
      <c r="J28" s="63">
        <f t="shared" si="4"/>
        <v>104729.5273401048</v>
      </c>
      <c r="L28" s="11"/>
    </row>
    <row r="29" spans="1:12" ht="15" customHeight="1" x14ac:dyDescent="0.2">
      <c r="A29" s="10" t="s">
        <v>35</v>
      </c>
      <c r="B29" s="3" t="s">
        <v>201</v>
      </c>
      <c r="C29" s="60">
        <f>'Enrollment Detail'!F29</f>
        <v>3319502.327746856</v>
      </c>
      <c r="D29" s="61">
        <f t="shared" si="0"/>
        <v>6.468072737873397E-3</v>
      </c>
      <c r="E29" s="62">
        <f>C29/'FY2015 Detail'!D27</f>
        <v>4591.2895266208243</v>
      </c>
      <c r="F29" s="99">
        <f>((-SUM('Enrollment Detail'!H29:I29))*0.5)*E29</f>
        <v>-22726.883156773081</v>
      </c>
      <c r="G29" s="63">
        <f t="shared" si="1"/>
        <v>3296775.4445900829</v>
      </c>
      <c r="H29" s="61">
        <f t="shared" si="2"/>
        <v>6.688622642754184E-3</v>
      </c>
      <c r="I29" s="63">
        <f t="shared" si="3"/>
        <v>135916.07448253839</v>
      </c>
      <c r="J29" s="63">
        <f t="shared" si="4"/>
        <v>113189.19132576531</v>
      </c>
      <c r="L29" s="11"/>
    </row>
    <row r="30" spans="1:12" ht="15" customHeight="1" x14ac:dyDescent="0.2">
      <c r="A30" s="10" t="s">
        <v>37</v>
      </c>
      <c r="B30" s="3" t="s">
        <v>38</v>
      </c>
      <c r="C30" s="60">
        <f>'Enrollment Detail'!F30</f>
        <v>12196970.920898139</v>
      </c>
      <c r="D30" s="61">
        <f t="shared" si="0"/>
        <v>2.3765880336539421E-2</v>
      </c>
      <c r="E30" s="62">
        <f>C30/'FY2015 Detail'!D28</f>
        <v>4264.6751471671814</v>
      </c>
      <c r="F30" s="99">
        <f>((-SUM('Enrollment Detail'!H30:I30))*0.5)*E30</f>
        <v>-283600.89728661755</v>
      </c>
      <c r="G30" s="63">
        <f t="shared" si="1"/>
        <v>11913370.023611521</v>
      </c>
      <c r="H30" s="61">
        <f t="shared" si="2"/>
        <v>2.4170295438895074E-2</v>
      </c>
      <c r="I30" s="63">
        <f t="shared" si="3"/>
        <v>491152.19240191689</v>
      </c>
      <c r="J30" s="63">
        <f t="shared" si="4"/>
        <v>207551.29511529935</v>
      </c>
      <c r="L30" s="11"/>
    </row>
    <row r="31" spans="1:12" ht="15" customHeight="1" x14ac:dyDescent="0.2">
      <c r="A31" s="10" t="s">
        <v>39</v>
      </c>
      <c r="B31" s="3" t="s">
        <v>202</v>
      </c>
      <c r="C31" s="60">
        <f>'Enrollment Detail'!F31</f>
        <v>9273626.3012209553</v>
      </c>
      <c r="D31" s="61">
        <f t="shared" si="0"/>
        <v>1.8069723572348467E-2</v>
      </c>
      <c r="E31" s="62">
        <f>C31/'FY2015 Detail'!D29</f>
        <v>4462.7653037636937</v>
      </c>
      <c r="F31" s="99">
        <f>((-SUM('Enrollment Detail'!H31:I31))*0.5)*E31</f>
        <v>-438466.6910947829</v>
      </c>
      <c r="G31" s="63">
        <f t="shared" si="1"/>
        <v>8835159.6101261731</v>
      </c>
      <c r="H31" s="61">
        <f t="shared" si="2"/>
        <v>1.792510579318057E-2</v>
      </c>
      <c r="I31" s="63">
        <f t="shared" si="3"/>
        <v>364246.89270407212</v>
      </c>
      <c r="J31" s="63">
        <f t="shared" si="4"/>
        <v>-74219.798390710785</v>
      </c>
      <c r="L31" s="11"/>
    </row>
    <row r="32" spans="1:12" ht="15" customHeight="1" x14ac:dyDescent="0.2">
      <c r="A32" s="10" t="s">
        <v>41</v>
      </c>
      <c r="B32" s="3" t="s">
        <v>206</v>
      </c>
      <c r="C32" s="60">
        <f>'Enrollment Detail'!F32</f>
        <v>13215479.084113458</v>
      </c>
      <c r="D32" s="61">
        <f t="shared" si="0"/>
        <v>2.5750450381491319E-2</v>
      </c>
      <c r="E32" s="62">
        <f>C32/'FY2015 Detail'!D30</f>
        <v>3196.7777174923704</v>
      </c>
      <c r="F32" s="99">
        <f>((-SUM('Enrollment Detail'!H32:I32))*0.5)*E32</f>
        <v>-846027.22293435596</v>
      </c>
      <c r="G32" s="63">
        <f t="shared" si="1"/>
        <v>12369451.861179102</v>
      </c>
      <c r="H32" s="61">
        <f t="shared" si="2"/>
        <v>2.509561151121336E-2</v>
      </c>
      <c r="I32" s="63">
        <f t="shared" si="3"/>
        <v>509955.06631517975</v>
      </c>
      <c r="J32" s="63">
        <f t="shared" si="4"/>
        <v>-336072.15661917621</v>
      </c>
      <c r="L32" s="11"/>
    </row>
    <row r="33" spans="1:12" ht="15" customHeight="1" x14ac:dyDescent="0.2">
      <c r="A33" s="10" t="s">
        <v>48</v>
      </c>
      <c r="B33" s="3" t="s">
        <v>78</v>
      </c>
      <c r="C33" s="60">
        <f>'Enrollment Detail'!F33</f>
        <v>13688703.519306883</v>
      </c>
      <c r="D33" s="61">
        <f t="shared" si="0"/>
        <v>2.6672531394233888E-2</v>
      </c>
      <c r="E33" s="62">
        <f>C33/'FY2015 Detail'!D31</f>
        <v>2948.880551337114</v>
      </c>
      <c r="F33" s="99">
        <f>((-SUM('Enrollment Detail'!H33:I33))*0.5)*E33</f>
        <v>-731322.37673160422</v>
      </c>
      <c r="G33" s="63">
        <f t="shared" si="1"/>
        <v>12957381.142575279</v>
      </c>
      <c r="H33" s="61">
        <f t="shared" si="2"/>
        <v>2.6288424661510774E-2</v>
      </c>
      <c r="I33" s="63">
        <f t="shared" si="3"/>
        <v>534193.61132492148</v>
      </c>
      <c r="J33" s="63">
        <f t="shared" si="4"/>
        <v>-197128.76540668274</v>
      </c>
      <c r="L33" s="11"/>
    </row>
    <row r="34" spans="1:12" ht="15" customHeight="1" x14ac:dyDescent="0.2">
      <c r="A34" s="10" t="s">
        <v>43</v>
      </c>
      <c r="B34" s="3" t="s">
        <v>171</v>
      </c>
      <c r="C34" s="60">
        <f>'Enrollment Detail'!F34</f>
        <v>10468004.794410702</v>
      </c>
      <c r="D34" s="61">
        <f t="shared" si="0"/>
        <v>2.0396978144797146E-2</v>
      </c>
      <c r="E34" s="62">
        <f>C34/'FY2015 Detail'!D32</f>
        <v>4204.0179897231737</v>
      </c>
      <c r="F34" s="99">
        <f>((-SUM('Enrollment Detail'!H34:I34))*0.5)*E34</f>
        <v>-206837.68509438017</v>
      </c>
      <c r="G34" s="63">
        <f t="shared" si="1"/>
        <v>10261167.109316321</v>
      </c>
      <c r="H34" s="61">
        <f t="shared" si="2"/>
        <v>2.0818243711770729E-2</v>
      </c>
      <c r="I34" s="63">
        <f t="shared" si="3"/>
        <v>423036.86634047359</v>
      </c>
      <c r="J34" s="63">
        <f t="shared" si="4"/>
        <v>216199.18124609342</v>
      </c>
      <c r="L34" s="11"/>
    </row>
    <row r="35" spans="1:12" ht="15" customHeight="1" x14ac:dyDescent="0.2">
      <c r="A35" s="10" t="s">
        <v>44</v>
      </c>
      <c r="B35" s="3" t="s">
        <v>77</v>
      </c>
      <c r="C35" s="60">
        <f>'Enrollment Detail'!F35</f>
        <v>15247403.726445459</v>
      </c>
      <c r="D35" s="61">
        <f t="shared" si="0"/>
        <v>2.9709669290490084E-2</v>
      </c>
      <c r="E35" s="62">
        <f>C35/'FY2015 Detail'!D33</f>
        <v>4144.4424371963732</v>
      </c>
      <c r="F35" s="99">
        <f>((-SUM('Enrollment Detail'!H35:I35))*0.5)*E35</f>
        <v>-710564.6558573182</v>
      </c>
      <c r="G35" s="63">
        <f t="shared" si="1"/>
        <v>14536839.07058814</v>
      </c>
      <c r="H35" s="61">
        <f t="shared" si="2"/>
        <v>2.9492888610646383E-2</v>
      </c>
      <c r="I35" s="63">
        <f t="shared" si="3"/>
        <v>599309.88175156072</v>
      </c>
      <c r="J35" s="63">
        <f t="shared" si="4"/>
        <v>-111254.77410575747</v>
      </c>
      <c r="L35" s="11"/>
    </row>
    <row r="36" spans="1:12" ht="15" customHeight="1" x14ac:dyDescent="0.2">
      <c r="A36" s="10" t="s">
        <v>45</v>
      </c>
      <c r="B36" s="3" t="s">
        <v>46</v>
      </c>
      <c r="C36" s="60">
        <f>'Enrollment Detail'!F36</f>
        <v>51909855.046776243</v>
      </c>
      <c r="D36" s="61">
        <f t="shared" si="0"/>
        <v>0.10114670366353118</v>
      </c>
      <c r="E36" s="62">
        <f>C36/'FY2015 Detail'!D34</f>
        <v>4380.2088470826293</v>
      </c>
      <c r="F36" s="99">
        <f>((-SUM('Enrollment Detail'!H36:I36))*0.5)*E36</f>
        <v>-2217042.7079508728</v>
      </c>
      <c r="G36" s="63">
        <f t="shared" si="1"/>
        <v>49692812.338825367</v>
      </c>
      <c r="H36" s="61">
        <f t="shared" si="2"/>
        <v>0.10081865610138004</v>
      </c>
      <c r="I36" s="63">
        <f t="shared" si="3"/>
        <v>2048684.266371191</v>
      </c>
      <c r="J36" s="63">
        <f t="shared" si="4"/>
        <v>-168358.44157968182</v>
      </c>
      <c r="L36" s="11"/>
    </row>
    <row r="37" spans="1:12" ht="15" customHeight="1" x14ac:dyDescent="0.2">
      <c r="A37" s="10" t="s">
        <v>47</v>
      </c>
      <c r="B37" s="3" t="s">
        <v>207</v>
      </c>
      <c r="C37" s="60">
        <f>'Enrollment Detail'!F37</f>
        <v>11101218.171839736</v>
      </c>
      <c r="D37" s="61">
        <f t="shared" si="0"/>
        <v>2.1630798693609791E-2</v>
      </c>
      <c r="E37" s="62">
        <f>C37/'FY2015 Detail'!D35</f>
        <v>3206.5910375042567</v>
      </c>
      <c r="F37" s="99">
        <f>((-SUM('Enrollment Detail'!H37:I37))*0.5)*E37</f>
        <v>-185340.96196774603</v>
      </c>
      <c r="G37" s="63">
        <f t="shared" si="1"/>
        <v>10915877.209871991</v>
      </c>
      <c r="H37" s="61">
        <f t="shared" si="2"/>
        <v>2.2146544312347732E-2</v>
      </c>
      <c r="I37" s="63">
        <f t="shared" si="3"/>
        <v>450028.58242402348</v>
      </c>
      <c r="J37" s="63">
        <f t="shared" si="4"/>
        <v>264687.62045627745</v>
      </c>
      <c r="L37" s="11"/>
    </row>
    <row r="38" spans="1:12" ht="15" customHeight="1" x14ac:dyDescent="0.2">
      <c r="A38" s="10" t="s">
        <v>49</v>
      </c>
      <c r="B38" s="3" t="s">
        <v>50</v>
      </c>
      <c r="C38" s="60">
        <f>'Enrollment Detail'!F38</f>
        <v>30846035.466383353</v>
      </c>
      <c r="D38" s="61">
        <f t="shared" si="0"/>
        <v>6.010370874088599E-2</v>
      </c>
      <c r="E38" s="62">
        <f>C38/'FY2015 Detail'!D36</f>
        <v>3785.2540761299979</v>
      </c>
      <c r="F38" s="99">
        <f>((-SUM('Enrollment Detail'!H38:I38))*0.5)*E38</f>
        <v>-1396190.9659805498</v>
      </c>
      <c r="G38" s="63">
        <f t="shared" si="1"/>
        <v>29449844.500402804</v>
      </c>
      <c r="H38" s="61">
        <f t="shared" si="2"/>
        <v>5.9748957750283202E-2</v>
      </c>
      <c r="I38" s="63">
        <f t="shared" si="3"/>
        <v>1214127.9640942039</v>
      </c>
      <c r="J38" s="63">
        <f t="shared" si="4"/>
        <v>-182063.00188634591</v>
      </c>
      <c r="L38" s="11"/>
    </row>
    <row r="39" spans="1:12" s="15" customFormat="1" ht="15" customHeight="1" x14ac:dyDescent="0.2">
      <c r="B39" s="64"/>
      <c r="C39" s="65"/>
      <c r="D39" s="66"/>
      <c r="E39" s="67"/>
      <c r="F39" s="100"/>
      <c r="G39" s="68"/>
      <c r="H39" s="66"/>
      <c r="I39" s="68"/>
      <c r="J39" s="68"/>
    </row>
    <row r="40" spans="1:12" s="69" customFormat="1" ht="15" customHeight="1" x14ac:dyDescent="0.2">
      <c r="B40" s="70" t="s">
        <v>117</v>
      </c>
      <c r="C40" s="71">
        <f>SUM(C8:C39)</f>
        <v>513213512.32024908</v>
      </c>
      <c r="D40" s="72">
        <f>SUM(D8:D39)</f>
        <v>0.99999999999999989</v>
      </c>
      <c r="E40" s="76">
        <f>C40/'FY2015 Detail'!D38</f>
        <v>3692.9274409251439</v>
      </c>
      <c r="F40" s="101">
        <f>SUM(F8:F39)</f>
        <v>-20320487.750908911</v>
      </c>
      <c r="G40" s="73">
        <f>SUM(G8:G39)</f>
        <v>492893024.56934017</v>
      </c>
      <c r="H40" s="74">
        <f>SUM(H8:H39)</f>
        <v>1</v>
      </c>
      <c r="I40" s="73">
        <f>SUM(I8:I39)</f>
        <v>20320487.750908911</v>
      </c>
      <c r="J40" s="73">
        <f>SUM(J8:J39)</f>
        <v>3.8417056202888489E-9</v>
      </c>
    </row>
    <row r="42" spans="1:12" ht="12" customHeight="1" x14ac:dyDescent="0.2">
      <c r="A42" s="16" t="str">
        <f>'FY2015 Detail'!B40</f>
        <v>MnSCU Finance Division</v>
      </c>
      <c r="B42" s="47"/>
      <c r="E42" s="75"/>
      <c r="F42" s="102"/>
    </row>
    <row r="43" spans="1:12" ht="12" customHeight="1" x14ac:dyDescent="0.2">
      <c r="A43" s="16" t="str">
        <f>'FY2015 Detail'!B41</f>
        <v>s:\finance\bargain\FY17 allocation\Summary of FY2017 Institutional Allocation Draft</v>
      </c>
      <c r="B43" s="47"/>
    </row>
    <row r="44" spans="1:12" ht="12" customHeight="1" x14ac:dyDescent="0.2">
      <c r="A44" s="16"/>
      <c r="B44" s="47"/>
    </row>
  </sheetData>
  <phoneticPr fontId="10" type="noConversion"/>
  <pageMargins left="0.7" right="0.53" top="0.52" bottom="0.2" header="0.5" footer="0.24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FY2015 Detail</vt:lpstr>
      <vt:lpstr>FY15 Detail</vt:lpstr>
      <vt:lpstr>Instruction</vt:lpstr>
      <vt:lpstr>Academic Support Per FYE</vt:lpstr>
      <vt:lpstr>Facilities</vt:lpstr>
      <vt:lpstr>Student &amp; Institutional Support</vt:lpstr>
      <vt:lpstr>Library</vt:lpstr>
      <vt:lpstr>Research</vt:lpstr>
      <vt:lpstr>Enrollment</vt:lpstr>
      <vt:lpstr>Enrollment Detail</vt:lpstr>
      <vt:lpstr>Revenue Offset</vt:lpstr>
      <vt:lpstr>'Enrollment Detail'!Print_Area</vt:lpstr>
      <vt:lpstr>'FY15 Detail'!Print_Area</vt:lpstr>
      <vt:lpstr>'FY2015 Detail'!Print_Area</vt:lpstr>
      <vt:lpstr>Instruction!Print_Area</vt:lpstr>
      <vt:lpstr>'Revenue Offset'!Print_Area</vt:lpstr>
      <vt:lpstr>'FY15 Detail'!Print_Titles</vt:lpstr>
      <vt:lpstr>'FY2015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2016-06-16T14:00:36Z</cp:lastPrinted>
  <dcterms:created xsi:type="dcterms:W3CDTF">2000-05-30T14:50:23Z</dcterms:created>
  <dcterms:modified xsi:type="dcterms:W3CDTF">2017-03-08T20:25:26Z</dcterms:modified>
</cp:coreProperties>
</file>