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4 Allocation\"/>
    </mc:Choice>
  </mc:AlternateContent>
  <bookViews>
    <workbookView xWindow="315" yWindow="690" windowWidth="11280" windowHeight="5550" tabRatio="602" firstSheet="2" activeTab="2"/>
  </bookViews>
  <sheets>
    <sheet name="FY2015 Detail" sheetId="11" state="hidden" r:id="rId1"/>
    <sheet name="Sheet1" sheetId="32" state="hidden" r:id="rId2"/>
    <sheet name="Summary" sheetId="24" r:id="rId3"/>
    <sheet name="Instruction" sheetId="17" r:id="rId4"/>
    <sheet name="Academic Support Per FYE" sheetId="20" r:id="rId5"/>
    <sheet name="Student&amp;Institutional Support" sheetId="26" r:id="rId6"/>
    <sheet name="Weighted differ concurrent" sheetId="31" r:id="rId7"/>
    <sheet name="Facilities" sheetId="15" r:id="rId8"/>
    <sheet name="Student Success" sheetId="27" r:id="rId9"/>
    <sheet name="3rd Term Expected" sheetId="34" r:id="rId10"/>
    <sheet name="Improvement Allocation" sheetId="35" r:id="rId11"/>
    <sheet name="Research" sheetId="13" r:id="rId12"/>
    <sheet name="Revenue Offset" sheetId="25" r:id="rId13"/>
  </sheets>
  <externalReferences>
    <externalReference r:id="rId14"/>
  </externalReferences>
  <definedNames>
    <definedName name="Demographic_Distribution_Analysis_Sum" localSheetId="6">#REF!</definedName>
    <definedName name="Demographic_Distribution_Analysis_Sum">#REF!</definedName>
    <definedName name="_xlnm.Print_Area" localSheetId="9">'3rd Term Expected'!$A$1:$J$47</definedName>
    <definedName name="_xlnm.Print_Area" localSheetId="0">'FY2015 Detail'!$B$1:$D$40</definedName>
    <definedName name="_xlnm.Print_Area" localSheetId="10">'Improvement Allocation'!$A$1:$H$47</definedName>
    <definedName name="_xlnm.Print_Area" localSheetId="3">Instruction!$A$1:$M$43</definedName>
    <definedName name="_xlnm.Print_Area" localSheetId="2">Summary!$B$1:$W$41</definedName>
    <definedName name="_xlnm.Print_Titles" localSheetId="0">'FY2015 Detail'!$B:$C</definedName>
    <definedName name="_xlnm.Print_Titles" localSheetId="2">Summary!$B:$C</definedName>
    <definedName name="vv" localSheetId="6">#REF!</definedName>
    <definedName name="vv">#REF!</definedName>
  </definedNames>
  <calcPr calcId="162913"/>
</workbook>
</file>

<file path=xl/calcChain.xml><?xml version="1.0" encoding="utf-8"?>
<calcChain xmlns="http://schemas.openxmlformats.org/spreadsheetml/2006/main">
  <c r="O41" i="24" l="1"/>
  <c r="K14" i="26" l="1"/>
  <c r="H11" i="24"/>
  <c r="I11" i="24"/>
  <c r="L37" i="24" l="1"/>
  <c r="J40" i="26"/>
  <c r="D11" i="24" l="1"/>
  <c r="M26" i="31" l="1"/>
  <c r="I46" i="34" l="1"/>
  <c r="G46" i="34"/>
  <c r="E46" i="34"/>
  <c r="D46" i="34"/>
  <c r="C46" i="34"/>
  <c r="B46" i="34"/>
  <c r="J45" i="34"/>
  <c r="I45" i="34"/>
  <c r="H45" i="34"/>
  <c r="G45" i="34" s="1"/>
  <c r="E45" i="34"/>
  <c r="D45" i="34"/>
  <c r="C45" i="34"/>
  <c r="B45" i="34"/>
  <c r="I37" i="34"/>
  <c r="H37" i="34"/>
  <c r="G37" i="34" s="1"/>
  <c r="E37" i="34"/>
  <c r="F37" i="34"/>
  <c r="D37" i="34"/>
  <c r="C37" i="34"/>
  <c r="B37" i="34"/>
  <c r="J17" i="34"/>
  <c r="I17" i="34"/>
  <c r="G17" i="34"/>
  <c r="H17" i="34"/>
  <c r="E17" i="34"/>
  <c r="F17" i="34"/>
  <c r="D17" i="34"/>
  <c r="V11" i="24" l="1"/>
  <c r="V8" i="24"/>
  <c r="V7" i="24"/>
  <c r="P12" i="26" l="1"/>
  <c r="P34" i="26" l="1"/>
  <c r="P31" i="26"/>
  <c r="P25" i="26"/>
  <c r="P22" i="26" l="1"/>
  <c r="P21" i="26"/>
  <c r="P20" i="26"/>
  <c r="C20" i="13" l="1"/>
  <c r="D20" i="13"/>
  <c r="D11" i="13"/>
  <c r="K37" i="31" l="1"/>
  <c r="G37" i="31"/>
  <c r="F37" i="31"/>
  <c r="E37" i="31"/>
  <c r="D37" i="31"/>
  <c r="C37" i="31"/>
  <c r="B37" i="31"/>
  <c r="F30" i="17" l="1"/>
  <c r="F11" i="17"/>
  <c r="C22" i="17"/>
  <c r="C30" i="17"/>
  <c r="C21" i="17"/>
  <c r="C17" i="17"/>
  <c r="C8" i="17"/>
  <c r="C45" i="17"/>
  <c r="I37" i="17"/>
  <c r="C37" i="17"/>
  <c r="C35" i="17"/>
  <c r="I23" i="17"/>
  <c r="C23" i="17"/>
  <c r="I22" i="17"/>
  <c r="C34" i="17"/>
  <c r="C10" i="17"/>
  <c r="C36" i="17"/>
  <c r="C33" i="17"/>
  <c r="C32" i="17"/>
  <c r="C31" i="17"/>
  <c r="C29" i="17"/>
  <c r="C28" i="17"/>
  <c r="C27" i="17"/>
  <c r="C26" i="17"/>
  <c r="C25" i="17"/>
  <c r="C24" i="17"/>
  <c r="C20" i="17"/>
  <c r="C19" i="17"/>
  <c r="C18" i="17"/>
  <c r="C16" i="17"/>
  <c r="C15" i="17"/>
  <c r="C14" i="17"/>
  <c r="C13" i="17"/>
  <c r="C12" i="17"/>
  <c r="C11" i="17"/>
  <c r="C9" i="17"/>
  <c r="F45" i="34" l="1"/>
  <c r="C17" i="34"/>
  <c r="B17" i="34"/>
  <c r="C31" i="15" l="1"/>
  <c r="C12" i="15"/>
  <c r="C11" i="15"/>
  <c r="W28" i="24" l="1"/>
  <c r="W17" i="24"/>
  <c r="W22" i="24"/>
  <c r="W19" i="24"/>
  <c r="W31" i="24"/>
  <c r="W27" i="24"/>
  <c r="W25" i="24"/>
  <c r="W18" i="24"/>
  <c r="W9" i="24"/>
  <c r="W34" i="24"/>
  <c r="W29" i="24"/>
  <c r="W26" i="24"/>
  <c r="W14" i="24"/>
  <c r="W12" i="24"/>
  <c r="W8" i="24"/>
  <c r="W7" i="24"/>
  <c r="W6" i="24"/>
  <c r="J28" i="17" l="1"/>
  <c r="J27" i="17"/>
  <c r="K27" i="17" s="1"/>
  <c r="J6" i="34" l="1"/>
  <c r="C7" i="27" s="1"/>
  <c r="J7" i="34"/>
  <c r="C8" i="27" s="1"/>
  <c r="J8" i="34"/>
  <c r="J9" i="34"/>
  <c r="C10" i="27" s="1"/>
  <c r="J10" i="34"/>
  <c r="C11" i="27" s="1"/>
  <c r="J11" i="34"/>
  <c r="C12" i="27" s="1"/>
  <c r="J12" i="34"/>
  <c r="C13" i="27" s="1"/>
  <c r="J13" i="34"/>
  <c r="C14" i="27" s="1"/>
  <c r="J14" i="34"/>
  <c r="J15" i="34"/>
  <c r="C15" i="27" s="1"/>
  <c r="J16" i="34"/>
  <c r="C17" i="27" s="1"/>
  <c r="J23" i="34"/>
  <c r="C19" i="27" s="1"/>
  <c r="J24" i="34"/>
  <c r="C20" i="27" s="1"/>
  <c r="J25" i="34"/>
  <c r="C23" i="27" s="1"/>
  <c r="J26" i="34"/>
  <c r="C24" i="27" s="1"/>
  <c r="J27" i="34"/>
  <c r="C25" i="27" s="1"/>
  <c r="J18" i="34"/>
  <c r="J19" i="34"/>
  <c r="J20" i="34"/>
  <c r="J21" i="34"/>
  <c r="J22" i="34"/>
  <c r="V37" i="24" l="1"/>
  <c r="H46" i="34" l="1"/>
  <c r="F46" i="34"/>
  <c r="C34" i="15" l="1"/>
  <c r="C14" i="15"/>
  <c r="J20" i="17" l="1"/>
  <c r="J18" i="17"/>
  <c r="J17" i="17"/>
  <c r="J16" i="17"/>
  <c r="J15" i="17"/>
  <c r="J13" i="17"/>
  <c r="J12" i="17"/>
  <c r="J11" i="17"/>
  <c r="J10" i="17"/>
  <c r="J9" i="17"/>
  <c r="J8" i="17"/>
  <c r="J37" i="17" l="1"/>
  <c r="J36" i="17"/>
  <c r="J35" i="17"/>
  <c r="J34" i="17"/>
  <c r="J33" i="17"/>
  <c r="J32" i="17"/>
  <c r="J31" i="17"/>
  <c r="J30" i="17"/>
  <c r="J29" i="17"/>
  <c r="J19" i="17"/>
  <c r="J26" i="17"/>
  <c r="J25" i="17"/>
  <c r="J24" i="17"/>
  <c r="J23" i="17"/>
  <c r="J22" i="17"/>
  <c r="J21" i="17"/>
  <c r="J14" i="17"/>
  <c r="D39" i="17" l="1"/>
  <c r="J44" i="34" l="1"/>
  <c r="C36" i="27" s="1"/>
  <c r="J43" i="34"/>
  <c r="C33" i="27" s="1"/>
  <c r="J42" i="34"/>
  <c r="C34" i="27" s="1"/>
  <c r="J41" i="34"/>
  <c r="C21" i="27" s="1"/>
  <c r="J40" i="34"/>
  <c r="C22" i="27" s="1"/>
  <c r="J39" i="34"/>
  <c r="C16" i="27" s="1"/>
  <c r="J38" i="34"/>
  <c r="C18" i="27"/>
  <c r="J36" i="34"/>
  <c r="C32" i="27" s="1"/>
  <c r="J35" i="34"/>
  <c r="C31" i="27" s="1"/>
  <c r="J34" i="34"/>
  <c r="C35" i="27" s="1"/>
  <c r="J33" i="34"/>
  <c r="C30" i="27" s="1"/>
  <c r="J32" i="34"/>
  <c r="C29" i="27" s="1"/>
  <c r="J31" i="34"/>
  <c r="C28" i="27" s="1"/>
  <c r="J30" i="34"/>
  <c r="C27" i="27" s="1"/>
  <c r="J29" i="34"/>
  <c r="C9" i="27" s="1"/>
  <c r="J28" i="34"/>
  <c r="C26" i="27" s="1"/>
  <c r="J37" i="34" l="1"/>
  <c r="D39" i="25"/>
  <c r="U37" i="24" l="1"/>
  <c r="C16" i="15"/>
  <c r="D40" i="13"/>
  <c r="H44" i="35"/>
  <c r="D36" i="27" s="1"/>
  <c r="E36" i="27" s="1"/>
  <c r="H35" i="24" s="1"/>
  <c r="H43" i="35"/>
  <c r="D33" i="27" s="1"/>
  <c r="H42" i="35"/>
  <c r="D34" i="27" s="1"/>
  <c r="H41" i="35"/>
  <c r="D21" i="27" s="1"/>
  <c r="H40" i="35"/>
  <c r="D22" i="27" s="1"/>
  <c r="H39" i="35"/>
  <c r="D16" i="27" s="1"/>
  <c r="E16" i="27" s="1"/>
  <c r="H15" i="24" s="1"/>
  <c r="H38" i="35"/>
  <c r="H36" i="35"/>
  <c r="D32" i="27" s="1"/>
  <c r="H35" i="35"/>
  <c r="D31" i="27" s="1"/>
  <c r="H34" i="35"/>
  <c r="D35" i="27" s="1"/>
  <c r="H33" i="35"/>
  <c r="D30" i="27" s="1"/>
  <c r="H32" i="35"/>
  <c r="D29" i="27" s="1"/>
  <c r="H31" i="35"/>
  <c r="D28" i="27" s="1"/>
  <c r="H30" i="35"/>
  <c r="D27" i="27" s="1"/>
  <c r="H29" i="35"/>
  <c r="H28" i="35"/>
  <c r="D26" i="27" s="1"/>
  <c r="H22" i="35"/>
  <c r="H21" i="35"/>
  <c r="H20" i="35"/>
  <c r="H27" i="35"/>
  <c r="D25" i="27" s="1"/>
  <c r="H26" i="35"/>
  <c r="D24" i="27" s="1"/>
  <c r="H25" i="35"/>
  <c r="D23" i="27" s="1"/>
  <c r="H24" i="35"/>
  <c r="D20" i="27" s="1"/>
  <c r="H23" i="35"/>
  <c r="D19" i="27" s="1"/>
  <c r="H16" i="35"/>
  <c r="D17" i="27" s="1"/>
  <c r="H15" i="35"/>
  <c r="D15" i="27" s="1"/>
  <c r="H14" i="35"/>
  <c r="H13" i="35"/>
  <c r="D14" i="27" s="1"/>
  <c r="H12" i="35"/>
  <c r="D13" i="27" s="1"/>
  <c r="H11" i="35"/>
  <c r="H10" i="35"/>
  <c r="D11" i="27" s="1"/>
  <c r="H9" i="35"/>
  <c r="D10" i="27" s="1"/>
  <c r="H8" i="35"/>
  <c r="H7" i="35"/>
  <c r="H6" i="35"/>
  <c r="H19" i="35"/>
  <c r="J46" i="34"/>
  <c r="C30" i="15"/>
  <c r="C28" i="15"/>
  <c r="D28" i="15" s="1"/>
  <c r="F28" i="15" s="1"/>
  <c r="C22" i="15"/>
  <c r="K6" i="31"/>
  <c r="W37" i="24"/>
  <c r="G47" i="31"/>
  <c r="F47" i="31"/>
  <c r="E47" i="31"/>
  <c r="D47" i="31"/>
  <c r="C47" i="31"/>
  <c r="B47" i="31"/>
  <c r="K46" i="31"/>
  <c r="H46" i="31"/>
  <c r="J46" i="31" s="1"/>
  <c r="L46" i="31" s="1"/>
  <c r="K45" i="31"/>
  <c r="H45" i="31"/>
  <c r="J45" i="31" s="1"/>
  <c r="K44" i="31"/>
  <c r="H44" i="31"/>
  <c r="J44" i="31" s="1"/>
  <c r="K43" i="31"/>
  <c r="H43" i="31"/>
  <c r="J43" i="31" s="1"/>
  <c r="L43" i="31" s="1"/>
  <c r="K42" i="31"/>
  <c r="H42" i="31"/>
  <c r="J42" i="31" s="1"/>
  <c r="K41" i="31"/>
  <c r="H41" i="31"/>
  <c r="J41" i="31" s="1"/>
  <c r="K40" i="31"/>
  <c r="H40" i="31"/>
  <c r="J40" i="31" s="1"/>
  <c r="K36" i="31"/>
  <c r="H36" i="31"/>
  <c r="J36" i="31" s="1"/>
  <c r="K35" i="31"/>
  <c r="H35" i="31"/>
  <c r="J35" i="31" s="1"/>
  <c r="K34" i="31"/>
  <c r="H34" i="31"/>
  <c r="J34" i="31" s="1"/>
  <c r="K33" i="31"/>
  <c r="H33" i="31"/>
  <c r="J33" i="31" s="1"/>
  <c r="K32" i="31"/>
  <c r="H32" i="31"/>
  <c r="J32" i="31" s="1"/>
  <c r="K31" i="31"/>
  <c r="H31" i="31"/>
  <c r="J31" i="31" s="1"/>
  <c r="K30" i="31"/>
  <c r="H30" i="31"/>
  <c r="J30" i="31" s="1"/>
  <c r="K29" i="31"/>
  <c r="H29" i="31"/>
  <c r="J29" i="31" s="1"/>
  <c r="K28" i="31"/>
  <c r="H28" i="31"/>
  <c r="J28" i="31" s="1"/>
  <c r="K22" i="31"/>
  <c r="H22" i="31"/>
  <c r="J22" i="31" s="1"/>
  <c r="K21" i="31"/>
  <c r="H21" i="31"/>
  <c r="J21" i="31" s="1"/>
  <c r="K20" i="31"/>
  <c r="H20" i="31"/>
  <c r="J20" i="31" s="1"/>
  <c r="K19" i="31"/>
  <c r="H19" i="31"/>
  <c r="J19" i="31" s="1"/>
  <c r="K18" i="31"/>
  <c r="H18" i="31"/>
  <c r="J18" i="31" s="1"/>
  <c r="K17" i="31"/>
  <c r="H17" i="31"/>
  <c r="J17" i="31" s="1"/>
  <c r="K27" i="31"/>
  <c r="H27" i="31"/>
  <c r="J27" i="31" s="1"/>
  <c r="K26" i="31"/>
  <c r="H26" i="31"/>
  <c r="J26" i="31" s="1"/>
  <c r="K25" i="31"/>
  <c r="H25" i="31"/>
  <c r="J25" i="31" s="1"/>
  <c r="K24" i="31"/>
  <c r="H24" i="31"/>
  <c r="J24" i="31" s="1"/>
  <c r="K23" i="31"/>
  <c r="H23" i="31"/>
  <c r="J23" i="31" s="1"/>
  <c r="K16" i="31"/>
  <c r="H16" i="31"/>
  <c r="J16" i="31" s="1"/>
  <c r="K15" i="31"/>
  <c r="H15" i="31"/>
  <c r="J15" i="31" s="1"/>
  <c r="K14" i="31"/>
  <c r="H14" i="31"/>
  <c r="J14" i="31" s="1"/>
  <c r="K13" i="31"/>
  <c r="H13" i="31"/>
  <c r="J13" i="31" s="1"/>
  <c r="K12" i="31"/>
  <c r="H12" i="31"/>
  <c r="J12" i="31" s="1"/>
  <c r="K11" i="31"/>
  <c r="H11" i="31"/>
  <c r="J11" i="31" s="1"/>
  <c r="K10" i="31"/>
  <c r="H10" i="31"/>
  <c r="J10" i="31" s="1"/>
  <c r="K9" i="31"/>
  <c r="H9" i="31"/>
  <c r="J9" i="31" s="1"/>
  <c r="K8" i="31"/>
  <c r="H8" i="31"/>
  <c r="J8" i="31" s="1"/>
  <c r="K7" i="31"/>
  <c r="H7" i="31"/>
  <c r="J7" i="31" s="1"/>
  <c r="H6" i="31"/>
  <c r="C21" i="15"/>
  <c r="D21" i="15" s="1"/>
  <c r="F21" i="15" s="1"/>
  <c r="C38" i="26"/>
  <c r="F38" i="26" s="1"/>
  <c r="C37" i="26"/>
  <c r="F37" i="26" s="1"/>
  <c r="C36" i="26"/>
  <c r="F36" i="26" s="1"/>
  <c r="C35" i="26"/>
  <c r="F35" i="26" s="1"/>
  <c r="C34" i="26"/>
  <c r="F34" i="26" s="1"/>
  <c r="C33" i="26"/>
  <c r="F33" i="26" s="1"/>
  <c r="C32" i="26"/>
  <c r="F32" i="26" s="1"/>
  <c r="C31" i="26"/>
  <c r="F31" i="26" s="1"/>
  <c r="C30" i="26"/>
  <c r="F30" i="26" s="1"/>
  <c r="C29" i="26"/>
  <c r="F29" i="26" s="1"/>
  <c r="C28" i="26"/>
  <c r="F28" i="26" s="1"/>
  <c r="C20" i="26"/>
  <c r="F20" i="26" s="1"/>
  <c r="C27" i="26"/>
  <c r="F27" i="26" s="1"/>
  <c r="C26" i="26"/>
  <c r="F26" i="26" s="1"/>
  <c r="C25" i="26"/>
  <c r="F25" i="26" s="1"/>
  <c r="C24" i="26"/>
  <c r="F24" i="26" s="1"/>
  <c r="C23" i="26"/>
  <c r="F23" i="26" s="1"/>
  <c r="C22" i="26"/>
  <c r="F22" i="26" s="1"/>
  <c r="C21" i="26"/>
  <c r="F21" i="26" s="1"/>
  <c r="C19" i="26"/>
  <c r="F19" i="26" s="1"/>
  <c r="C18" i="26"/>
  <c r="F18" i="26" s="1"/>
  <c r="C17" i="26"/>
  <c r="F17" i="26" s="1"/>
  <c r="C16" i="26"/>
  <c r="F16" i="26" s="1"/>
  <c r="C15" i="26"/>
  <c r="F15" i="26" s="1"/>
  <c r="C14" i="26"/>
  <c r="F14" i="26" s="1"/>
  <c r="C13" i="26"/>
  <c r="F13" i="26" s="1"/>
  <c r="C12" i="26"/>
  <c r="F12" i="26" s="1"/>
  <c r="C11" i="26"/>
  <c r="F11" i="26" s="1"/>
  <c r="C10" i="26"/>
  <c r="F10" i="26" s="1"/>
  <c r="C9" i="26"/>
  <c r="F9" i="26" s="1"/>
  <c r="H40" i="26"/>
  <c r="D40" i="26"/>
  <c r="P10" i="26"/>
  <c r="P40" i="26"/>
  <c r="F39" i="25"/>
  <c r="C39" i="25"/>
  <c r="E37" i="25"/>
  <c r="G37" i="25" s="1"/>
  <c r="E36" i="25"/>
  <c r="G36" i="25" s="1"/>
  <c r="E35" i="25"/>
  <c r="G35" i="25" s="1"/>
  <c r="E34" i="25"/>
  <c r="G34" i="25" s="1"/>
  <c r="E33" i="25"/>
  <c r="G33" i="25" s="1"/>
  <c r="E32" i="25"/>
  <c r="G32" i="25" s="1"/>
  <c r="E31" i="25"/>
  <c r="G31" i="25" s="1"/>
  <c r="E30" i="25"/>
  <c r="G30" i="25" s="1"/>
  <c r="E29" i="25"/>
  <c r="G29" i="25" s="1"/>
  <c r="E28" i="25"/>
  <c r="E27" i="25"/>
  <c r="G27" i="25" s="1"/>
  <c r="E19" i="25"/>
  <c r="G19" i="25" s="1"/>
  <c r="E26" i="25"/>
  <c r="G26" i="25" s="1"/>
  <c r="E25" i="25"/>
  <c r="G25" i="25" s="1"/>
  <c r="E24" i="25"/>
  <c r="G24" i="25" s="1"/>
  <c r="E23" i="25"/>
  <c r="G23" i="25" s="1"/>
  <c r="E22" i="25"/>
  <c r="G22" i="25" s="1"/>
  <c r="E21" i="25"/>
  <c r="G21" i="25" s="1"/>
  <c r="E20" i="25"/>
  <c r="G20" i="25" s="1"/>
  <c r="E18" i="25"/>
  <c r="G18" i="25" s="1"/>
  <c r="E17" i="25"/>
  <c r="G17" i="25" s="1"/>
  <c r="E16" i="25"/>
  <c r="G16" i="25" s="1"/>
  <c r="E15" i="25"/>
  <c r="G15" i="25" s="1"/>
  <c r="E14" i="25"/>
  <c r="G14" i="25" s="1"/>
  <c r="E13" i="25"/>
  <c r="G13" i="25" s="1"/>
  <c r="E12" i="25"/>
  <c r="G12" i="25" s="1"/>
  <c r="E11" i="25"/>
  <c r="G11" i="25" s="1"/>
  <c r="E10" i="25"/>
  <c r="G10" i="25" s="1"/>
  <c r="E9" i="25"/>
  <c r="G9" i="25" s="1"/>
  <c r="E8" i="25"/>
  <c r="G8" i="25" s="1"/>
  <c r="C10" i="15"/>
  <c r="F40" i="13"/>
  <c r="E38" i="13"/>
  <c r="E37" i="13"/>
  <c r="E36" i="13"/>
  <c r="E35" i="13"/>
  <c r="E34" i="13"/>
  <c r="E33" i="13"/>
  <c r="E32" i="13"/>
  <c r="E31" i="13"/>
  <c r="E30" i="13"/>
  <c r="E29" i="13"/>
  <c r="E28" i="13"/>
  <c r="E20" i="13"/>
  <c r="E27" i="13"/>
  <c r="E26" i="13"/>
  <c r="E25" i="13"/>
  <c r="E24" i="13"/>
  <c r="E23" i="13"/>
  <c r="E22" i="13"/>
  <c r="E21" i="13"/>
  <c r="E19" i="13"/>
  <c r="E18" i="13"/>
  <c r="E17" i="13"/>
  <c r="E16" i="13"/>
  <c r="E15" i="13"/>
  <c r="E14" i="13"/>
  <c r="E13" i="13"/>
  <c r="E12" i="13"/>
  <c r="E11" i="13"/>
  <c r="E10" i="13"/>
  <c r="E9" i="13"/>
  <c r="C40" i="13"/>
  <c r="D29" i="15"/>
  <c r="F29" i="15" s="1"/>
  <c r="D16" i="15"/>
  <c r="F16" i="15" s="1"/>
  <c r="F8" i="20"/>
  <c r="D37" i="24"/>
  <c r="O39" i="24"/>
  <c r="N35" i="24" s="1"/>
  <c r="D9" i="15"/>
  <c r="F9" i="15" s="1"/>
  <c r="D37" i="11"/>
  <c r="C39" i="20"/>
  <c r="F33" i="20"/>
  <c r="K19" i="17"/>
  <c r="M19" i="17" s="1"/>
  <c r="E17" i="24" s="1"/>
  <c r="K8" i="17"/>
  <c r="M8" i="17" s="1"/>
  <c r="E6" i="24" s="1"/>
  <c r="K9" i="17"/>
  <c r="M9" i="17" s="1"/>
  <c r="E7" i="24" s="1"/>
  <c r="K10" i="17"/>
  <c r="M10" i="17" s="1"/>
  <c r="E8" i="24" s="1"/>
  <c r="K11" i="17"/>
  <c r="M11" i="17" s="1"/>
  <c r="E9" i="24" s="1"/>
  <c r="K12" i="17"/>
  <c r="M12" i="17" s="1"/>
  <c r="E10" i="24" s="1"/>
  <c r="K13" i="17"/>
  <c r="M13" i="17" s="1"/>
  <c r="E11" i="24" s="1"/>
  <c r="K14" i="17"/>
  <c r="M14" i="17" s="1"/>
  <c r="E12" i="24" s="1"/>
  <c r="K15" i="17"/>
  <c r="M15" i="17" s="1"/>
  <c r="E13" i="24" s="1"/>
  <c r="K16" i="17"/>
  <c r="M16" i="17" s="1"/>
  <c r="E14" i="24" s="1"/>
  <c r="K17" i="17"/>
  <c r="M17" i="17" s="1"/>
  <c r="E15" i="24" s="1"/>
  <c r="K18" i="17"/>
  <c r="M18" i="17" s="1"/>
  <c r="E16" i="24" s="1"/>
  <c r="K20" i="17"/>
  <c r="M20" i="17" s="1"/>
  <c r="E18" i="24" s="1"/>
  <c r="K21" i="17"/>
  <c r="M21" i="17" s="1"/>
  <c r="E19" i="24" s="1"/>
  <c r="K24" i="17"/>
  <c r="M24" i="17" s="1"/>
  <c r="E22" i="24" s="1"/>
  <c r="K25" i="17"/>
  <c r="M25" i="17" s="1"/>
  <c r="E23" i="24" s="1"/>
  <c r="K26" i="17"/>
  <c r="M26" i="17" s="1"/>
  <c r="E24" i="24" s="1"/>
  <c r="M27" i="17"/>
  <c r="E25" i="24" s="1"/>
  <c r="K28" i="17"/>
  <c r="M28" i="17" s="1"/>
  <c r="E26" i="24" s="1"/>
  <c r="K29" i="17"/>
  <c r="M29" i="17" s="1"/>
  <c r="E27" i="24" s="1"/>
  <c r="K30" i="17"/>
  <c r="K31" i="17"/>
  <c r="M31" i="17" s="1"/>
  <c r="E29" i="24" s="1"/>
  <c r="K32" i="17"/>
  <c r="M32" i="17" s="1"/>
  <c r="E30" i="24" s="1"/>
  <c r="K33" i="17"/>
  <c r="M33" i="17" s="1"/>
  <c r="E31" i="24" s="1"/>
  <c r="K34" i="17"/>
  <c r="M34" i="17" s="1"/>
  <c r="E32" i="24" s="1"/>
  <c r="K36" i="17"/>
  <c r="M36" i="17" s="1"/>
  <c r="E34" i="24" s="1"/>
  <c r="K37" i="17"/>
  <c r="M37" i="17" s="1"/>
  <c r="E35" i="24" s="1"/>
  <c r="K35" i="17"/>
  <c r="M35" i="17" s="1"/>
  <c r="E33" i="24" s="1"/>
  <c r="K23" i="17"/>
  <c r="M23" i="17" s="1"/>
  <c r="E21" i="24" s="1"/>
  <c r="K22" i="17"/>
  <c r="M22" i="17" s="1"/>
  <c r="E20" i="24" s="1"/>
  <c r="D10" i="15"/>
  <c r="F10" i="15" s="1"/>
  <c r="D13" i="15"/>
  <c r="F13" i="15" s="1"/>
  <c r="D14" i="15"/>
  <c r="F14" i="15" s="1"/>
  <c r="D19" i="15"/>
  <c r="F19" i="15" s="1"/>
  <c r="D22" i="15"/>
  <c r="F22" i="15" s="1"/>
  <c r="D23" i="15"/>
  <c r="F23" i="15" s="1"/>
  <c r="D24" i="15"/>
  <c r="F24" i="15" s="1"/>
  <c r="D25" i="15"/>
  <c r="F25" i="15" s="1"/>
  <c r="D20" i="15"/>
  <c r="F20" i="15" s="1"/>
  <c r="D31" i="15"/>
  <c r="F31" i="15" s="1"/>
  <c r="D36" i="15"/>
  <c r="F36" i="15" s="1"/>
  <c r="D38" i="15"/>
  <c r="F38" i="15" s="1"/>
  <c r="D11" i="15"/>
  <c r="F11" i="15" s="1"/>
  <c r="D12" i="15"/>
  <c r="F12" i="15" s="1"/>
  <c r="D15" i="15"/>
  <c r="F15" i="15" s="1"/>
  <c r="D17" i="15"/>
  <c r="F17" i="15" s="1"/>
  <c r="D18" i="15"/>
  <c r="F18" i="15" s="1"/>
  <c r="D26" i="15"/>
  <c r="F26" i="15" s="1"/>
  <c r="D27" i="15"/>
  <c r="F27" i="15" s="1"/>
  <c r="D30" i="15"/>
  <c r="F30" i="15" s="1"/>
  <c r="D32" i="15"/>
  <c r="F32" i="15" s="1"/>
  <c r="D33" i="15"/>
  <c r="F33" i="15" s="1"/>
  <c r="D35" i="15"/>
  <c r="F35" i="15" s="1"/>
  <c r="D37" i="15"/>
  <c r="F37" i="15" s="1"/>
  <c r="F37" i="20"/>
  <c r="F36" i="20"/>
  <c r="F35" i="20"/>
  <c r="F34" i="20"/>
  <c r="F32" i="20"/>
  <c r="F31" i="20"/>
  <c r="F30" i="20"/>
  <c r="F29" i="20"/>
  <c r="F28" i="20"/>
  <c r="F27" i="20"/>
  <c r="F19" i="20"/>
  <c r="F26" i="20"/>
  <c r="F25" i="20"/>
  <c r="F24" i="20"/>
  <c r="F23" i="20"/>
  <c r="F22" i="20"/>
  <c r="F21" i="20"/>
  <c r="F20" i="20"/>
  <c r="F18" i="20"/>
  <c r="F17" i="20"/>
  <c r="F16" i="20"/>
  <c r="F15" i="20"/>
  <c r="F14" i="20"/>
  <c r="F13" i="20"/>
  <c r="F12" i="20"/>
  <c r="F11" i="20"/>
  <c r="F10" i="20"/>
  <c r="F9" i="20"/>
  <c r="L39" i="17"/>
  <c r="D34" i="15"/>
  <c r="F34" i="15" s="1"/>
  <c r="A45" i="15"/>
  <c r="A42" i="20"/>
  <c r="A42" i="17"/>
  <c r="E40" i="15"/>
  <c r="I39" i="17"/>
  <c r="H39" i="17"/>
  <c r="G39" i="17"/>
  <c r="F39" i="17"/>
  <c r="E39" i="17"/>
  <c r="C39" i="17"/>
  <c r="B15" i="32"/>
  <c r="C8" i="32"/>
  <c r="B8" i="32"/>
  <c r="B12" i="32"/>
  <c r="C12" i="32"/>
  <c r="J6" i="31" l="1"/>
  <c r="J37" i="31" s="1"/>
  <c r="H37" i="31"/>
  <c r="L40" i="31"/>
  <c r="M40" i="31" s="1"/>
  <c r="L26" i="31"/>
  <c r="L16" i="31"/>
  <c r="M16" i="31" s="1"/>
  <c r="L13" i="31"/>
  <c r="L23" i="31"/>
  <c r="L29" i="31"/>
  <c r="G11" i="26" s="1"/>
  <c r="M46" i="31"/>
  <c r="G38" i="26"/>
  <c r="J38" i="26" s="1"/>
  <c r="K38" i="26" s="1"/>
  <c r="M43" i="31"/>
  <c r="G23" i="26"/>
  <c r="J23" i="26" s="1"/>
  <c r="K23" i="26" s="1"/>
  <c r="G26" i="26"/>
  <c r="J26" i="26" s="1"/>
  <c r="K26" i="26" s="1"/>
  <c r="M30" i="17"/>
  <c r="E28" i="24" s="1"/>
  <c r="L12" i="31"/>
  <c r="G28" i="25"/>
  <c r="D28" i="20" s="1"/>
  <c r="E28" i="20" s="1"/>
  <c r="G28" i="20" s="1"/>
  <c r="G38" i="15"/>
  <c r="H38" i="15" s="1"/>
  <c r="G35" i="24" s="1"/>
  <c r="L31" i="26"/>
  <c r="D29" i="20"/>
  <c r="E29" i="20" s="1"/>
  <c r="G29" i="20" s="1"/>
  <c r="L28" i="26"/>
  <c r="D25" i="20"/>
  <c r="E25" i="20" s="1"/>
  <c r="G25" i="20" s="1"/>
  <c r="L23" i="26"/>
  <c r="F22" i="13"/>
  <c r="H22" i="13" s="1"/>
  <c r="I19" i="24" s="1"/>
  <c r="D16" i="20"/>
  <c r="E16" i="20" s="1"/>
  <c r="G16" i="20" s="1"/>
  <c r="D15" i="20"/>
  <c r="E15" i="20" s="1"/>
  <c r="G15" i="20" s="1"/>
  <c r="G14" i="15"/>
  <c r="H14" i="15" s="1"/>
  <c r="G11" i="24" s="1"/>
  <c r="D9" i="20"/>
  <c r="E9" i="20" s="1"/>
  <c r="G9" i="20" s="1"/>
  <c r="N15" i="24"/>
  <c r="D36" i="20"/>
  <c r="E36" i="20" s="1"/>
  <c r="G36" i="20" s="1"/>
  <c r="L18" i="31"/>
  <c r="M18" i="31" s="1"/>
  <c r="L11" i="31"/>
  <c r="L7" i="31"/>
  <c r="L11" i="26"/>
  <c r="C40" i="15"/>
  <c r="E48" i="31"/>
  <c r="L42" i="31"/>
  <c r="L34" i="31"/>
  <c r="L32" i="31"/>
  <c r="L30" i="31"/>
  <c r="L28" i="31"/>
  <c r="L22" i="31"/>
  <c r="M22" i="31" s="1"/>
  <c r="L21" i="31"/>
  <c r="M21" i="31" s="1"/>
  <c r="L20" i="31"/>
  <c r="M20" i="31" s="1"/>
  <c r="L17" i="31"/>
  <c r="L25" i="31"/>
  <c r="L9" i="31"/>
  <c r="L8" i="31"/>
  <c r="M8" i="31" s="1"/>
  <c r="D12" i="20"/>
  <c r="E12" i="20" s="1"/>
  <c r="G12" i="20" s="1"/>
  <c r="G13" i="15"/>
  <c r="H13" i="15" s="1"/>
  <c r="G10" i="24" s="1"/>
  <c r="F38" i="13"/>
  <c r="H38" i="13" s="1"/>
  <c r="I35" i="24" s="1"/>
  <c r="F28" i="13"/>
  <c r="H28" i="13" s="1"/>
  <c r="I25" i="24" s="1"/>
  <c r="G28" i="15"/>
  <c r="H28" i="15" s="1"/>
  <c r="G25" i="24" s="1"/>
  <c r="J39" i="17"/>
  <c r="K39" i="17"/>
  <c r="E35" i="27"/>
  <c r="H34" i="24" s="1"/>
  <c r="E19" i="27"/>
  <c r="H18" i="24" s="1"/>
  <c r="E34" i="27"/>
  <c r="H33" i="24" s="1"/>
  <c r="E33" i="27"/>
  <c r="H32" i="24" s="1"/>
  <c r="E22" i="27"/>
  <c r="H21" i="24" s="1"/>
  <c r="E21" i="27"/>
  <c r="H20" i="24" s="1"/>
  <c r="E31" i="27"/>
  <c r="H30" i="24" s="1"/>
  <c r="E27" i="27"/>
  <c r="H26" i="24" s="1"/>
  <c r="E28" i="27"/>
  <c r="H27" i="24" s="1"/>
  <c r="E32" i="27"/>
  <c r="H31" i="24" s="1"/>
  <c r="E26" i="27"/>
  <c r="H25" i="24" s="1"/>
  <c r="E29" i="27"/>
  <c r="H28" i="24" s="1"/>
  <c r="E30" i="27"/>
  <c r="H29" i="24" s="1"/>
  <c r="C38" i="27"/>
  <c r="E20" i="27"/>
  <c r="H19" i="24" s="1"/>
  <c r="E14" i="27"/>
  <c r="H13" i="24" s="1"/>
  <c r="E10" i="27"/>
  <c r="H9" i="24" s="1"/>
  <c r="E24" i="27"/>
  <c r="H23" i="24" s="1"/>
  <c r="E13" i="27"/>
  <c r="H12" i="24" s="1"/>
  <c r="E17" i="27"/>
  <c r="H16" i="24" s="1"/>
  <c r="E11" i="27"/>
  <c r="H10" i="24" s="1"/>
  <c r="E15" i="27"/>
  <c r="H14" i="24" s="1"/>
  <c r="E25" i="27"/>
  <c r="H24" i="24" s="1"/>
  <c r="E23" i="27"/>
  <c r="H22" i="24" s="1"/>
  <c r="D12" i="27"/>
  <c r="E12" i="27" s="1"/>
  <c r="D7" i="27"/>
  <c r="D8" i="27"/>
  <c r="E8" i="27" s="1"/>
  <c r="H7" i="24" s="1"/>
  <c r="H18" i="35"/>
  <c r="H17" i="35" s="1"/>
  <c r="D18" i="27" s="1"/>
  <c r="E18" i="27" s="1"/>
  <c r="H17" i="24" s="1"/>
  <c r="D9" i="27"/>
  <c r="E9" i="27" s="1"/>
  <c r="H8" i="24" s="1"/>
  <c r="H45" i="35"/>
  <c r="G48" i="31"/>
  <c r="F48" i="31"/>
  <c r="L35" i="31"/>
  <c r="L27" i="31"/>
  <c r="L45" i="31"/>
  <c r="L44" i="31"/>
  <c r="H47" i="31"/>
  <c r="L41" i="31"/>
  <c r="J47" i="31"/>
  <c r="D48" i="31"/>
  <c r="L36" i="31"/>
  <c r="L33" i="31"/>
  <c r="L31" i="31"/>
  <c r="L19" i="31"/>
  <c r="M19" i="31" s="1"/>
  <c r="L24" i="31"/>
  <c r="L15" i="31"/>
  <c r="L14" i="31"/>
  <c r="M14" i="31" s="1"/>
  <c r="L10" i="31"/>
  <c r="K47" i="31"/>
  <c r="C48" i="31"/>
  <c r="B48" i="31"/>
  <c r="N28" i="24"/>
  <c r="E40" i="13"/>
  <c r="D40" i="15"/>
  <c r="F40" i="15"/>
  <c r="F39" i="20"/>
  <c r="F40" i="26"/>
  <c r="C40" i="26"/>
  <c r="L37" i="26"/>
  <c r="G35" i="15"/>
  <c r="H35" i="15" s="1"/>
  <c r="G32" i="24" s="1"/>
  <c r="F35" i="13"/>
  <c r="H35" i="13" s="1"/>
  <c r="I32" i="24" s="1"/>
  <c r="D34" i="20"/>
  <c r="E34" i="20" s="1"/>
  <c r="G34" i="20" s="1"/>
  <c r="L35" i="26"/>
  <c r="D27" i="20"/>
  <c r="E27" i="20" s="1"/>
  <c r="G27" i="20" s="1"/>
  <c r="F17" i="13"/>
  <c r="H17" i="13" s="1"/>
  <c r="I14" i="24" s="1"/>
  <c r="L14" i="26"/>
  <c r="F16" i="13"/>
  <c r="H16" i="13" s="1"/>
  <c r="I13" i="24" s="1"/>
  <c r="L38" i="26"/>
  <c r="L36" i="26"/>
  <c r="G34" i="15"/>
  <c r="H34" i="15" s="1"/>
  <c r="G31" i="24" s="1"/>
  <c r="F34" i="13"/>
  <c r="H34" i="13" s="1"/>
  <c r="I31" i="24" s="1"/>
  <c r="D33" i="20"/>
  <c r="E33" i="20" s="1"/>
  <c r="G33" i="20" s="1"/>
  <c r="L34" i="26"/>
  <c r="F33" i="13"/>
  <c r="H33" i="13" s="1"/>
  <c r="I30" i="24" s="1"/>
  <c r="L33" i="26"/>
  <c r="D30" i="20"/>
  <c r="E30" i="20" s="1"/>
  <c r="G30" i="20" s="1"/>
  <c r="G31" i="15"/>
  <c r="H31" i="15" s="1"/>
  <c r="G28" i="24" s="1"/>
  <c r="F31" i="13"/>
  <c r="H31" i="13" s="1"/>
  <c r="I28" i="24" s="1"/>
  <c r="D19" i="20"/>
  <c r="E19" i="20" s="1"/>
  <c r="G19" i="20" s="1"/>
  <c r="D23" i="20"/>
  <c r="E23" i="20" s="1"/>
  <c r="G23" i="20" s="1"/>
  <c r="F24" i="13"/>
  <c r="H24" i="13" s="1"/>
  <c r="I21" i="24" s="1"/>
  <c r="L24" i="26"/>
  <c r="G24" i="15"/>
  <c r="H24" i="15" s="1"/>
  <c r="G21" i="24" s="1"/>
  <c r="D22" i="20"/>
  <c r="E22" i="20" s="1"/>
  <c r="G22" i="20" s="1"/>
  <c r="G23" i="15"/>
  <c r="H23" i="15" s="1"/>
  <c r="G20" i="24" s="1"/>
  <c r="D21" i="20"/>
  <c r="E21" i="20" s="1"/>
  <c r="G21" i="20" s="1"/>
  <c r="D18" i="20"/>
  <c r="E18" i="20" s="1"/>
  <c r="G18" i="20" s="1"/>
  <c r="F19" i="13"/>
  <c r="H19" i="13" s="1"/>
  <c r="I16" i="24" s="1"/>
  <c r="F15" i="13"/>
  <c r="H15" i="13" s="1"/>
  <c r="I12" i="24" s="1"/>
  <c r="G15" i="15"/>
  <c r="H15" i="15" s="1"/>
  <c r="G12" i="24" s="1"/>
  <c r="L15" i="26"/>
  <c r="D14" i="20"/>
  <c r="E14" i="20" s="1"/>
  <c r="G14" i="20" s="1"/>
  <c r="D13" i="20"/>
  <c r="E13" i="20" s="1"/>
  <c r="G13" i="20" s="1"/>
  <c r="F14" i="13"/>
  <c r="H14" i="13" s="1"/>
  <c r="D37" i="20"/>
  <c r="E37" i="20" s="1"/>
  <c r="G37" i="20" s="1"/>
  <c r="G37" i="15"/>
  <c r="H37" i="15" s="1"/>
  <c r="G34" i="24" s="1"/>
  <c r="F37" i="13"/>
  <c r="H37" i="13" s="1"/>
  <c r="I34" i="24" s="1"/>
  <c r="G36" i="15"/>
  <c r="H36" i="15" s="1"/>
  <c r="G33" i="24" s="1"/>
  <c r="F36" i="13"/>
  <c r="H36" i="13" s="1"/>
  <c r="I33" i="24" s="1"/>
  <c r="D35" i="20"/>
  <c r="E35" i="20" s="1"/>
  <c r="G35" i="20" s="1"/>
  <c r="G33" i="15"/>
  <c r="H33" i="15" s="1"/>
  <c r="G30" i="24" s="1"/>
  <c r="D32" i="20"/>
  <c r="E32" i="20" s="1"/>
  <c r="G32" i="20" s="1"/>
  <c r="G32" i="15"/>
  <c r="H32" i="15" s="1"/>
  <c r="G29" i="24" s="1"/>
  <c r="L32" i="26"/>
  <c r="D31" i="20"/>
  <c r="E31" i="20" s="1"/>
  <c r="G31" i="20" s="1"/>
  <c r="F32" i="13"/>
  <c r="H32" i="13" s="1"/>
  <c r="I29" i="24" s="1"/>
  <c r="G30" i="15"/>
  <c r="H30" i="15" s="1"/>
  <c r="G27" i="24" s="1"/>
  <c r="L30" i="26"/>
  <c r="F30" i="13"/>
  <c r="H30" i="13" s="1"/>
  <c r="I27" i="24" s="1"/>
  <c r="G20" i="15"/>
  <c r="H20" i="15" s="1"/>
  <c r="G17" i="24" s="1"/>
  <c r="L20" i="26"/>
  <c r="F20" i="13"/>
  <c r="H20" i="13" s="1"/>
  <c r="I17" i="24" s="1"/>
  <c r="L27" i="26"/>
  <c r="F27" i="13"/>
  <c r="H27" i="13" s="1"/>
  <c r="I24" i="24" s="1"/>
  <c r="G27" i="15"/>
  <c r="H27" i="15" s="1"/>
  <c r="G24" i="24" s="1"/>
  <c r="D26" i="20"/>
  <c r="E26" i="20" s="1"/>
  <c r="G26" i="20" s="1"/>
  <c r="F26" i="13"/>
  <c r="H26" i="13" s="1"/>
  <c r="I23" i="24" s="1"/>
  <c r="L26" i="26"/>
  <c r="G26" i="15"/>
  <c r="H26" i="15" s="1"/>
  <c r="G23" i="24" s="1"/>
  <c r="L25" i="26"/>
  <c r="F25" i="13"/>
  <c r="H25" i="13" s="1"/>
  <c r="I22" i="24" s="1"/>
  <c r="D24" i="20"/>
  <c r="E24" i="20" s="1"/>
  <c r="G24" i="20" s="1"/>
  <c r="G25" i="15"/>
  <c r="H25" i="15" s="1"/>
  <c r="G22" i="24" s="1"/>
  <c r="F23" i="13"/>
  <c r="H23" i="13" s="1"/>
  <c r="I20" i="24" s="1"/>
  <c r="L22" i="26"/>
  <c r="G22" i="15"/>
  <c r="H22" i="15" s="1"/>
  <c r="G19" i="24" s="1"/>
  <c r="D20" i="20"/>
  <c r="E20" i="20" s="1"/>
  <c r="G20" i="20" s="1"/>
  <c r="F21" i="13"/>
  <c r="H21" i="13" s="1"/>
  <c r="I18" i="24" s="1"/>
  <c r="G21" i="15"/>
  <c r="H21" i="15" s="1"/>
  <c r="G18" i="24" s="1"/>
  <c r="L21" i="26"/>
  <c r="L19" i="26"/>
  <c r="G19" i="15"/>
  <c r="H19" i="15" s="1"/>
  <c r="G16" i="24" s="1"/>
  <c r="D17" i="20"/>
  <c r="E17" i="20" s="1"/>
  <c r="G17" i="20" s="1"/>
  <c r="G18" i="15"/>
  <c r="H18" i="15" s="1"/>
  <c r="G15" i="24" s="1"/>
  <c r="L18" i="26"/>
  <c r="F18" i="13"/>
  <c r="H18" i="13" s="1"/>
  <c r="I15" i="24" s="1"/>
  <c r="L17" i="26"/>
  <c r="G17" i="15"/>
  <c r="H17" i="15" s="1"/>
  <c r="G14" i="24" s="1"/>
  <c r="G16" i="15"/>
  <c r="H16" i="15" s="1"/>
  <c r="G13" i="24" s="1"/>
  <c r="L16" i="26"/>
  <c r="L13" i="26"/>
  <c r="F13" i="13"/>
  <c r="H13" i="13" s="1"/>
  <c r="I10" i="24" s="1"/>
  <c r="D11" i="20"/>
  <c r="E11" i="20" s="1"/>
  <c r="G11" i="20" s="1"/>
  <c r="G12" i="15"/>
  <c r="H12" i="15" s="1"/>
  <c r="G9" i="24" s="1"/>
  <c r="F12" i="13"/>
  <c r="H12" i="13" s="1"/>
  <c r="I9" i="24" s="1"/>
  <c r="L12" i="26"/>
  <c r="E39" i="25"/>
  <c r="G39" i="25" s="1"/>
  <c r="G40" i="15" s="1"/>
  <c r="F11" i="13"/>
  <c r="H11" i="13" s="1"/>
  <c r="I8" i="24" s="1"/>
  <c r="G11" i="15"/>
  <c r="H11" i="15" s="1"/>
  <c r="G8" i="24" s="1"/>
  <c r="D10" i="20"/>
  <c r="E10" i="20" s="1"/>
  <c r="G10" i="20" s="1"/>
  <c r="L10" i="26"/>
  <c r="F10" i="13"/>
  <c r="H10" i="13" s="1"/>
  <c r="I7" i="24" s="1"/>
  <c r="G10" i="15"/>
  <c r="H10" i="15" s="1"/>
  <c r="G7" i="24" s="1"/>
  <c r="F9" i="13"/>
  <c r="H9" i="13" s="1"/>
  <c r="G9" i="15"/>
  <c r="H9" i="15" s="1"/>
  <c r="D8" i="20"/>
  <c r="E8" i="20" s="1"/>
  <c r="L9" i="26"/>
  <c r="N13" i="24"/>
  <c r="N22" i="24"/>
  <c r="N29" i="24"/>
  <c r="N11" i="24"/>
  <c r="N20" i="24"/>
  <c r="N27" i="24"/>
  <c r="N6" i="24"/>
  <c r="N14" i="24"/>
  <c r="N8" i="24"/>
  <c r="N16" i="24"/>
  <c r="N17" i="24"/>
  <c r="N32" i="24"/>
  <c r="N10" i="24"/>
  <c r="N25" i="24"/>
  <c r="N18" i="24"/>
  <c r="N30" i="24"/>
  <c r="N23" i="24"/>
  <c r="N34" i="24"/>
  <c r="N7" i="24"/>
  <c r="N26" i="24"/>
  <c r="N19" i="24"/>
  <c r="N31" i="24"/>
  <c r="N12" i="24"/>
  <c r="N33" i="24"/>
  <c r="N24" i="24"/>
  <c r="N21" i="24"/>
  <c r="N9" i="24"/>
  <c r="C15" i="32"/>
  <c r="L6" i="31" l="1"/>
  <c r="G19" i="26"/>
  <c r="J19" i="26" s="1"/>
  <c r="K19" i="26" s="1"/>
  <c r="L37" i="31"/>
  <c r="M37" i="31" s="1"/>
  <c r="M39" i="17"/>
  <c r="F29" i="13"/>
  <c r="H29" i="13" s="1"/>
  <c r="I26" i="24" s="1"/>
  <c r="L29" i="26"/>
  <c r="G29" i="15"/>
  <c r="H29" i="15" s="1"/>
  <c r="G26" i="24" s="1"/>
  <c r="M33" i="31"/>
  <c r="G32" i="26"/>
  <c r="J32" i="26" s="1"/>
  <c r="K32" i="26" s="1"/>
  <c r="M32" i="26" s="1"/>
  <c r="Q32" i="26" s="1"/>
  <c r="M27" i="31"/>
  <c r="G27" i="26"/>
  <c r="J27" i="26" s="1"/>
  <c r="K27" i="26" s="1"/>
  <c r="M27" i="26" s="1"/>
  <c r="Q27" i="26" s="1"/>
  <c r="M30" i="31"/>
  <c r="G29" i="26"/>
  <c r="J29" i="26" s="1"/>
  <c r="K29" i="26" s="1"/>
  <c r="M7" i="31"/>
  <c r="G10" i="26"/>
  <c r="J10" i="26" s="1"/>
  <c r="K10" i="26" s="1"/>
  <c r="M10" i="26" s="1"/>
  <c r="Q10" i="26" s="1"/>
  <c r="M12" i="31"/>
  <c r="G15" i="26"/>
  <c r="J15" i="26" s="1"/>
  <c r="K15" i="26" s="1"/>
  <c r="M15" i="26" s="1"/>
  <c r="Q15" i="26" s="1"/>
  <c r="M36" i="31"/>
  <c r="G34" i="26"/>
  <c r="J34" i="26" s="1"/>
  <c r="K34" i="26" s="1"/>
  <c r="M34" i="26" s="1"/>
  <c r="Q34" i="26" s="1"/>
  <c r="M28" i="31"/>
  <c r="G28" i="26"/>
  <c r="J28" i="26" s="1"/>
  <c r="K28" i="26" s="1"/>
  <c r="M28" i="26" s="1"/>
  <c r="Q28" i="26" s="1"/>
  <c r="M15" i="31"/>
  <c r="G17" i="26"/>
  <c r="J17" i="26" s="1"/>
  <c r="K17" i="26" s="1"/>
  <c r="M17" i="26" s="1"/>
  <c r="Q17" i="26" s="1"/>
  <c r="M41" i="31"/>
  <c r="G18" i="26"/>
  <c r="J18" i="26" s="1"/>
  <c r="K18" i="26" s="1"/>
  <c r="M18" i="26" s="1"/>
  <c r="Q18" i="26" s="1"/>
  <c r="M9" i="31"/>
  <c r="G12" i="26"/>
  <c r="J12" i="26" s="1"/>
  <c r="K12" i="26" s="1"/>
  <c r="M12" i="26" s="1"/>
  <c r="Q12" i="26" s="1"/>
  <c r="M32" i="31"/>
  <c r="G31" i="26"/>
  <c r="J31" i="26" s="1"/>
  <c r="K31" i="26" s="1"/>
  <c r="M31" i="26" s="1"/>
  <c r="Q31" i="26" s="1"/>
  <c r="M11" i="31"/>
  <c r="G14" i="26"/>
  <c r="J14" i="26" s="1"/>
  <c r="M14" i="26" s="1"/>
  <c r="Q14" i="26" s="1"/>
  <c r="M10" i="31"/>
  <c r="G13" i="26"/>
  <c r="J13" i="26" s="1"/>
  <c r="K13" i="26" s="1"/>
  <c r="M13" i="26" s="1"/>
  <c r="Q13" i="26" s="1"/>
  <c r="M25" i="31"/>
  <c r="G25" i="26"/>
  <c r="J25" i="26" s="1"/>
  <c r="K25" i="26" s="1"/>
  <c r="M25" i="26" s="1"/>
  <c r="Q25" i="26" s="1"/>
  <c r="M35" i="31"/>
  <c r="G33" i="26"/>
  <c r="J33" i="26" s="1"/>
  <c r="K33" i="26" s="1"/>
  <c r="M33" i="26" s="1"/>
  <c r="Q33" i="26" s="1"/>
  <c r="M24" i="31"/>
  <c r="G22" i="26"/>
  <c r="J22" i="26" s="1"/>
  <c r="K22" i="26" s="1"/>
  <c r="M22" i="26" s="1"/>
  <c r="Q22" i="26" s="1"/>
  <c r="M34" i="31"/>
  <c r="G37" i="26"/>
  <c r="J37" i="26" s="1"/>
  <c r="K37" i="26" s="1"/>
  <c r="M37" i="26" s="1"/>
  <c r="Q37" i="26" s="1"/>
  <c r="M29" i="31"/>
  <c r="J11" i="26"/>
  <c r="K11" i="26" s="1"/>
  <c r="M11" i="26" s="1"/>
  <c r="Q11" i="26" s="1"/>
  <c r="M44" i="31"/>
  <c r="G36" i="26"/>
  <c r="J36" i="26" s="1"/>
  <c r="K36" i="26" s="1"/>
  <c r="M36" i="26" s="1"/>
  <c r="Q36" i="26" s="1"/>
  <c r="M17" i="31"/>
  <c r="G20" i="26"/>
  <c r="J20" i="26" s="1"/>
  <c r="K20" i="26" s="1"/>
  <c r="M20" i="26" s="1"/>
  <c r="Q20" i="26" s="1"/>
  <c r="M42" i="31"/>
  <c r="G24" i="26"/>
  <c r="J24" i="26" s="1"/>
  <c r="K24" i="26" s="1"/>
  <c r="M24" i="26" s="1"/>
  <c r="Q24" i="26" s="1"/>
  <c r="M23" i="31"/>
  <c r="G21" i="26"/>
  <c r="J21" i="26" s="1"/>
  <c r="K21" i="26" s="1"/>
  <c r="M21" i="26" s="1"/>
  <c r="Q21" i="26" s="1"/>
  <c r="M6" i="31"/>
  <c r="G9" i="26"/>
  <c r="M31" i="31"/>
  <c r="G30" i="26"/>
  <c r="J30" i="26" s="1"/>
  <c r="K30" i="26" s="1"/>
  <c r="M30" i="26" s="1"/>
  <c r="Q30" i="26" s="1"/>
  <c r="M45" i="31"/>
  <c r="G35" i="26"/>
  <c r="J35" i="26" s="1"/>
  <c r="K35" i="26" s="1"/>
  <c r="M35" i="26" s="1"/>
  <c r="Q35" i="26" s="1"/>
  <c r="M13" i="31"/>
  <c r="G16" i="26"/>
  <c r="J16" i="26" s="1"/>
  <c r="K16" i="26" s="1"/>
  <c r="M16" i="26" s="1"/>
  <c r="Q16" i="26" s="1"/>
  <c r="M23" i="26"/>
  <c r="Q23" i="26" s="1"/>
  <c r="K48" i="31"/>
  <c r="M38" i="26"/>
  <c r="Q38" i="26" s="1"/>
  <c r="H37" i="35"/>
  <c r="H46" i="35" s="1"/>
  <c r="D38" i="27"/>
  <c r="E7" i="27"/>
  <c r="H6" i="24" s="1"/>
  <c r="J48" i="31"/>
  <c r="L47" i="31"/>
  <c r="M47" i="31" s="1"/>
  <c r="H48" i="31"/>
  <c r="I36" i="31" s="1"/>
  <c r="M19" i="26"/>
  <c r="Q19" i="26" s="1"/>
  <c r="M26" i="26"/>
  <c r="Q26" i="26" s="1"/>
  <c r="L40" i="26"/>
  <c r="D39" i="20"/>
  <c r="G8" i="20"/>
  <c r="E39" i="20"/>
  <c r="G39" i="20" s="1"/>
  <c r="G6" i="24"/>
  <c r="I6" i="24"/>
  <c r="H40" i="13"/>
  <c r="N37" i="24"/>
  <c r="M29" i="26" l="1"/>
  <c r="Q29" i="26" s="1"/>
  <c r="S29" i="26" s="1"/>
  <c r="F26" i="24" s="1"/>
  <c r="J26" i="24" s="1"/>
  <c r="H40" i="15"/>
  <c r="S38" i="26"/>
  <c r="F35" i="24" s="1"/>
  <c r="J35" i="24" s="1"/>
  <c r="S37" i="26"/>
  <c r="F34" i="24" s="1"/>
  <c r="J34" i="24" s="1"/>
  <c r="S36" i="26"/>
  <c r="F33" i="24" s="1"/>
  <c r="J33" i="24" s="1"/>
  <c r="S35" i="26"/>
  <c r="F32" i="24" s="1"/>
  <c r="J32" i="24" s="1"/>
  <c r="S34" i="26"/>
  <c r="F31" i="24" s="1"/>
  <c r="J31" i="24" s="1"/>
  <c r="S33" i="26"/>
  <c r="F30" i="24" s="1"/>
  <c r="J30" i="24" s="1"/>
  <c r="S32" i="26"/>
  <c r="F29" i="24" s="1"/>
  <c r="J29" i="24" s="1"/>
  <c r="S31" i="26"/>
  <c r="F28" i="24" s="1"/>
  <c r="J28" i="24" s="1"/>
  <c r="S30" i="26"/>
  <c r="F27" i="24" s="1"/>
  <c r="J27" i="24" s="1"/>
  <c r="S28" i="26"/>
  <c r="F25" i="24" s="1"/>
  <c r="J25" i="24" s="1"/>
  <c r="S27" i="26"/>
  <c r="F24" i="24" s="1"/>
  <c r="J24" i="24" s="1"/>
  <c r="S26" i="26"/>
  <c r="F23" i="24" s="1"/>
  <c r="J23" i="24" s="1"/>
  <c r="S25" i="26"/>
  <c r="F22" i="24" s="1"/>
  <c r="J22" i="24" s="1"/>
  <c r="S24" i="26"/>
  <c r="F21" i="24" s="1"/>
  <c r="J21" i="24" s="1"/>
  <c r="S23" i="26"/>
  <c r="F20" i="24" s="1"/>
  <c r="J20" i="24" s="1"/>
  <c r="S22" i="26"/>
  <c r="F19" i="24" s="1"/>
  <c r="J19" i="24" s="1"/>
  <c r="S21" i="26"/>
  <c r="F18" i="24" s="1"/>
  <c r="J18" i="24" s="1"/>
  <c r="S20" i="26"/>
  <c r="F17" i="24" s="1"/>
  <c r="J17" i="24" s="1"/>
  <c r="S19" i="26"/>
  <c r="F16" i="24" s="1"/>
  <c r="J16" i="24" s="1"/>
  <c r="S18" i="26"/>
  <c r="F15" i="24" s="1"/>
  <c r="J15" i="24" s="1"/>
  <c r="S17" i="26"/>
  <c r="F14" i="24" s="1"/>
  <c r="J14" i="24" s="1"/>
  <c r="S16" i="26"/>
  <c r="F13" i="24" s="1"/>
  <c r="J13" i="24" s="1"/>
  <c r="S15" i="26"/>
  <c r="F12" i="24" s="1"/>
  <c r="J12" i="24" s="1"/>
  <c r="S14" i="26"/>
  <c r="F11" i="24" s="1"/>
  <c r="J11" i="24" s="1"/>
  <c r="S13" i="26"/>
  <c r="F10" i="24" s="1"/>
  <c r="J10" i="24" s="1"/>
  <c r="S12" i="26"/>
  <c r="F9" i="24" s="1"/>
  <c r="J9" i="24" s="1"/>
  <c r="S11" i="26"/>
  <c r="F8" i="24" s="1"/>
  <c r="J8" i="24" s="1"/>
  <c r="S10" i="26"/>
  <c r="F7" i="24" s="1"/>
  <c r="J7" i="24" s="1"/>
  <c r="G40" i="26"/>
  <c r="J9" i="26"/>
  <c r="I32" i="31"/>
  <c r="E38" i="27"/>
  <c r="I42" i="31"/>
  <c r="I10" i="31"/>
  <c r="I9" i="31"/>
  <c r="I8" i="31"/>
  <c r="L48" i="31"/>
  <c r="M48" i="31" s="1"/>
  <c r="I16" i="31"/>
  <c r="I27" i="31"/>
  <c r="I13" i="31"/>
  <c r="I33" i="31"/>
  <c r="I23" i="31"/>
  <c r="I25" i="31"/>
  <c r="I29" i="31"/>
  <c r="I43" i="31"/>
  <c r="I15" i="31"/>
  <c r="I31" i="31"/>
  <c r="I46" i="31"/>
  <c r="I22" i="31"/>
  <c r="I44" i="31"/>
  <c r="I41" i="31"/>
  <c r="I26" i="31"/>
  <c r="I30" i="31"/>
  <c r="I21" i="31"/>
  <c r="I35" i="31"/>
  <c r="I7" i="31"/>
  <c r="I34" i="31"/>
  <c r="I24" i="31"/>
  <c r="I45" i="31"/>
  <c r="I40" i="31"/>
  <c r="I19" i="31"/>
  <c r="I18" i="31"/>
  <c r="I20" i="31"/>
  <c r="I28" i="31"/>
  <c r="I6" i="31"/>
  <c r="I11" i="31"/>
  <c r="I12" i="31"/>
  <c r="I14" i="31"/>
  <c r="K9" i="26" l="1"/>
  <c r="I47" i="31"/>
  <c r="I17" i="31"/>
  <c r="I37" i="31" s="1"/>
  <c r="K40" i="26" l="1"/>
  <c r="M9" i="26"/>
  <c r="I48" i="31"/>
  <c r="Q9" i="26" l="1"/>
  <c r="R40" i="26" s="1"/>
  <c r="M40" i="26"/>
  <c r="Q40" i="26" l="1"/>
  <c r="S9" i="26"/>
  <c r="F6" i="24" l="1"/>
  <c r="S40" i="26"/>
  <c r="B6" i="32"/>
  <c r="J6" i="24" l="1"/>
  <c r="B9" i="32"/>
  <c r="J37" i="24" l="1"/>
  <c r="B11" i="32"/>
  <c r="K6" i="24" l="1"/>
  <c r="O6" i="24" s="1"/>
  <c r="K31" i="24"/>
  <c r="O31" i="24" s="1"/>
  <c r="P31" i="24" s="1"/>
  <c r="K28" i="24"/>
  <c r="O28" i="24" s="1"/>
  <c r="P28" i="24" s="1"/>
  <c r="K8" i="24"/>
  <c r="O8" i="24" s="1"/>
  <c r="P8" i="24" s="1"/>
  <c r="K16" i="24"/>
  <c r="O16" i="24" s="1"/>
  <c r="P16" i="24" s="1"/>
  <c r="K27" i="24"/>
  <c r="O27" i="24" s="1"/>
  <c r="P27" i="24" s="1"/>
  <c r="K35" i="24"/>
  <c r="O35" i="24" s="1"/>
  <c r="P35" i="24" s="1"/>
  <c r="K21" i="24"/>
  <c r="O21" i="24" s="1"/>
  <c r="P21" i="24" s="1"/>
  <c r="K22" i="24"/>
  <c r="O22" i="24" s="1"/>
  <c r="P22" i="24" s="1"/>
  <c r="K23" i="24"/>
  <c r="O23" i="24" s="1"/>
  <c r="P23" i="24" s="1"/>
  <c r="R23" i="24" s="1"/>
  <c r="K17" i="24"/>
  <c r="O17" i="24" s="1"/>
  <c r="P17" i="24" s="1"/>
  <c r="K18" i="24"/>
  <c r="O18" i="24" s="1"/>
  <c r="P18" i="24" s="1"/>
  <c r="K10" i="24"/>
  <c r="O10" i="24" s="1"/>
  <c r="P10" i="24" s="1"/>
  <c r="K13" i="24"/>
  <c r="O13" i="24" s="1"/>
  <c r="P13" i="24" s="1"/>
  <c r="K15" i="24"/>
  <c r="O15" i="24" s="1"/>
  <c r="P15" i="24" s="1"/>
  <c r="K11" i="24"/>
  <c r="O11" i="24" s="1"/>
  <c r="P11" i="24" s="1"/>
  <c r="K7" i="24"/>
  <c r="O7" i="24" s="1"/>
  <c r="P7" i="24" s="1"/>
  <c r="K34" i="24"/>
  <c r="O34" i="24" s="1"/>
  <c r="P34" i="24" s="1"/>
  <c r="K14" i="24"/>
  <c r="O14" i="24" s="1"/>
  <c r="P14" i="24" s="1"/>
  <c r="K32" i="24"/>
  <c r="O32" i="24" s="1"/>
  <c r="P32" i="24" s="1"/>
  <c r="K29" i="24"/>
  <c r="O29" i="24" s="1"/>
  <c r="P29" i="24" s="1"/>
  <c r="K25" i="24"/>
  <c r="O25" i="24" s="1"/>
  <c r="P25" i="24" s="1"/>
  <c r="K19" i="24"/>
  <c r="O19" i="24" s="1"/>
  <c r="P19" i="24" s="1"/>
  <c r="K24" i="24"/>
  <c r="O24" i="24" s="1"/>
  <c r="P24" i="24" s="1"/>
  <c r="K12" i="24"/>
  <c r="O12" i="24" s="1"/>
  <c r="P12" i="24" s="1"/>
  <c r="K30" i="24"/>
  <c r="O30" i="24" s="1"/>
  <c r="P30" i="24" s="1"/>
  <c r="K20" i="24"/>
  <c r="O20" i="24" s="1"/>
  <c r="P20" i="24" s="1"/>
  <c r="K26" i="24"/>
  <c r="O26" i="24" s="1"/>
  <c r="P26" i="24" s="1"/>
  <c r="K9" i="24"/>
  <c r="O9" i="24" s="1"/>
  <c r="P9" i="24" s="1"/>
  <c r="K33" i="24"/>
  <c r="O33" i="24" s="1"/>
  <c r="P33" i="24" s="1"/>
  <c r="C9" i="32"/>
  <c r="C11" i="32"/>
  <c r="C6" i="32"/>
  <c r="R15" i="24" l="1"/>
  <c r="S15" i="24" s="1"/>
  <c r="R25" i="24"/>
  <c r="S25" i="24" s="1"/>
  <c r="R29" i="24"/>
  <c r="S29" i="24" s="1"/>
  <c r="R26" i="24"/>
  <c r="S26" i="24" s="1"/>
  <c r="R28" i="24"/>
  <c r="S28" i="24" s="1"/>
  <c r="R30" i="24"/>
  <c r="S30" i="24" s="1"/>
  <c r="R34" i="24"/>
  <c r="S34" i="24" s="1"/>
  <c r="S23" i="24"/>
  <c r="R31" i="24"/>
  <c r="S31" i="24" s="1"/>
  <c r="R19" i="24"/>
  <c r="S19" i="24" s="1"/>
  <c r="R33" i="24"/>
  <c r="S33" i="24" s="1"/>
  <c r="R27" i="24"/>
  <c r="S27" i="24" s="1"/>
  <c r="R10" i="24"/>
  <c r="S10" i="24" s="1"/>
  <c r="R32" i="24"/>
  <c r="S32" i="24" s="1"/>
  <c r="R8" i="24"/>
  <c r="R17" i="24"/>
  <c r="S17" i="24" s="1"/>
  <c r="R12" i="24"/>
  <c r="S12" i="24" s="1"/>
  <c r="R7" i="24"/>
  <c r="S7" i="24" s="1"/>
  <c r="R22" i="24"/>
  <c r="S22" i="24" s="1"/>
  <c r="K37" i="24"/>
  <c r="R35" i="24"/>
  <c r="R13" i="24"/>
  <c r="S13" i="24" s="1"/>
  <c r="R9" i="24"/>
  <c r="S9" i="24" s="1"/>
  <c r="R16" i="24"/>
  <c r="S16" i="24" s="1"/>
  <c r="R18" i="24"/>
  <c r="S18" i="24" s="1"/>
  <c r="R20" i="24"/>
  <c r="S20" i="24" s="1"/>
  <c r="R14" i="24"/>
  <c r="S14" i="24" s="1"/>
  <c r="R24" i="24"/>
  <c r="S24" i="24" s="1"/>
  <c r="R11" i="24"/>
  <c r="S11" i="24" s="1"/>
  <c r="R21" i="24"/>
  <c r="S21" i="24" s="1"/>
  <c r="P6" i="24"/>
  <c r="O37" i="24"/>
  <c r="C5" i="32"/>
  <c r="S8" i="24" l="1"/>
  <c r="B5" i="32"/>
  <c r="S35" i="24"/>
  <c r="P37" i="24"/>
  <c r="Q6" i="24" s="1"/>
  <c r="R6" i="24"/>
  <c r="R37" i="24" l="1"/>
  <c r="S37" i="24" s="1"/>
  <c r="S6" i="24"/>
  <c r="Q35" i="24"/>
  <c r="Q18" i="24"/>
  <c r="Q11" i="24"/>
  <c r="Q14" i="24"/>
  <c r="Q29" i="24"/>
  <c r="Q33" i="24"/>
  <c r="Q22" i="24"/>
  <c r="Q16" i="24"/>
  <c r="Q23" i="24"/>
  <c r="Q27" i="24"/>
  <c r="Q15" i="24"/>
  <c r="Q28" i="24"/>
  <c r="Q31" i="24"/>
  <c r="Q10" i="24"/>
  <c r="Q12" i="24"/>
  <c r="Q13" i="24"/>
  <c r="Q20" i="24"/>
  <c r="Q21" i="24"/>
  <c r="Q25" i="24"/>
  <c r="Q30" i="24"/>
  <c r="Q19" i="24"/>
  <c r="Q7" i="24"/>
  <c r="Q9" i="24"/>
  <c r="Q34" i="24"/>
  <c r="Q24" i="24"/>
  <c r="Q32" i="24"/>
  <c r="Q26" i="24"/>
  <c r="Q17" i="24"/>
  <c r="Q8" i="24"/>
  <c r="Q37" i="24" l="1"/>
</calcChain>
</file>

<file path=xl/sharedStrings.xml><?xml version="1.0" encoding="utf-8"?>
<sst xmlns="http://schemas.openxmlformats.org/spreadsheetml/2006/main" count="1033" uniqueCount="336">
  <si>
    <t>Inst ID</t>
  </si>
  <si>
    <t>Institution Name</t>
  </si>
  <si>
    <t>0203</t>
  </si>
  <si>
    <t>Alexandria TC</t>
  </si>
  <si>
    <t>0152</t>
  </si>
  <si>
    <t>0070</t>
  </si>
  <si>
    <t>0301</t>
  </si>
  <si>
    <t>Central Lakes College</t>
  </si>
  <si>
    <t>0304</t>
  </si>
  <si>
    <t>Century College</t>
  </si>
  <si>
    <t>0211</t>
  </si>
  <si>
    <t>Dakota County TC</t>
  </si>
  <si>
    <t>0163</t>
  </si>
  <si>
    <t>Fond du Lac Tribal &amp; CC</t>
  </si>
  <si>
    <t>0204</t>
  </si>
  <si>
    <t>Hennepin TC</t>
  </si>
  <si>
    <t>0302</t>
  </si>
  <si>
    <t>Lake Superior College</t>
  </si>
  <si>
    <t>0076</t>
  </si>
  <si>
    <t>0305</t>
  </si>
  <si>
    <t>Minneapolis College</t>
  </si>
  <si>
    <t>0213</t>
  </si>
  <si>
    <t>0071</t>
  </si>
  <si>
    <t>Minnesota SU, Mankato</t>
  </si>
  <si>
    <t>0209</t>
  </si>
  <si>
    <t>Minnesota West College</t>
  </si>
  <si>
    <t>0072</t>
  </si>
  <si>
    <t>0156</t>
  </si>
  <si>
    <t>Normandale CC</t>
  </si>
  <si>
    <t>0153</t>
  </si>
  <si>
    <t>North Hennepin CC</t>
  </si>
  <si>
    <t>0303</t>
  </si>
  <si>
    <t>Northland College</t>
  </si>
  <si>
    <t>0205</t>
  </si>
  <si>
    <t>Pine TC</t>
  </si>
  <si>
    <t>0308</t>
  </si>
  <si>
    <t>Ridgewater College</t>
  </si>
  <si>
    <t>0307</t>
  </si>
  <si>
    <t>Riverland College</t>
  </si>
  <si>
    <t>0306</t>
  </si>
  <si>
    <t>Rochester College</t>
  </si>
  <si>
    <t>0309</t>
  </si>
  <si>
    <t>0075</t>
  </si>
  <si>
    <t>0073</t>
  </si>
  <si>
    <t>St. Cloud SU</t>
  </si>
  <si>
    <t>0208</t>
  </si>
  <si>
    <t>0206</t>
  </si>
  <si>
    <t>0074</t>
  </si>
  <si>
    <t>Winona SU</t>
  </si>
  <si>
    <t>TOTAL</t>
  </si>
  <si>
    <t>MnSCU Finance Division</t>
  </si>
  <si>
    <t>I</t>
  </si>
  <si>
    <t>A</t>
  </si>
  <si>
    <t>B</t>
  </si>
  <si>
    <t>D</t>
  </si>
  <si>
    <t>C</t>
  </si>
  <si>
    <t>E</t>
  </si>
  <si>
    <t>F</t>
  </si>
  <si>
    <t>G</t>
  </si>
  <si>
    <t>H</t>
  </si>
  <si>
    <t>K</t>
  </si>
  <si>
    <t>M</t>
  </si>
  <si>
    <t>Minnesota SU Moorhead</t>
  </si>
  <si>
    <t>Northeast Higher Education District</t>
  </si>
  <si>
    <t>N</t>
  </si>
  <si>
    <t>O</t>
  </si>
  <si>
    <t>Allocation for Facilities</t>
  </si>
  <si>
    <t>TOTAL ALLOCATION FRAMEWORK</t>
  </si>
  <si>
    <t>Metropolitan SU</t>
  </si>
  <si>
    <t>Southwest Minnesota SU</t>
  </si>
  <si>
    <t>Saint Paul College</t>
  </si>
  <si>
    <t>Minnesota SC-Southeast Technical</t>
  </si>
  <si>
    <t>Minnesota State Colleges and Universities</t>
  </si>
  <si>
    <t>INSTRUCTION AND ACADEMIC SUPPORT</t>
  </si>
  <si>
    <t>b</t>
  </si>
  <si>
    <t>c</t>
  </si>
  <si>
    <t>d</t>
  </si>
  <si>
    <t>e</t>
  </si>
  <si>
    <t>f</t>
  </si>
  <si>
    <t>a</t>
  </si>
  <si>
    <t>10% of LD expended</t>
  </si>
  <si>
    <t>g</t>
  </si>
  <si>
    <t>h</t>
  </si>
  <si>
    <t>Institution</t>
  </si>
  <si>
    <t>Regional Dean of Mgmt Education</t>
  </si>
  <si>
    <t>Departmental Research</t>
  </si>
  <si>
    <t>Instruction &amp; Academic Support Change</t>
  </si>
  <si>
    <t>ACADEMIC SUPPORT PER FYE ADDED TO EACH INSTRUCTIONAL PROGRAM</t>
  </si>
  <si>
    <t>c/d</t>
  </si>
  <si>
    <t>Academic Support Per FYE Added to Each Instructional Program</t>
  </si>
  <si>
    <t>SEPARATELY BUDGETED RESEARCH AND PUBLIC SERVICE</t>
  </si>
  <si>
    <t>Allocation for Separately Budgeted Research and Public Service</t>
  </si>
  <si>
    <t>Total</t>
  </si>
  <si>
    <t>REVENUE OFFSET</t>
  </si>
  <si>
    <t>a-b</t>
  </si>
  <si>
    <t>Less Specific Revenue</t>
  </si>
  <si>
    <t>Net GEN Revenue</t>
  </si>
  <si>
    <t>a * c</t>
  </si>
  <si>
    <t>$500/fye</t>
  </si>
  <si>
    <t>k</t>
  </si>
  <si>
    <t>Dollars per FYE</t>
  </si>
  <si>
    <t xml:space="preserve">Dollars Generated Per FYE   </t>
  </si>
  <si>
    <t>Allocation    Sub-Total</t>
  </si>
  <si>
    <t>Multi Campus Adjustment</t>
  </si>
  <si>
    <t>FACILITIES -- OPERATIONS AND REPAIR/REPLACEMENT</t>
  </si>
  <si>
    <t>Operations and Maintenance</t>
  </si>
  <si>
    <t>Multiple Campus Factor</t>
  </si>
  <si>
    <t>Gross Operations</t>
  </si>
  <si>
    <t>SQ FT</t>
  </si>
  <si>
    <t>0442</t>
  </si>
  <si>
    <t>0403</t>
  </si>
  <si>
    <t>i</t>
  </si>
  <si>
    <t>Minnesota State College</t>
  </si>
  <si>
    <t>Bemidji SU &amp; Northwest TC-Bemidji</t>
  </si>
  <si>
    <t>50% Allocation Framework % Share</t>
  </si>
  <si>
    <t>P</t>
  </si>
  <si>
    <t>a*(1-b)</t>
  </si>
  <si>
    <t>South Central College</t>
  </si>
  <si>
    <t>0411</t>
  </si>
  <si>
    <t>Revenue Buydown</t>
  </si>
  <si>
    <t>J</t>
  </si>
  <si>
    <t>90/110</t>
  </si>
  <si>
    <t>St. Cloud College</t>
  </si>
  <si>
    <t>j</t>
  </si>
  <si>
    <t>Anoka Ramsey CC - Anoka TC</t>
  </si>
  <si>
    <t>*MnSCU funds 110 and 830; excludes auxiliary/agency activities and transfers</t>
  </si>
  <si>
    <t>STUDENT SUPPORT SERVICES AND INSTITUTIONAL SUPPORT</t>
  </si>
  <si>
    <t>Enter Base #</t>
  </si>
  <si>
    <t>Alexandria TCC</t>
  </si>
  <si>
    <t>Minneapolis CTC</t>
  </si>
  <si>
    <t>Pine TCC</t>
  </si>
  <si>
    <t>Riverland Community College</t>
  </si>
  <si>
    <t>Normandale Community College</t>
  </si>
  <si>
    <t>North Hennepin Community College</t>
  </si>
  <si>
    <t>Northland CTC</t>
  </si>
  <si>
    <t>Rochester CTC</t>
  </si>
  <si>
    <t>St. Cloud TCC</t>
  </si>
  <si>
    <t>Minnesota West CTC</t>
  </si>
  <si>
    <t>Q</t>
  </si>
  <si>
    <t>Hennepin Technical College</t>
  </si>
  <si>
    <t>Metropolitan State University</t>
  </si>
  <si>
    <t>Minnesota State CTC</t>
  </si>
  <si>
    <t>2 Year Average Allocation Instruction</t>
  </si>
  <si>
    <t>e=c*(1-d)</t>
  </si>
  <si>
    <t>Research</t>
  </si>
  <si>
    <t>Public Service</t>
  </si>
  <si>
    <t>Dakota County TC - Inver Hills CC</t>
  </si>
  <si>
    <t>Sum A thru E</t>
  </si>
  <si>
    <t>F/tot F</t>
  </si>
  <si>
    <t>H/tot H</t>
  </si>
  <si>
    <t>i*$X</t>
  </si>
  <si>
    <t>L</t>
  </si>
  <si>
    <t>j+k</t>
  </si>
  <si>
    <t>g*$X</t>
  </si>
  <si>
    <t>L/tot L</t>
  </si>
  <si>
    <t>L-H</t>
  </si>
  <si>
    <t>N/H</t>
  </si>
  <si>
    <t>The lower the %, the more expenses are recognized</t>
  </si>
  <si>
    <t>(c-d)/c</t>
  </si>
  <si>
    <t xml:space="preserve"> c</t>
  </si>
  <si>
    <t>Student Support and Institutional Support Regression Split and Headcount Recognition</t>
  </si>
  <si>
    <t>Student Support and Institutional Support Regression Splt and Headcount Recognition</t>
  </si>
  <si>
    <t>e*g</t>
  </si>
  <si>
    <t>b + d + f +h</t>
  </si>
  <si>
    <t>i*(1-f)</t>
  </si>
  <si>
    <t>k + l</t>
  </si>
  <si>
    <t>l</t>
  </si>
  <si>
    <t>m</t>
  </si>
  <si>
    <t>n</t>
  </si>
  <si>
    <t>Institutional Support Core</t>
  </si>
  <si>
    <t>Student Services Core</t>
  </si>
  <si>
    <t>Dollars per Headcount</t>
  </si>
  <si>
    <t>Dollars Generated Per Headcount</t>
  </si>
  <si>
    <t>Core plus Dollars per Headcount/FYE</t>
  </si>
  <si>
    <t>2 Year Average Allocation Student Services &amp; Institutional Support</t>
  </si>
  <si>
    <t>Includes Library Spending</t>
  </si>
  <si>
    <t xml:space="preserve">Minnesota SC-Southeast </t>
  </si>
  <si>
    <t>Student Success Measures</t>
  </si>
  <si>
    <t>Exceeding Expected Rates</t>
  </si>
  <si>
    <t>Improved Rates for SOC</t>
  </si>
  <si>
    <t>Colleges / Universities</t>
  </si>
  <si>
    <t>Cohort</t>
  </si>
  <si>
    <t>Success-ful</t>
  </si>
  <si>
    <t>Actual Rate</t>
  </si>
  <si>
    <t>Expected Rate</t>
  </si>
  <si>
    <t>Upper Limit One SD</t>
  </si>
  <si>
    <t>Expected Successful One SD</t>
  </si>
  <si>
    <t>Alexandria Technical and Community College</t>
  </si>
  <si>
    <t>Anoka-Ramsey Community College</t>
  </si>
  <si>
    <t>Anoka Technical College</t>
  </si>
  <si>
    <t>Dakota County Technical College</t>
  </si>
  <si>
    <t>Inver Hills Community College</t>
  </si>
  <si>
    <t>Minneapolis Community and Technical College</t>
  </si>
  <si>
    <t>Minnesota State College - Southeast Technical</t>
  </si>
  <si>
    <t>Minnesota State Community and Technical College</t>
  </si>
  <si>
    <t xml:space="preserve">   Hibbing Community College</t>
  </si>
  <si>
    <t xml:space="preserve">   Itasca Community College</t>
  </si>
  <si>
    <t xml:space="preserve">   Mesabi Range College</t>
  </si>
  <si>
    <t xml:space="preserve">   Rainy River Community College</t>
  </si>
  <si>
    <t xml:space="preserve">   Vermilion Community College</t>
  </si>
  <si>
    <t>Northland Community &amp; Technical College</t>
  </si>
  <si>
    <t>Northwest Technical College - Bemidji</t>
  </si>
  <si>
    <t>Pine Technical and Community College</t>
  </si>
  <si>
    <t>Rochester Community and Technical College</t>
  </si>
  <si>
    <t>St. Cloud Technical and Community College</t>
  </si>
  <si>
    <t>Colleges</t>
  </si>
  <si>
    <t>Bemidji State University</t>
  </si>
  <si>
    <t>Minnesota State University, Mankato</t>
  </si>
  <si>
    <t>Minnesota State University Moorhead</t>
  </si>
  <si>
    <t>St. Cloud State University</t>
  </si>
  <si>
    <t>Southwest Minnesota State University</t>
  </si>
  <si>
    <t>Winona State University</t>
  </si>
  <si>
    <t>Universities</t>
  </si>
  <si>
    <t>System</t>
  </si>
  <si>
    <t>Change</t>
  </si>
  <si>
    <t>Addnl Success-</t>
  </si>
  <si>
    <t>College / University</t>
  </si>
  <si>
    <t>Denominator</t>
  </si>
  <si>
    <t>ful Students</t>
  </si>
  <si>
    <t>Fond du Lac Tribal and Community College</t>
  </si>
  <si>
    <t>Minnesota State College Southeast</t>
  </si>
  <si>
    <t>Minnesota West Community and Technical College</t>
  </si>
  <si>
    <t>Hibbing Community College</t>
  </si>
  <si>
    <t>Itasca Community College</t>
  </si>
  <si>
    <t>Mesabi Range College</t>
  </si>
  <si>
    <t>Rainy River Community College</t>
  </si>
  <si>
    <t>Vermilion Community College</t>
  </si>
  <si>
    <t>Northland Community and Technical College</t>
  </si>
  <si>
    <t>Additional Weight Modeling based on total headcount and underrepresented headcount</t>
  </si>
  <si>
    <t xml:space="preserve">Additional Weight </t>
  </si>
  <si>
    <t>Concurrrent Weight</t>
  </si>
  <si>
    <t>g=c+d+e-f</t>
  </si>
  <si>
    <t>h=g x weight</t>
  </si>
  <si>
    <t>j=(a-b)+h+i</t>
  </si>
  <si>
    <t>k=j-a/a</t>
  </si>
  <si>
    <t>Total Students</t>
  </si>
  <si>
    <t>Concurrent Headcount</t>
  </si>
  <si>
    <t xml:space="preserve">First Generation </t>
  </si>
  <si>
    <t xml:space="preserve">Pell Eligible </t>
  </si>
  <si>
    <t>Students of Color</t>
  </si>
  <si>
    <t>Concurrent Under represented</t>
  </si>
  <si>
    <t>First Generation + Pell Eligible + Students of Color</t>
  </si>
  <si>
    <t>Percent of Total</t>
  </si>
  <si>
    <t>Additional Weight for First Generation and Pell Eligible</t>
  </si>
  <si>
    <t>Concurrent Weigh</t>
  </si>
  <si>
    <t>Total Adjusted Headcount</t>
  </si>
  <si>
    <t>Percent Change in Adjusted Student Headcount</t>
  </si>
  <si>
    <t>Subtotal:  Colleges</t>
  </si>
  <si>
    <t>Subtotal:  Universities</t>
  </si>
  <si>
    <t>Total: System</t>
  </si>
  <si>
    <t>Total To Be Allocated</t>
  </si>
  <si>
    <t>Minnesota State</t>
  </si>
  <si>
    <t xml:space="preserve">Minnesota State </t>
  </si>
  <si>
    <t>Metro Colleges</t>
  </si>
  <si>
    <t>Non-Metro Colleges</t>
  </si>
  <si>
    <t>Allocation Framework Sector Differences</t>
  </si>
  <si>
    <t>Metro all</t>
  </si>
  <si>
    <t>Non-Metro all</t>
  </si>
  <si>
    <t>Overall shift</t>
  </si>
  <si>
    <t>$ change</t>
  </si>
  <si>
    <t>% of $508 million</t>
  </si>
  <si>
    <t>Instruction &amp; Academic Support</t>
  </si>
  <si>
    <t>Facilities</t>
  </si>
  <si>
    <t>Student Success</t>
  </si>
  <si>
    <t>Student Services &amp; Institutional Support</t>
  </si>
  <si>
    <t>Research &amp; Public Service</t>
  </si>
  <si>
    <t>% Share of Allocation Framework</t>
  </si>
  <si>
    <t>R</t>
  </si>
  <si>
    <t xml:space="preserve">  Hibbing Community College</t>
  </si>
  <si>
    <t xml:space="preserve">  Itasca Community College</t>
  </si>
  <si>
    <t xml:space="preserve">  Mesabi Range College</t>
  </si>
  <si>
    <t xml:space="preserve">  Rainy River Community College</t>
  </si>
  <si>
    <t xml:space="preserve">  Vermilion Community College</t>
  </si>
  <si>
    <t>Expected Success-ful</t>
  </si>
  <si>
    <t>Addnl Success-ful Students One SD</t>
  </si>
  <si>
    <t>Funds per Successful Student</t>
  </si>
  <si>
    <t>Rural College Campus Aid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</si>
  <si>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</si>
  <si>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</si>
  <si>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</si>
  <si>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</si>
  <si>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</si>
  <si>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</si>
  <si>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</si>
  <si>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</si>
  <si>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</si>
  <si>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</si>
  <si>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FY2018 FYE</t>
  </si>
  <si>
    <t>Instruction &amp; Academic Support State Appro Expended</t>
  </si>
  <si>
    <t>Concurrent Enrollment Change</t>
  </si>
  <si>
    <t>Lower Division Change</t>
  </si>
  <si>
    <t>Upper Division Change</t>
  </si>
  <si>
    <t>Graduate Change</t>
  </si>
  <si>
    <t>b+c+d+e+f+g</t>
  </si>
  <si>
    <t>a=h</t>
  </si>
  <si>
    <t>Avg (i+j)</t>
  </si>
  <si>
    <t>Actual and Expected Third Term Persistence and Completion Rates and Additional Successful Students</t>
  </si>
  <si>
    <t>Persistence and Completion at Third Term - Students of Color</t>
  </si>
  <si>
    <t>FY2023 Allocation for Instruction &amp; Academic Support</t>
  </si>
  <si>
    <t>FY2023 Allocation for Student Services &amp; Institutional Support</t>
  </si>
  <si>
    <t>FP&amp;A - February 2022</t>
  </si>
  <si>
    <t xml:space="preserve">FY2023 Base Allocation </t>
  </si>
  <si>
    <t>% Share of FY2023 Allocation</t>
  </si>
  <si>
    <t>Minnesota North College (NHED)</t>
  </si>
  <si>
    <t>50% FY2023 Base % Share</t>
  </si>
  <si>
    <t xml:space="preserve">FY2024 Base Allocation </t>
  </si>
  <si>
    <t>% Share of FY2024 Allocation</t>
  </si>
  <si>
    <t>$ Change Over FY2023</t>
  </si>
  <si>
    <t>% Change Over FY2023</t>
  </si>
  <si>
    <t>FY2024 Allocation for Instruction &amp; Academic Support</t>
  </si>
  <si>
    <t>FY2024 Allocation for Student Services &amp; Institutional Support</t>
  </si>
  <si>
    <t xml:space="preserve">BASED ON FY2022 System DATA </t>
  </si>
  <si>
    <t>FY2022 Total GEN Revenue</t>
  </si>
  <si>
    <t>FY2022 Total State Appropriation</t>
  </si>
  <si>
    <t>FP&amp;A - February 2023</t>
  </si>
  <si>
    <t>BASED ON FY2022 System DATA -- February 2023</t>
  </si>
  <si>
    <t>s:\finance\bargain\FY24 allocation\Summary of FY2024 Institutional Allocation Draft</t>
  </si>
  <si>
    <t>FY2022 Academic Support Net Expenditures</t>
  </si>
  <si>
    <t>FY2022 Academic Support State Appro Expended</t>
  </si>
  <si>
    <t>FY2022 FYE</t>
  </si>
  <si>
    <t>BASED ON FY2022 System DATA  --February 2023</t>
  </si>
  <si>
    <t>Adjusted FY2022 Headcount</t>
  </si>
  <si>
    <t>BASED ON FY2022 System DATA and FY2021 NATIONAL DATA -- February 2023</t>
  </si>
  <si>
    <t>BASED ON FY2021 System DATA  -- February 2023</t>
  </si>
  <si>
    <t>FY2022</t>
  </si>
  <si>
    <t>2019-2021</t>
  </si>
  <si>
    <t>Based on FY2019-2021 Enrollment Data</t>
  </si>
  <si>
    <t>Based on FY2022 System Data</t>
  </si>
  <si>
    <t xml:space="preserve">FY2024 Access &amp; Opportunity </t>
  </si>
  <si>
    <t>FP&amp;A - March 2023</t>
  </si>
  <si>
    <t>Fiscal Year 2021 Entering Students</t>
  </si>
  <si>
    <t>Fiscal Year 2024 Based on FY2022 Headcount</t>
  </si>
  <si>
    <t xml:space="preserve">Fiscal Years 2019 to 2021 Entering Students </t>
  </si>
  <si>
    <t>Recognition for Student Success</t>
  </si>
  <si>
    <t>Recognition</t>
  </si>
  <si>
    <r>
      <t xml:space="preserve">FY14-18 and </t>
    </r>
    <r>
      <rPr>
        <b/>
        <sz val="10"/>
        <color rgb="FFFF0000"/>
        <rFont val="Arial"/>
        <family val="2"/>
      </rPr>
      <t>NEW</t>
    </r>
    <r>
      <rPr>
        <b/>
        <sz val="10"/>
        <rFont val="Arial"/>
        <family val="2"/>
      </rPr>
      <t xml:space="preserve"> FY24 Tuition Relief Allocation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</si>
</sst>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#,##0.0000_);[Red]\(#,##0.0000\)"/>
    <numFmt numFmtId="166" formatCode="#,##0.00000_);[Red]\(#,##0.00000\)"/>
    <numFmt numFmtId="167" formatCode="0.0%"/>
    <numFmt numFmtId="168" formatCode="_(* #,##0_);_(* \(#,##0\);_(* &quot;-&quot;??_);_(@_)"/>
    <numFmt numFmtId="169" formatCode="&quot;$&quot;#,##0"/>
    <numFmt numFmtId="170" formatCode="#,##0.0000000000"/>
    <numFmt numFmtId="171" formatCode="_(&quot;$&quot;* #,##0_);_(&quot;$&quot;* \(#,##0\);_(&quot;$&quot;* &quot;-&quot;??_);_(@_)"/>
    <numFmt numFmtId="172" formatCode="#,##0.000000000000_);[Red]\(#,##0.000000000000\)"/>
    <numFmt numFmtId="173" formatCode="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Courier"/>
      <family val="3"/>
    </font>
    <font>
      <b/>
      <sz val="10"/>
      <name val="Arial"/>
      <family val="2"/>
    </font>
    <font>
      <sz val="8"/>
      <name val="Arial"/>
      <family val="2"/>
    </font>
    <font>
      <b/>
      <sz val="8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 New"/>
      <family val="3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b/>
      <sz val="10"/>
      <name val="Calibri"/>
      <family val="2"/>
      <scheme val="minor"/>
    </font>
    <font>
      <sz val="8"/>
      <name val="Microsoft Sans Serif"/>
      <family val="2"/>
    </font>
    <font>
      <sz val="10"/>
      <name val="Calibri"/>
      <family val="2"/>
      <scheme val="minor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25" fillId="0" borderId="0"/>
    <xf numFmtId="0" fontId="6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29" fillId="0" borderId="0"/>
  </cellStyleXfs>
  <cellXfs count="512">
    <xf numFmtId="0" fontId="0" fillId="0" borderId="0" xfId="0"/>
    <xf numFmtId="0" fontId="4" fillId="2" borderId="1" xfId="7" applyFont="1" applyFill="1" applyBorder="1" applyAlignment="1">
      <alignment horizontal="center" wrapText="1"/>
    </xf>
    <xf numFmtId="0" fontId="6" fillId="2" borderId="0" xfId="7" applyFont="1" applyFill="1" applyBorder="1" applyAlignment="1">
      <alignment horizontal="center" wrapText="1"/>
    </xf>
    <xf numFmtId="0" fontId="6" fillId="0" borderId="1" xfId="7" applyFont="1" applyFill="1" applyBorder="1" applyAlignment="1">
      <alignment horizontal="left" wrapText="1"/>
    </xf>
    <xf numFmtId="0" fontId="7" fillId="0" borderId="0" xfId="0" applyFont="1"/>
    <xf numFmtId="38" fontId="7" fillId="0" borderId="0" xfId="0" applyNumberFormat="1" applyFont="1"/>
    <xf numFmtId="10" fontId="0" fillId="0" borderId="0" xfId="0" applyNumberFormat="1"/>
    <xf numFmtId="10" fontId="7" fillId="0" borderId="0" xfId="0" applyNumberFormat="1" applyFont="1"/>
    <xf numFmtId="38" fontId="0" fillId="0" borderId="1" xfId="0" applyNumberFormat="1" applyBorder="1"/>
    <xf numFmtId="10" fontId="0" fillId="0" borderId="1" xfId="0" applyNumberFormat="1" applyBorder="1"/>
    <xf numFmtId="0" fontId="6" fillId="0" borderId="1" xfId="7" applyFont="1" applyFill="1" applyBorder="1" applyAlignment="1">
      <alignment horizontal="center" wrapText="1"/>
    </xf>
    <xf numFmtId="38" fontId="0" fillId="0" borderId="0" xfId="0" applyNumberFormat="1"/>
    <xf numFmtId="3" fontId="7" fillId="0" borderId="0" xfId="0" applyNumberFormat="1" applyFont="1"/>
    <xf numFmtId="0" fontId="7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0" fillId="0" borderId="0" xfId="0" applyBorder="1"/>
    <xf numFmtId="49" fontId="8" fillId="0" borderId="0" xfId="0" applyNumberFormat="1" applyFont="1" applyAlignment="1">
      <alignment horizontal="left"/>
    </xf>
    <xf numFmtId="3" fontId="0" fillId="0" borderId="0" xfId="0" applyNumberFormat="1"/>
    <xf numFmtId="3" fontId="0" fillId="0" borderId="4" xfId="0" applyNumberFormat="1" applyBorder="1"/>
    <xf numFmtId="0" fontId="7" fillId="0" borderId="0" xfId="0" applyFont="1" applyBorder="1"/>
    <xf numFmtId="10" fontId="7" fillId="0" borderId="2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10" fontId="9" fillId="0" borderId="3" xfId="0" applyNumberFormat="1" applyFont="1" applyBorder="1" applyAlignment="1">
      <alignment horizontal="center"/>
    </xf>
    <xf numFmtId="168" fontId="0" fillId="0" borderId="0" xfId="1" applyNumberFormat="1" applyFont="1"/>
    <xf numFmtId="1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38" fontId="0" fillId="2" borderId="0" xfId="0" applyNumberFormat="1" applyFill="1"/>
    <xf numFmtId="10" fontId="0" fillId="0" borderId="0" xfId="0" applyNumberFormat="1" applyBorder="1"/>
    <xf numFmtId="0" fontId="10" fillId="0" borderId="0" xfId="0" applyFont="1" applyBorder="1"/>
    <xf numFmtId="0" fontId="7" fillId="0" borderId="4" xfId="0" applyFont="1" applyBorder="1" applyAlignment="1">
      <alignment horizontal="center" wrapText="1"/>
    </xf>
    <xf numFmtId="38" fontId="7" fillId="2" borderId="4" xfId="0" applyNumberFormat="1" applyFont="1" applyFill="1" applyBorder="1" applyAlignment="1">
      <alignment horizontal="center" wrapText="1"/>
    </xf>
    <xf numFmtId="38" fontId="7" fillId="0" borderId="0" xfId="0" applyNumberFormat="1" applyFont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6" fillId="2" borderId="0" xfId="8" applyFont="1" applyFill="1" applyBorder="1" applyAlignment="1">
      <alignment horizontal="center"/>
    </xf>
    <xf numFmtId="38" fontId="0" fillId="0" borderId="4" xfId="0" applyNumberFormat="1" applyBorder="1"/>
    <xf numFmtId="0" fontId="13" fillId="0" borderId="0" xfId="0" applyFont="1"/>
    <xf numFmtId="49" fontId="6" fillId="0" borderId="1" xfId="7" applyNumberFormat="1" applyFont="1" applyFill="1" applyBorder="1" applyAlignment="1">
      <alignment horizontal="center" wrapText="1"/>
    </xf>
    <xf numFmtId="38" fontId="0" fillId="2" borderId="4" xfId="0" applyNumberFormat="1" applyFill="1" applyBorder="1"/>
    <xf numFmtId="0" fontId="7" fillId="0" borderId="0" xfId="0" applyFont="1" applyBorder="1" applyAlignment="1">
      <alignment horizontal="left"/>
    </xf>
    <xf numFmtId="10" fontId="7" fillId="2" borderId="12" xfId="0" applyNumberFormat="1" applyFont="1" applyFill="1" applyBorder="1" applyAlignment="1">
      <alignment horizontal="center" wrapText="1"/>
    </xf>
    <xf numFmtId="10" fontId="0" fillId="2" borderId="0" xfId="0" applyNumberFormat="1" applyFill="1"/>
    <xf numFmtId="10" fontId="0" fillId="2" borderId="4" xfId="0" applyNumberFormat="1" applyFill="1" applyBorder="1"/>
    <xf numFmtId="0" fontId="0" fillId="2" borderId="0" xfId="0" applyFill="1"/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7" fontId="0" fillId="0" borderId="4" xfId="9" applyNumberFormat="1" applyFont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0" fontId="0" fillId="2" borderId="1" xfId="9" applyNumberFormat="1" applyFont="1" applyFill="1" applyBorder="1"/>
    <xf numFmtId="10" fontId="7" fillId="2" borderId="0" xfId="0" applyNumberFormat="1" applyFont="1" applyFill="1"/>
    <xf numFmtId="3" fontId="0" fillId="0" borderId="0" xfId="0" applyNumberFormat="1" applyFill="1"/>
    <xf numFmtId="3" fontId="0" fillId="0" borderId="4" xfId="0" applyNumberFormat="1" applyFill="1" applyBorder="1"/>
    <xf numFmtId="0" fontId="0" fillId="0" borderId="0" xfId="0" applyFill="1"/>
    <xf numFmtId="38" fontId="0" fillId="0" borderId="0" xfId="0" applyNumberFormat="1" applyFill="1"/>
    <xf numFmtId="38" fontId="7" fillId="0" borderId="0" xfId="0" applyNumberFormat="1" applyFont="1" applyFill="1"/>
    <xf numFmtId="168" fontId="0" fillId="0" borderId="0" xfId="1" applyNumberFormat="1" applyFont="1" applyFill="1"/>
    <xf numFmtId="0" fontId="0" fillId="0" borderId="0" xfId="0" applyFill="1" applyBorder="1"/>
    <xf numFmtId="0" fontId="9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38" fontId="7" fillId="3" borderId="4" xfId="0" applyNumberFormat="1" applyFont="1" applyFill="1" applyBorder="1" applyAlignment="1">
      <alignment horizontal="center" wrapText="1"/>
    </xf>
    <xf numFmtId="38" fontId="0" fillId="3" borderId="0" xfId="0" applyNumberFormat="1" applyFill="1"/>
    <xf numFmtId="38" fontId="0" fillId="3" borderId="4" xfId="0" applyNumberFormat="1" applyFill="1" applyBorder="1"/>
    <xf numFmtId="0" fontId="0" fillId="4" borderId="0" xfId="0" applyFill="1"/>
    <xf numFmtId="10" fontId="9" fillId="4" borderId="0" xfId="0" applyNumberFormat="1" applyFont="1" applyFill="1" applyBorder="1" applyAlignment="1">
      <alignment horizontal="center"/>
    </xf>
    <xf numFmtId="10" fontId="9" fillId="4" borderId="3" xfId="0" applyNumberFormat="1" applyFont="1" applyFill="1" applyBorder="1" applyAlignment="1">
      <alignment horizontal="center"/>
    </xf>
    <xf numFmtId="10" fontId="0" fillId="4" borderId="0" xfId="0" applyNumberFormat="1" applyFill="1"/>
    <xf numFmtId="38" fontId="0" fillId="4" borderId="1" xfId="0" applyNumberFormat="1" applyFill="1" applyBorder="1"/>
    <xf numFmtId="0" fontId="13" fillId="4" borderId="0" xfId="0" applyFont="1" applyFill="1" applyAlignment="1">
      <alignment horizontal="left"/>
    </xf>
    <xf numFmtId="38" fontId="0" fillId="4" borderId="0" xfId="0" applyNumberForma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38" fontId="7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4" fillId="4" borderId="1" xfId="8" applyFont="1" applyFill="1" applyBorder="1" applyAlignment="1">
      <alignment horizontal="center" wrapText="1"/>
    </xf>
    <xf numFmtId="38" fontId="7" fillId="4" borderId="1" xfId="0" applyNumberFormat="1" applyFont="1" applyFill="1" applyBorder="1" applyAlignment="1">
      <alignment horizontal="center" wrapText="1"/>
    </xf>
    <xf numFmtId="0" fontId="7" fillId="4" borderId="0" xfId="0" applyFont="1" applyFill="1" applyAlignment="1">
      <alignment wrapText="1"/>
    </xf>
    <xf numFmtId="0" fontId="6" fillId="4" borderId="0" xfId="8" applyFont="1" applyFill="1" applyBorder="1" applyAlignment="1">
      <alignment horizontal="center"/>
    </xf>
    <xf numFmtId="0" fontId="6" fillId="4" borderId="1" xfId="7" applyFont="1" applyFill="1" applyBorder="1" applyAlignment="1">
      <alignment horizontal="center" wrapText="1"/>
    </xf>
    <xf numFmtId="49" fontId="6" fillId="4" borderId="1" xfId="7" applyNumberFormat="1" applyFont="1" applyFill="1" applyBorder="1" applyAlignment="1">
      <alignment horizontal="center" wrapText="1"/>
    </xf>
    <xf numFmtId="49" fontId="8" fillId="4" borderId="0" xfId="0" applyNumberFormat="1" applyFont="1" applyFill="1" applyAlignment="1">
      <alignment horizontal="left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/>
    <xf numFmtId="38" fontId="0" fillId="0" borderId="0" xfId="0" applyNumberFormat="1" applyFill="1" applyBorder="1"/>
    <xf numFmtId="38" fontId="7" fillId="0" borderId="0" xfId="0" applyNumberFormat="1" applyFont="1" applyFill="1" applyAlignment="1">
      <alignment horizontal="center"/>
    </xf>
    <xf numFmtId="3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8" fontId="0" fillId="0" borderId="1" xfId="0" applyNumberFormat="1" applyFill="1" applyBorder="1"/>
    <xf numFmtId="38" fontId="6" fillId="0" borderId="1" xfId="7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5" fontId="0" fillId="0" borderId="0" xfId="0" applyNumberFormat="1" applyFill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7" fontId="7" fillId="0" borderId="4" xfId="0" applyNumberFormat="1" applyFont="1" applyFill="1" applyBorder="1" applyAlignment="1">
      <alignment horizontal="center"/>
    </xf>
    <xf numFmtId="7" fontId="7" fillId="0" borderId="0" xfId="0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right"/>
    </xf>
    <xf numFmtId="169" fontId="7" fillId="0" borderId="4" xfId="2" applyNumberFormat="1" applyFont="1" applyFill="1" applyBorder="1" applyAlignment="1">
      <alignment horizontal="center"/>
    </xf>
    <xf numFmtId="169" fontId="7" fillId="0" borderId="0" xfId="2" applyNumberFormat="1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1" fontId="0" fillId="0" borderId="0" xfId="0" applyNumberFormat="1" applyFill="1"/>
    <xf numFmtId="38" fontId="7" fillId="0" borderId="4" xfId="0" applyNumberFormat="1" applyFont="1" applyFill="1" applyBorder="1" applyAlignment="1">
      <alignment horizontal="center" wrapText="1"/>
    </xf>
    <xf numFmtId="0" fontId="13" fillId="0" borderId="0" xfId="0" applyFont="1" applyFill="1"/>
    <xf numFmtId="6" fontId="0" fillId="0" borderId="0" xfId="0" applyNumberFormat="1" applyFill="1"/>
    <xf numFmtId="0" fontId="7" fillId="0" borderId="0" xfId="0" applyFont="1" applyFill="1" applyAlignment="1"/>
    <xf numFmtId="0" fontId="7" fillId="0" borderId="0" xfId="0" applyFont="1" applyFill="1" applyBorder="1" applyAlignment="1">
      <alignment horizontal="right" vertical="top"/>
    </xf>
    <xf numFmtId="0" fontId="4" fillId="0" borderId="3" xfId="7" applyFont="1" applyFill="1" applyBorder="1" applyAlignment="1">
      <alignment horizontal="center"/>
    </xf>
    <xf numFmtId="6" fontId="7" fillId="0" borderId="3" xfId="0" applyNumberFormat="1" applyFont="1" applyFill="1" applyBorder="1" applyAlignment="1">
      <alignment horizontal="center"/>
    </xf>
    <xf numFmtId="0" fontId="0" fillId="0" borderId="10" xfId="0" applyFill="1" applyBorder="1"/>
    <xf numFmtId="169" fontId="0" fillId="0" borderId="10" xfId="0" applyNumberFormat="1" applyFill="1" applyBorder="1"/>
    <xf numFmtId="0" fontId="0" fillId="0" borderId="11" xfId="0" applyFill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6" fontId="0" fillId="0" borderId="0" xfId="0" applyNumberFormat="1" applyFill="1" applyBorder="1" applyAlignment="1"/>
    <xf numFmtId="10" fontId="6" fillId="0" borderId="1" xfId="7" applyNumberFormat="1" applyFont="1" applyFill="1" applyBorder="1" applyAlignment="1">
      <alignment horizontal="right" wrapText="1"/>
    </xf>
    <xf numFmtId="38" fontId="0" fillId="0" borderId="4" xfId="0" applyNumberFormat="1" applyFill="1" applyBorder="1" applyAlignment="1">
      <alignment horizontal="right"/>
    </xf>
    <xf numFmtId="0" fontId="6" fillId="0" borderId="1" xfId="7" applyFont="1" applyFill="1" applyBorder="1" applyAlignment="1">
      <alignment horizontal="left"/>
    </xf>
    <xf numFmtId="0" fontId="6" fillId="0" borderId="0" xfId="7" applyFont="1" applyFill="1" applyBorder="1" applyAlignment="1">
      <alignment horizontal="center" wrapText="1"/>
    </xf>
    <xf numFmtId="0" fontId="6" fillId="0" borderId="0" xfId="7" applyFont="1" applyFill="1" applyBorder="1" applyAlignment="1">
      <alignment horizontal="left" wrapText="1"/>
    </xf>
    <xf numFmtId="6" fontId="0" fillId="0" borderId="0" xfId="0" applyNumberFormat="1" applyFill="1" applyBorder="1" applyAlignment="1">
      <alignment horizontal="right"/>
    </xf>
    <xf numFmtId="0" fontId="14" fillId="0" borderId="0" xfId="0" applyFont="1" applyFill="1"/>
    <xf numFmtId="0" fontId="14" fillId="0" borderId="0" xfId="0" applyFont="1" applyFill="1" applyBorder="1"/>
    <xf numFmtId="10" fontId="6" fillId="0" borderId="0" xfId="7" applyNumberFormat="1" applyFont="1" applyFill="1" applyBorder="1" applyAlignment="1">
      <alignment horizontal="right" wrapText="1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0" fontId="0" fillId="0" borderId="0" xfId="0" applyNumberFormat="1" applyFill="1"/>
    <xf numFmtId="38" fontId="6" fillId="0" borderId="1" xfId="7" applyNumberFormat="1" applyFont="1" applyFill="1" applyBorder="1" applyAlignment="1">
      <alignment horizontal="right" wrapText="1"/>
    </xf>
    <xf numFmtId="0" fontId="6" fillId="0" borderId="14" xfId="5" applyFont="1" applyFill="1" applyBorder="1" applyAlignment="1">
      <alignment horizontal="center"/>
    </xf>
    <xf numFmtId="3" fontId="6" fillId="0" borderId="1" xfId="1" applyNumberFormat="1" applyFont="1" applyFill="1" applyBorder="1" applyAlignment="1">
      <alignment horizontal="right" wrapText="1"/>
    </xf>
    <xf numFmtId="10" fontId="0" fillId="0" borderId="0" xfId="0" applyNumberFormat="1" applyFill="1"/>
    <xf numFmtId="38" fontId="6" fillId="0" borderId="1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center" wrapText="1"/>
    </xf>
    <xf numFmtId="10" fontId="0" fillId="0" borderId="1" xfId="0" applyNumberFormat="1" applyFill="1" applyBorder="1"/>
    <xf numFmtId="10" fontId="0" fillId="0" borderId="4" xfId="0" applyNumberFormat="1" applyFill="1" applyBorder="1"/>
    <xf numFmtId="167" fontId="0" fillId="0" borderId="4" xfId="9" applyNumberFormat="1" applyFont="1" applyFill="1" applyBorder="1"/>
    <xf numFmtId="1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4" fillId="0" borderId="1" xfId="7" applyFont="1" applyFill="1" applyBorder="1" applyAlignment="1">
      <alignment horizontal="center" wrapText="1"/>
    </xf>
    <xf numFmtId="3" fontId="4" fillId="0" borderId="1" xfId="7" applyNumberFormat="1" applyFont="1" applyFill="1" applyBorder="1" applyAlignment="1">
      <alignment horizontal="center" wrapText="1"/>
    </xf>
    <xf numFmtId="10" fontId="7" fillId="0" borderId="1" xfId="0" applyNumberFormat="1" applyFont="1" applyFill="1" applyBorder="1" applyAlignment="1">
      <alignment horizontal="center" wrapText="1"/>
    </xf>
    <xf numFmtId="1" fontId="4" fillId="0" borderId="1" xfId="7" applyNumberFormat="1" applyFont="1" applyFill="1" applyBorder="1" applyAlignment="1">
      <alignment horizontal="center" wrapText="1" shrinkToFit="1"/>
    </xf>
    <xf numFmtId="0" fontId="4" fillId="0" borderId="6" xfId="7" applyFont="1" applyFill="1" applyBorder="1" applyAlignment="1">
      <alignment horizontal="center" wrapText="1"/>
    </xf>
    <xf numFmtId="38" fontId="6" fillId="0" borderId="6" xfId="3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horizontal="center" wrapText="1"/>
    </xf>
    <xf numFmtId="3" fontId="4" fillId="0" borderId="0" xfId="7" applyNumberFormat="1" applyFont="1" applyFill="1" applyBorder="1" applyAlignment="1">
      <alignment horizontal="center"/>
    </xf>
    <xf numFmtId="38" fontId="6" fillId="0" borderId="4" xfId="3" applyNumberFormat="1" applyFont="1" applyFill="1" applyBorder="1" applyAlignment="1">
      <alignment horizontal="right" wrapText="1"/>
    </xf>
    <xf numFmtId="10" fontId="6" fillId="0" borderId="8" xfId="7" applyNumberFormat="1" applyFont="1" applyFill="1" applyBorder="1" applyAlignment="1">
      <alignment horizontal="right" wrapText="1"/>
    </xf>
    <xf numFmtId="3" fontId="6" fillId="0" borderId="1" xfId="7" applyNumberFormat="1" applyFont="1" applyFill="1" applyBorder="1" applyAlignment="1">
      <alignment horizontal="right" wrapText="1"/>
    </xf>
    <xf numFmtId="10" fontId="0" fillId="0" borderId="0" xfId="9" applyNumberFormat="1" applyFont="1" applyFill="1"/>
    <xf numFmtId="4" fontId="0" fillId="0" borderId="0" xfId="0" applyNumberFormat="1" applyFill="1"/>
    <xf numFmtId="170" fontId="0" fillId="0" borderId="0" xfId="0" applyNumberFormat="1" applyFill="1"/>
    <xf numFmtId="0" fontId="13" fillId="0" borderId="0" xfId="0" applyFont="1" applyFill="1" applyAlignment="1"/>
    <xf numFmtId="0" fontId="0" fillId="0" borderId="0" xfId="0" applyFill="1" applyAlignment="1"/>
    <xf numFmtId="0" fontId="3" fillId="0" borderId="0" xfId="0" applyFont="1" applyFill="1"/>
    <xf numFmtId="0" fontId="16" fillId="0" borderId="0" xfId="0" applyFont="1" applyFill="1"/>
    <xf numFmtId="0" fontId="16" fillId="0" borderId="0" xfId="0" applyFont="1" applyFill="1" applyBorder="1" applyAlignment="1"/>
    <xf numFmtId="38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38" fontId="4" fillId="0" borderId="0" xfId="7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168" fontId="0" fillId="0" borderId="0" xfId="0" applyNumberFormat="1" applyFill="1"/>
    <xf numFmtId="3" fontId="0" fillId="0" borderId="0" xfId="0" applyNumberFormat="1" applyFill="1" applyBorder="1"/>
    <xf numFmtId="49" fontId="8" fillId="0" borderId="0" xfId="0" applyNumberFormat="1" applyFont="1" applyFill="1" applyAlignment="1"/>
    <xf numFmtId="10" fontId="4" fillId="0" borderId="0" xfId="7" applyNumberFormat="1" applyFont="1" applyFill="1" applyBorder="1" applyAlignment="1">
      <alignment horizontal="right" wrapText="1"/>
    </xf>
    <xf numFmtId="49" fontId="0" fillId="0" borderId="0" xfId="0" applyNumberFormat="1" applyFill="1" applyAlignment="1"/>
    <xf numFmtId="168" fontId="6" fillId="0" borderId="0" xfId="1" applyNumberFormat="1" applyFont="1" applyFill="1" applyBorder="1" applyAlignment="1">
      <alignment horizontal="right" wrapText="1"/>
    </xf>
    <xf numFmtId="0" fontId="7" fillId="5" borderId="0" xfId="0" applyFont="1" applyFill="1" applyBorder="1"/>
    <xf numFmtId="168" fontId="6" fillId="0" borderId="4" xfId="1" applyNumberFormat="1" applyFont="1" applyFill="1" applyBorder="1" applyAlignment="1">
      <alignment horizontal="right" wrapText="1"/>
    </xf>
    <xf numFmtId="0" fontId="7" fillId="6" borderId="19" xfId="0" applyFont="1" applyFill="1" applyBorder="1" applyAlignment="1">
      <alignment horizontal="center" wrapText="1"/>
    </xf>
    <xf numFmtId="0" fontId="0" fillId="6" borderId="0" xfId="0" applyFill="1"/>
    <xf numFmtId="168" fontId="0" fillId="0" borderId="0" xfId="0" applyNumberFormat="1"/>
    <xf numFmtId="0" fontId="13" fillId="0" borderId="0" xfId="0" applyFont="1" applyFill="1" applyBorder="1"/>
    <xf numFmtId="0" fontId="7" fillId="0" borderId="3" xfId="0" applyFont="1" applyFill="1" applyBorder="1"/>
    <xf numFmtId="0" fontId="4" fillId="0" borderId="2" xfId="7" applyFont="1" applyFill="1" applyBorder="1" applyAlignment="1">
      <alignment horizontal="center" wrapText="1"/>
    </xf>
    <xf numFmtId="0" fontId="6" fillId="0" borderId="1" xfId="4" applyFont="1" applyFill="1" applyBorder="1" applyAlignment="1">
      <alignment horizontal="center"/>
    </xf>
    <xf numFmtId="3" fontId="7" fillId="0" borderId="0" xfId="0" applyNumberFormat="1" applyFont="1" applyFill="1"/>
    <xf numFmtId="49" fontId="7" fillId="0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/>
    </xf>
    <xf numFmtId="38" fontId="7" fillId="0" borderId="5" xfId="0" applyNumberFormat="1" applyFont="1" applyFill="1" applyBorder="1" applyAlignment="1">
      <alignment horizontal="center" wrapText="1"/>
    </xf>
    <xf numFmtId="0" fontId="6" fillId="0" borderId="15" xfId="5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38" fontId="6" fillId="0" borderId="1" xfId="5" applyNumberFormat="1" applyFont="1" applyFill="1" applyBorder="1" applyAlignment="1">
      <alignment horizontal="right" wrapText="1"/>
    </xf>
    <xf numFmtId="164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/>
    <xf numFmtId="43" fontId="0" fillId="0" borderId="0" xfId="0" applyNumberFormat="1"/>
    <xf numFmtId="3" fontId="7" fillId="0" borderId="2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10" xfId="7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/>
    </xf>
    <xf numFmtId="38" fontId="15" fillId="0" borderId="1" xfId="7" applyNumberFormat="1" applyFont="1" applyFill="1" applyBorder="1" applyAlignment="1">
      <alignment horizontal="right"/>
    </xf>
    <xf numFmtId="38" fontId="6" fillId="0" borderId="4" xfId="7" applyNumberFormat="1" applyFont="1" applyFill="1" applyBorder="1" applyAlignment="1">
      <alignment horizontal="right"/>
    </xf>
    <xf numFmtId="3" fontId="6" fillId="0" borderId="0" xfId="7" applyNumberFormat="1" applyFont="1" applyFill="1" applyBorder="1" applyAlignment="1">
      <alignment horizontal="right"/>
    </xf>
    <xf numFmtId="9" fontId="0" fillId="0" borderId="0" xfId="9" applyFont="1" applyFill="1"/>
    <xf numFmtId="167" fontId="0" fillId="0" borderId="0" xfId="9" applyNumberFormat="1" applyFont="1" applyFill="1"/>
    <xf numFmtId="9" fontId="7" fillId="0" borderId="0" xfId="0" applyNumberFormat="1" applyFont="1" applyFill="1"/>
    <xf numFmtId="0" fontId="7" fillId="0" borderId="0" xfId="0" applyFont="1" applyAlignment="1">
      <alignment horizontal="center"/>
    </xf>
    <xf numFmtId="3" fontId="6" fillId="0" borderId="0" xfId="7" applyNumberFormat="1" applyFont="1" applyFill="1" applyBorder="1" applyAlignment="1">
      <alignment horizontal="center" wrapText="1"/>
    </xf>
    <xf numFmtId="0" fontId="3" fillId="0" borderId="0" xfId="0" applyFont="1"/>
    <xf numFmtId="168" fontId="7" fillId="0" borderId="0" xfId="0" applyNumberFormat="1" applyFont="1"/>
    <xf numFmtId="167" fontId="7" fillId="0" borderId="0" xfId="9" applyNumberFormat="1" applyFont="1" applyFill="1" applyBorder="1"/>
    <xf numFmtId="3" fontId="3" fillId="7" borderId="19" xfId="1" applyNumberFormat="1" applyFont="1" applyFill="1" applyBorder="1"/>
    <xf numFmtId="9" fontId="0" fillId="0" borderId="0" xfId="9" applyNumberFormat="1" applyFont="1" applyFill="1"/>
    <xf numFmtId="38" fontId="4" fillId="0" borderId="0" xfId="7" applyNumberFormat="1" applyFont="1" applyFill="1" applyBorder="1" applyAlignment="1">
      <alignment horizontal="right" wrapText="1"/>
    </xf>
    <xf numFmtId="168" fontId="0" fillId="0" borderId="0" xfId="1" applyNumberFormat="1" applyFont="1" applyBorder="1"/>
    <xf numFmtId="0" fontId="7" fillId="2" borderId="21" xfId="0" applyFont="1" applyFill="1" applyBorder="1" applyAlignment="1">
      <alignment horizontal="center" wrapText="1"/>
    </xf>
    <xf numFmtId="0" fontId="4" fillId="2" borderId="21" xfId="8" applyFont="1" applyFill="1" applyBorder="1" applyAlignment="1">
      <alignment horizontal="center" wrapText="1"/>
    </xf>
    <xf numFmtId="38" fontId="7" fillId="2" borderId="20" xfId="0" applyNumberFormat="1" applyFont="1" applyFill="1" applyBorder="1" applyAlignment="1">
      <alignment horizontal="center" wrapText="1"/>
    </xf>
    <xf numFmtId="49" fontId="6" fillId="0" borderId="21" xfId="7" applyNumberFormat="1" applyFont="1" applyFill="1" applyBorder="1" applyAlignment="1">
      <alignment horizontal="center" wrapText="1"/>
    </xf>
    <xf numFmtId="0" fontId="6" fillId="0" borderId="21" xfId="7" applyFont="1" applyFill="1" applyBorder="1" applyAlignment="1">
      <alignment horizontal="left" wrapText="1"/>
    </xf>
    <xf numFmtId="38" fontId="0" fillId="0" borderId="21" xfId="0" applyNumberFormat="1" applyBorder="1"/>
    <xf numFmtId="10" fontId="0" fillId="0" borderId="21" xfId="9" applyNumberFormat="1" applyFont="1" applyBorder="1"/>
    <xf numFmtId="38" fontId="0" fillId="0" borderId="21" xfId="0" applyNumberFormat="1" applyFill="1" applyBorder="1"/>
    <xf numFmtId="3" fontId="0" fillId="0" borderId="21" xfId="0" applyNumberFormat="1" applyFill="1" applyBorder="1"/>
    <xf numFmtId="3" fontId="0" fillId="0" borderId="21" xfId="0" applyNumberFormat="1" applyBorder="1"/>
    <xf numFmtId="0" fontId="6" fillId="0" borderId="21" xfId="7" applyFont="1" applyFill="1" applyBorder="1" applyAlignment="1">
      <alignment horizontal="left"/>
    </xf>
    <xf numFmtId="38" fontId="3" fillId="0" borderId="0" xfId="0" applyNumberFormat="1" applyFont="1"/>
    <xf numFmtId="10" fontId="3" fillId="0" borderId="0" xfId="9" applyNumberFormat="1" applyFont="1"/>
    <xf numFmtId="0" fontId="13" fillId="0" borderId="0" xfId="10" applyFont="1" applyFill="1"/>
    <xf numFmtId="0" fontId="3" fillId="0" borderId="0" xfId="10" applyFill="1"/>
    <xf numFmtId="3" fontId="3" fillId="0" borderId="0" xfId="10" applyNumberFormat="1" applyFill="1"/>
    <xf numFmtId="38" fontId="3" fillId="0" borderId="0" xfId="10" applyNumberFormat="1" applyFill="1"/>
    <xf numFmtId="10" fontId="3" fillId="0" borderId="0" xfId="10" applyNumberFormat="1" applyFill="1"/>
    <xf numFmtId="0" fontId="7" fillId="0" borderId="0" xfId="10" applyFont="1" applyFill="1"/>
    <xf numFmtId="0" fontId="7" fillId="0" borderId="0" xfId="10" applyFont="1" applyFill="1" applyAlignment="1">
      <alignment horizontal="left"/>
    </xf>
    <xf numFmtId="0" fontId="7" fillId="0" borderId="0" xfId="10" applyFont="1" applyFill="1" applyAlignment="1">
      <alignment horizontal="center"/>
    </xf>
    <xf numFmtId="3" fontId="7" fillId="0" borderId="0" xfId="10" applyNumberFormat="1" applyFont="1" applyFill="1" applyAlignment="1">
      <alignment horizontal="center"/>
    </xf>
    <xf numFmtId="38" fontId="7" fillId="0" borderId="0" xfId="10" applyNumberFormat="1" applyFont="1" applyFill="1" applyAlignment="1">
      <alignment horizontal="center"/>
    </xf>
    <xf numFmtId="10" fontId="7" fillId="0" borderId="0" xfId="10" applyNumberFormat="1" applyFont="1" applyFill="1" applyAlignment="1">
      <alignment horizontal="center"/>
    </xf>
    <xf numFmtId="0" fontId="3" fillId="0" borderId="0" xfId="10" applyFill="1" applyAlignment="1">
      <alignment horizontal="center"/>
    </xf>
    <xf numFmtId="0" fontId="4" fillId="0" borderId="22" xfId="7" applyFont="1" applyFill="1" applyBorder="1" applyAlignment="1">
      <alignment horizontal="center" wrapText="1"/>
    </xf>
    <xf numFmtId="3" fontId="17" fillId="0" borderId="22" xfId="7" applyNumberFormat="1" applyFont="1" applyFill="1" applyBorder="1" applyAlignment="1">
      <alignment horizontal="center" wrapText="1"/>
    </xf>
    <xf numFmtId="38" fontId="18" fillId="0" borderId="22" xfId="10" applyNumberFormat="1" applyFont="1" applyFill="1" applyBorder="1" applyAlignment="1">
      <alignment horizontal="center" wrapText="1"/>
    </xf>
    <xf numFmtId="38" fontId="17" fillId="0" borderId="22" xfId="7" applyNumberFormat="1" applyFont="1" applyFill="1" applyBorder="1" applyAlignment="1">
      <alignment horizontal="center" wrapText="1"/>
    </xf>
    <xf numFmtId="10" fontId="7" fillId="0" borderId="0" xfId="10" applyNumberFormat="1" applyFont="1" applyFill="1" applyBorder="1" applyAlignment="1">
      <alignment horizontal="center" wrapText="1"/>
    </xf>
    <xf numFmtId="10" fontId="7" fillId="0" borderId="22" xfId="10" applyNumberFormat="1" applyFont="1" applyFill="1" applyBorder="1" applyAlignment="1">
      <alignment horizontal="center" wrapText="1"/>
    </xf>
    <xf numFmtId="0" fontId="3" fillId="0" borderId="0" xfId="10" applyFill="1" applyAlignment="1">
      <alignment wrapText="1"/>
    </xf>
    <xf numFmtId="38" fontId="4" fillId="0" borderId="22" xfId="7" applyNumberFormat="1" applyFont="1" applyFill="1" applyBorder="1" applyAlignment="1">
      <alignment horizontal="center" wrapText="1"/>
    </xf>
    <xf numFmtId="38" fontId="3" fillId="0" borderId="0" xfId="10" applyNumberFormat="1" applyFill="1" applyBorder="1" applyAlignment="1">
      <alignment horizontal="center" wrapText="1"/>
    </xf>
    <xf numFmtId="10" fontId="3" fillId="0" borderId="0" xfId="10" applyNumberFormat="1" applyFill="1" applyAlignment="1">
      <alignment wrapText="1"/>
    </xf>
    <xf numFmtId="0" fontId="6" fillId="0" borderId="23" xfId="7" applyFont="1" applyFill="1" applyBorder="1" applyAlignment="1">
      <alignment horizontal="center" wrapText="1"/>
    </xf>
    <xf numFmtId="0" fontId="6" fillId="0" borderId="22" xfId="7" applyFont="1" applyFill="1" applyBorder="1" applyAlignment="1">
      <alignment horizontal="left" wrapText="1"/>
    </xf>
    <xf numFmtId="168" fontId="6" fillId="0" borderId="23" xfId="6" applyNumberFormat="1" applyFont="1" applyFill="1" applyBorder="1" applyAlignment="1">
      <alignment horizontal="right" wrapText="1"/>
    </xf>
    <xf numFmtId="38" fontId="6" fillId="0" borderId="25" xfId="7" applyNumberFormat="1" applyFont="1" applyFill="1" applyBorder="1" applyAlignment="1">
      <alignment horizontal="right" wrapText="1"/>
    </xf>
    <xf numFmtId="10" fontId="3" fillId="0" borderId="0" xfId="10" applyNumberFormat="1" applyFill="1" applyBorder="1" applyAlignment="1">
      <alignment horizontal="right"/>
    </xf>
    <xf numFmtId="168" fontId="6" fillId="0" borderId="23" xfId="1" applyNumberFormat="1" applyFont="1" applyFill="1" applyBorder="1" applyAlignment="1">
      <alignment horizontal="right" wrapText="1"/>
    </xf>
    <xf numFmtId="0" fontId="6" fillId="0" borderId="22" xfId="7" applyFont="1" applyFill="1" applyBorder="1" applyAlignment="1">
      <alignment horizontal="left"/>
    </xf>
    <xf numFmtId="49" fontId="6" fillId="0" borderId="22" xfId="7" applyNumberFormat="1" applyFont="1" applyFill="1" applyBorder="1" applyAlignment="1">
      <alignment horizontal="center" wrapText="1"/>
    </xf>
    <xf numFmtId="49" fontId="6" fillId="0" borderId="23" xfId="7" applyNumberFormat="1" applyFont="1" applyFill="1" applyBorder="1" applyAlignment="1">
      <alignment horizontal="center" wrapText="1"/>
    </xf>
    <xf numFmtId="3" fontId="3" fillId="0" borderId="0" xfId="10" applyNumberFormat="1" applyFill="1" applyAlignment="1">
      <alignment horizontal="right"/>
    </xf>
    <xf numFmtId="38" fontId="3" fillId="0" borderId="0" xfId="10" applyNumberFormat="1" applyFill="1" applyAlignment="1">
      <alignment horizontal="right"/>
    </xf>
    <xf numFmtId="0" fontId="3" fillId="0" borderId="0" xfId="10" applyFill="1" applyAlignment="1">
      <alignment horizontal="right"/>
    </xf>
    <xf numFmtId="10" fontId="3" fillId="0" borderId="0" xfId="10" applyNumberFormat="1" applyFill="1" applyAlignment="1">
      <alignment horizontal="right"/>
    </xf>
    <xf numFmtId="0" fontId="3" fillId="0" borderId="0" xfId="10" applyFont="1" applyFill="1" applyAlignment="1">
      <alignment horizontal="left"/>
    </xf>
    <xf numFmtId="0" fontId="3" fillId="0" borderId="0" xfId="10" applyFill="1" applyAlignment="1">
      <alignment horizontal="left"/>
    </xf>
    <xf numFmtId="49" fontId="8" fillId="0" borderId="0" xfId="10" applyNumberFormat="1" applyFont="1" applyFill="1" applyAlignment="1">
      <alignment horizontal="left"/>
    </xf>
    <xf numFmtId="0" fontId="7" fillId="0" borderId="0" xfId="0" applyFont="1" applyFill="1" applyBorder="1"/>
    <xf numFmtId="0" fontId="1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wrapText="1"/>
    </xf>
    <xf numFmtId="0" fontId="4" fillId="0" borderId="22" xfId="7" applyFont="1" applyFill="1" applyBorder="1" applyAlignment="1">
      <alignment horizontal="center"/>
    </xf>
    <xf numFmtId="0" fontId="4" fillId="10" borderId="22" xfId="7" applyFont="1" applyFill="1" applyBorder="1" applyAlignment="1">
      <alignment horizontal="center" wrapText="1"/>
    </xf>
    <xf numFmtId="38" fontId="4" fillId="10" borderId="22" xfId="7" applyNumberFormat="1" applyFont="1" applyFill="1" applyBorder="1" applyAlignment="1">
      <alignment horizontal="center" wrapText="1"/>
    </xf>
    <xf numFmtId="38" fontId="4" fillId="8" borderId="22" xfId="7" applyNumberFormat="1" applyFont="1" applyFill="1" applyBorder="1" applyAlignment="1">
      <alignment horizontal="center" wrapText="1"/>
    </xf>
    <xf numFmtId="10" fontId="7" fillId="0" borderId="22" xfId="0" applyNumberFormat="1" applyFont="1" applyFill="1" applyBorder="1" applyAlignment="1">
      <alignment horizontal="center" wrapText="1"/>
    </xf>
    <xf numFmtId="3" fontId="7" fillId="0" borderId="23" xfId="0" applyNumberFormat="1" applyFont="1" applyFill="1" applyBorder="1" applyAlignment="1">
      <alignment horizontal="center" wrapText="1"/>
    </xf>
    <xf numFmtId="0" fontId="4" fillId="0" borderId="25" xfId="7" applyFont="1" applyFill="1" applyBorder="1" applyAlignment="1">
      <alignment horizontal="center"/>
    </xf>
    <xf numFmtId="38" fontId="4" fillId="10" borderId="0" xfId="7" applyNumberFormat="1" applyFont="1" applyFill="1" applyBorder="1" applyAlignment="1">
      <alignment horizontal="center" wrapText="1"/>
    </xf>
    <xf numFmtId="38" fontId="4" fillId="10" borderId="25" xfId="7" applyNumberFormat="1" applyFont="1" applyFill="1" applyBorder="1" applyAlignment="1">
      <alignment horizontal="center" wrapText="1"/>
    </xf>
    <xf numFmtId="38" fontId="4" fillId="8" borderId="25" xfId="7" applyNumberFormat="1" applyFont="1" applyFill="1" applyBorder="1" applyAlignment="1">
      <alignment horizontal="center" wrapText="1"/>
    </xf>
    <xf numFmtId="38" fontId="4" fillId="0" borderId="25" xfId="7" applyNumberFormat="1" applyFont="1" applyFill="1" applyBorder="1" applyAlignment="1">
      <alignment horizontal="center" wrapText="1"/>
    </xf>
    <xf numFmtId="3" fontId="7" fillId="0" borderId="26" xfId="0" applyNumberFormat="1" applyFont="1" applyFill="1" applyBorder="1" applyAlignment="1">
      <alignment horizontal="center" wrapText="1"/>
    </xf>
    <xf numFmtId="0" fontId="6" fillId="0" borderId="22" xfId="7" applyFont="1" applyFill="1" applyBorder="1" applyAlignment="1">
      <alignment horizontal="center" wrapText="1"/>
    </xf>
    <xf numFmtId="3" fontId="0" fillId="10" borderId="23" xfId="0" applyNumberFormat="1" applyFill="1" applyBorder="1"/>
    <xf numFmtId="38" fontId="6" fillId="10" borderId="22" xfId="7" applyNumberFormat="1" applyFont="1" applyFill="1" applyBorder="1" applyAlignment="1">
      <alignment horizontal="right" wrapText="1"/>
    </xf>
    <xf numFmtId="38" fontId="6" fillId="8" borderId="22" xfId="7" applyNumberFormat="1" applyFont="1" applyFill="1" applyBorder="1" applyAlignment="1">
      <alignment horizontal="right" wrapText="1"/>
    </xf>
    <xf numFmtId="38" fontId="6" fillId="0" borderId="22" xfId="7" applyNumberFormat="1" applyFont="1" applyFill="1" applyBorder="1" applyAlignment="1">
      <alignment horizontal="right" wrapText="1"/>
    </xf>
    <xf numFmtId="10" fontId="0" fillId="0" borderId="23" xfId="0" applyNumberFormat="1" applyFill="1" applyBorder="1" applyAlignment="1">
      <alignment horizontal="right"/>
    </xf>
    <xf numFmtId="168" fontId="6" fillId="0" borderId="22" xfId="1" applyNumberFormat="1" applyFont="1" applyFill="1" applyBorder="1" applyAlignment="1">
      <alignment horizontal="right" wrapText="1"/>
    </xf>
    <xf numFmtId="3" fontId="0" fillId="0" borderId="23" xfId="0" applyNumberFormat="1" applyFill="1" applyBorder="1"/>
    <xf numFmtId="168" fontId="0" fillId="0" borderId="19" xfId="0" applyNumberFormat="1" applyFill="1" applyBorder="1"/>
    <xf numFmtId="9" fontId="7" fillId="0" borderId="0" xfId="9" applyFont="1" applyFill="1"/>
    <xf numFmtId="38" fontId="0" fillId="0" borderId="0" xfId="0" applyNumberFormat="1" applyBorder="1"/>
    <xf numFmtId="0" fontId="22" fillId="0" borderId="10" xfId="13" applyFont="1" applyFill="1" applyBorder="1" applyAlignment="1">
      <alignment horizontal="center"/>
    </xf>
    <xf numFmtId="0" fontId="22" fillId="0" borderId="23" xfId="13" applyFont="1" applyFill="1" applyBorder="1" applyAlignment="1">
      <alignment horizontal="center"/>
    </xf>
    <xf numFmtId="0" fontId="24" fillId="0" borderId="11" xfId="14" applyFont="1" applyFill="1" applyBorder="1" applyAlignment="1">
      <alignment wrapText="1"/>
    </xf>
    <xf numFmtId="0" fontId="22" fillId="0" borderId="11" xfId="14" applyFont="1" applyFill="1" applyBorder="1" applyAlignment="1">
      <alignment wrapText="1"/>
    </xf>
    <xf numFmtId="0" fontId="22" fillId="0" borderId="29" xfId="14" applyFont="1" applyFill="1" applyBorder="1" applyAlignment="1">
      <alignment wrapText="1"/>
    </xf>
    <xf numFmtId="38" fontId="0" fillId="0" borderId="4" xfId="0" applyNumberFormat="1" applyFill="1" applyBorder="1"/>
    <xf numFmtId="167" fontId="0" fillId="0" borderId="0" xfId="9" applyNumberFormat="1" applyFont="1"/>
    <xf numFmtId="0" fontId="26" fillId="0" borderId="0" xfId="18" applyFont="1" applyAlignment="1">
      <alignment horizontal="left"/>
    </xf>
    <xf numFmtId="0" fontId="26" fillId="0" borderId="0" xfId="18" applyFont="1" applyFill="1" applyAlignment="1">
      <alignment horizontal="left"/>
    </xf>
    <xf numFmtId="0" fontId="25" fillId="0" borderId="0" xfId="18" applyAlignment="1">
      <alignment horizontal="centerContinuous"/>
    </xf>
    <xf numFmtId="0" fontId="25" fillId="0" borderId="0" xfId="18"/>
    <xf numFmtId="0" fontId="25" fillId="5" borderId="23" xfId="18" applyFill="1" applyBorder="1"/>
    <xf numFmtId="0" fontId="27" fillId="0" borderId="30" xfId="18" applyFont="1" applyFill="1" applyBorder="1" applyAlignment="1">
      <alignment horizontal="center"/>
    </xf>
    <xf numFmtId="0" fontId="25" fillId="0" borderId="30" xfId="18" applyBorder="1"/>
    <xf numFmtId="0" fontId="27" fillId="0" borderId="30" xfId="18" applyFont="1" applyBorder="1" applyAlignment="1">
      <alignment horizontal="center"/>
    </xf>
    <xf numFmtId="0" fontId="7" fillId="0" borderId="31" xfId="18" applyNumberFormat="1" applyFont="1" applyBorder="1" applyAlignment="1" applyProtection="1">
      <alignment horizontal="left"/>
      <protection locked="0"/>
    </xf>
    <xf numFmtId="3" fontId="7" fillId="10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quotePrefix="1" applyNumberFormat="1" applyFont="1" applyFill="1" applyBorder="1" applyAlignment="1" applyProtection="1">
      <alignment horizontal="center" vertical="center" wrapText="1"/>
      <protection locked="0"/>
    </xf>
    <xf numFmtId="3" fontId="7" fillId="0" borderId="31" xfId="18" applyNumberFormat="1" applyFont="1" applyFill="1" applyBorder="1" applyAlignment="1" applyProtection="1">
      <alignment horizontal="center" vertical="center" wrapText="1"/>
      <protection locked="0"/>
    </xf>
    <xf numFmtId="3" fontId="7" fillId="11" borderId="31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18" applyFont="1" applyBorder="1" applyAlignment="1" applyProtection="1">
      <alignment horizontal="center" vertical="center" wrapText="1"/>
      <protection locked="0"/>
    </xf>
    <xf numFmtId="0" fontId="7" fillId="10" borderId="31" xfId="18" applyFont="1" applyFill="1" applyBorder="1" applyAlignment="1" applyProtection="1">
      <alignment horizontal="center" vertical="center" wrapText="1"/>
      <protection locked="0"/>
    </xf>
    <xf numFmtId="0" fontId="7" fillId="11" borderId="31" xfId="18" applyFont="1" applyFill="1" applyBorder="1" applyAlignment="1" applyProtection="1">
      <alignment horizontal="center" vertical="center" wrapText="1"/>
      <protection locked="0"/>
    </xf>
    <xf numFmtId="3" fontId="7" fillId="0" borderId="32" xfId="18" applyNumberFormat="1" applyFont="1" applyBorder="1" applyAlignment="1" applyProtection="1">
      <alignment horizontal="center" vertical="center" wrapText="1"/>
      <protection locked="0"/>
    </xf>
    <xf numFmtId="0" fontId="3" fillId="0" borderId="0" xfId="18" applyFont="1" applyAlignment="1" applyProtection="1">
      <alignment horizontal="right"/>
      <protection locked="0"/>
    </xf>
    <xf numFmtId="0" fontId="6" fillId="0" borderId="23" xfId="19" applyFont="1" applyFill="1" applyBorder="1" applyAlignment="1">
      <alignment wrapText="1"/>
    </xf>
    <xf numFmtId="3" fontId="3" fillId="10" borderId="33" xfId="18" quotePrefix="1" applyNumberFormat="1" applyFont="1" applyFill="1" applyBorder="1" applyProtection="1">
      <protection locked="0"/>
    </xf>
    <xf numFmtId="3" fontId="3" fillId="11" borderId="33" xfId="18" quotePrefix="1" applyNumberFormat="1" applyFont="1" applyFill="1" applyBorder="1" applyProtection="1">
      <protection locked="0"/>
    </xf>
    <xf numFmtId="3" fontId="3" fillId="0" borderId="33" xfId="18" quotePrefix="1" applyNumberFormat="1" applyFont="1" applyFill="1" applyBorder="1" applyProtection="1">
      <protection locked="0"/>
    </xf>
    <xf numFmtId="3" fontId="3" fillId="0" borderId="34" xfId="18" applyNumberFormat="1" applyFont="1" applyFill="1" applyBorder="1" applyProtection="1">
      <protection locked="0"/>
    </xf>
    <xf numFmtId="167" fontId="3" fillId="0" borderId="35" xfId="20" applyNumberFormat="1" applyFont="1" applyBorder="1" applyProtection="1">
      <protection locked="0"/>
    </xf>
    <xf numFmtId="1" fontId="3" fillId="10" borderId="29" xfId="18" applyNumberFormat="1" applyFont="1" applyFill="1" applyBorder="1" applyProtection="1">
      <protection locked="0"/>
    </xf>
    <xf numFmtId="1" fontId="3" fillId="11" borderId="29" xfId="18" applyNumberFormat="1" applyFont="1" applyFill="1" applyBorder="1" applyProtection="1">
      <protection locked="0"/>
    </xf>
    <xf numFmtId="3" fontId="3" fillId="10" borderId="29" xfId="18" applyNumberFormat="1" applyFont="1" applyFill="1" applyBorder="1" applyProtection="1">
      <protection locked="0"/>
    </xf>
    <xf numFmtId="167" fontId="3" fillId="0" borderId="23" xfId="20" applyNumberFormat="1" applyFont="1" applyBorder="1" applyProtection="1">
      <protection locked="0"/>
    </xf>
    <xf numFmtId="0" fontId="3" fillId="0" borderId="0" xfId="18" applyFont="1" applyProtection="1">
      <protection locked="0"/>
    </xf>
    <xf numFmtId="0" fontId="3" fillId="0" borderId="36" xfId="18" quotePrefix="1" applyNumberFormat="1" applyFont="1" applyBorder="1" applyProtection="1">
      <protection locked="0"/>
    </xf>
    <xf numFmtId="3" fontId="3" fillId="0" borderId="28" xfId="18" quotePrefix="1" applyNumberFormat="1" applyFont="1" applyFill="1" applyBorder="1" applyProtection="1">
      <protection locked="0"/>
    </xf>
    <xf numFmtId="3" fontId="3" fillId="11" borderId="28" xfId="18" quotePrefix="1" applyNumberFormat="1" applyFont="1" applyFill="1" applyBorder="1" applyProtection="1">
      <protection locked="0"/>
    </xf>
    <xf numFmtId="3" fontId="3" fillId="0" borderId="23" xfId="18" applyNumberFormat="1" applyFont="1" applyFill="1" applyBorder="1" applyProtection="1">
      <protection locked="0"/>
    </xf>
    <xf numFmtId="1" fontId="3" fillId="10" borderId="23" xfId="18" applyNumberFormat="1" applyFont="1" applyFill="1" applyBorder="1" applyProtection="1">
      <protection locked="0"/>
    </xf>
    <xf numFmtId="168" fontId="3" fillId="11" borderId="23" xfId="21" applyNumberFormat="1" applyFont="1" applyFill="1" applyBorder="1" applyProtection="1">
      <protection locked="0"/>
    </xf>
    <xf numFmtId="3" fontId="3" fillId="10" borderId="23" xfId="18" applyNumberFormat="1" applyFont="1" applyFill="1" applyBorder="1" applyProtection="1">
      <protection locked="0"/>
    </xf>
    <xf numFmtId="0" fontId="3" fillId="0" borderId="36" xfId="18" quotePrefix="1" applyNumberFormat="1" applyFont="1" applyBorder="1" applyAlignment="1" applyProtection="1">
      <alignment horizontal="left"/>
      <protection locked="0"/>
    </xf>
    <xf numFmtId="0" fontId="7" fillId="0" borderId="37" xfId="18" applyNumberFormat="1" applyFont="1" applyBorder="1" applyProtection="1">
      <protection locked="0"/>
    </xf>
    <xf numFmtId="3" fontId="7" fillId="10" borderId="23" xfId="18" quotePrefix="1" applyNumberFormat="1" applyFont="1" applyFill="1" applyBorder="1" applyProtection="1">
      <protection locked="0"/>
    </xf>
    <xf numFmtId="3" fontId="7" fillId="11" borderId="23" xfId="18" quotePrefix="1" applyNumberFormat="1" applyFont="1" applyFill="1" applyBorder="1" applyProtection="1">
      <protection locked="0"/>
    </xf>
    <xf numFmtId="3" fontId="7" fillId="0" borderId="23" xfId="18" quotePrefix="1" applyNumberFormat="1" applyFont="1" applyFill="1" applyBorder="1" applyProtection="1">
      <protection locked="0"/>
    </xf>
    <xf numFmtId="3" fontId="7" fillId="0" borderId="23" xfId="18" applyNumberFormat="1" applyFont="1" applyFill="1" applyBorder="1" applyProtection="1">
      <protection locked="0"/>
    </xf>
    <xf numFmtId="167" fontId="7" fillId="0" borderId="23" xfId="20" quotePrefix="1" applyNumberFormat="1" applyFont="1" applyBorder="1" applyProtection="1">
      <protection locked="0"/>
    </xf>
    <xf numFmtId="1" fontId="7" fillId="10" borderId="23" xfId="18" applyNumberFormat="1" applyFont="1" applyFill="1" applyBorder="1" applyProtection="1">
      <protection locked="0"/>
    </xf>
    <xf numFmtId="168" fontId="7" fillId="11" borderId="23" xfId="21" applyNumberFormat="1" applyFont="1" applyFill="1" applyBorder="1" applyProtection="1">
      <protection locked="0"/>
    </xf>
    <xf numFmtId="3" fontId="7" fillId="10" borderId="23" xfId="18" applyNumberFormat="1" applyFont="1" applyFill="1" applyBorder="1" applyProtection="1">
      <protection locked="0"/>
    </xf>
    <xf numFmtId="0" fontId="3" fillId="0" borderId="36" xfId="18" applyNumberFormat="1" applyFont="1" applyBorder="1" applyAlignment="1" applyProtection="1">
      <alignment horizontal="left" indent="2"/>
      <protection locked="0"/>
    </xf>
    <xf numFmtId="0" fontId="3" fillId="0" borderId="38" xfId="18" quotePrefix="1" applyNumberFormat="1" applyFont="1" applyBorder="1" applyProtection="1">
      <protection locked="0"/>
    </xf>
    <xf numFmtId="167" fontId="3" fillId="0" borderId="30" xfId="20" applyNumberFormat="1" applyFont="1" applyBorder="1" applyProtection="1">
      <protection locked="0"/>
    </xf>
    <xf numFmtId="1" fontId="3" fillId="11" borderId="23" xfId="18" applyNumberFormat="1" applyFont="1" applyFill="1" applyBorder="1" applyProtection="1">
      <protection locked="0"/>
    </xf>
    <xf numFmtId="0" fontId="7" fillId="0" borderId="39" xfId="18" applyNumberFormat="1" applyFont="1" applyBorder="1" applyProtection="1">
      <protection locked="0"/>
    </xf>
    <xf numFmtId="3" fontId="7" fillId="10" borderId="40" xfId="18" applyNumberFormat="1" applyFont="1" applyFill="1" applyBorder="1" applyProtection="1">
      <protection locked="0"/>
    </xf>
    <xf numFmtId="3" fontId="7" fillId="11" borderId="40" xfId="18" applyNumberFormat="1" applyFont="1" applyFill="1" applyBorder="1" applyProtection="1">
      <protection locked="0"/>
    </xf>
    <xf numFmtId="3" fontId="7" fillId="0" borderId="40" xfId="18" applyNumberFormat="1" applyFont="1" applyFill="1" applyBorder="1" applyProtection="1">
      <protection locked="0"/>
    </xf>
    <xf numFmtId="167" fontId="7" fillId="0" borderId="41" xfId="20" applyNumberFormat="1" applyFont="1" applyBorder="1" applyProtection="1">
      <protection locked="0"/>
    </xf>
    <xf numFmtId="0" fontId="7" fillId="0" borderId="0" xfId="18" applyFont="1" applyProtection="1">
      <protection locked="0"/>
    </xf>
    <xf numFmtId="0" fontId="7" fillId="0" borderId="0" xfId="18" applyNumberFormat="1" applyFont="1" applyBorder="1" applyProtection="1">
      <protection locked="0"/>
    </xf>
    <xf numFmtId="3" fontId="3" fillId="0" borderId="0" xfId="18" applyNumberFormat="1" applyFont="1" applyBorder="1" applyProtection="1">
      <protection locked="0"/>
    </xf>
    <xf numFmtId="3" fontId="3" fillId="0" borderId="0" xfId="18" applyNumberFormat="1" applyFont="1" applyFill="1" applyBorder="1" applyProtection="1">
      <protection locked="0"/>
    </xf>
    <xf numFmtId="0" fontId="3" fillId="0" borderId="0" xfId="18" applyFont="1" applyFill="1" applyProtection="1">
      <protection locked="0"/>
    </xf>
    <xf numFmtId="167" fontId="3" fillId="0" borderId="0" xfId="20" applyNumberFormat="1" applyFont="1" applyProtection="1">
      <protection locked="0"/>
    </xf>
    <xf numFmtId="0" fontId="7" fillId="0" borderId="31" xfId="18" applyNumberFormat="1" applyFont="1" applyBorder="1" applyProtection="1">
      <protection locked="0"/>
    </xf>
    <xf numFmtId="3" fontId="3" fillId="0" borderId="42" xfId="18" quotePrefix="1" applyNumberFormat="1" applyFont="1" applyBorder="1" applyProtection="1">
      <protection locked="0"/>
    </xf>
    <xf numFmtId="3" fontId="3" fillId="0" borderId="42" xfId="18" quotePrefix="1" applyNumberFormat="1" applyFont="1" applyFill="1" applyBorder="1" applyProtection="1">
      <protection locked="0"/>
    </xf>
    <xf numFmtId="3" fontId="3" fillId="0" borderId="0" xfId="18" quotePrefix="1" applyNumberFormat="1" applyFont="1" applyFill="1" applyBorder="1" applyProtection="1">
      <protection locked="0"/>
    </xf>
    <xf numFmtId="0" fontId="3" fillId="0" borderId="0" xfId="18" applyFont="1" applyFill="1" applyBorder="1" applyProtection="1">
      <protection locked="0"/>
    </xf>
    <xf numFmtId="0" fontId="3" fillId="0" borderId="0" xfId="18" applyFont="1" applyBorder="1" applyProtection="1">
      <protection locked="0"/>
    </xf>
    <xf numFmtId="0" fontId="3" fillId="0" borderId="33" xfId="18" quotePrefix="1" applyNumberFormat="1" applyFont="1" applyBorder="1" applyProtection="1">
      <protection locked="0"/>
    </xf>
    <xf numFmtId="3" fontId="3" fillId="0" borderId="35" xfId="18" quotePrefix="1" applyNumberFormat="1" applyFont="1" applyFill="1" applyBorder="1" applyProtection="1">
      <protection locked="0"/>
    </xf>
    <xf numFmtId="3" fontId="3" fillId="11" borderId="35" xfId="18" quotePrefix="1" applyNumberFormat="1" applyFont="1" applyFill="1" applyBorder="1" applyProtection="1">
      <protection locked="0"/>
    </xf>
    <xf numFmtId="3" fontId="3" fillId="0" borderId="35" xfId="18" applyNumberFormat="1" applyFont="1" applyFill="1" applyBorder="1" applyProtection="1">
      <protection locked="0"/>
    </xf>
    <xf numFmtId="167" fontId="3" fillId="0" borderId="10" xfId="20" applyNumberFormat="1" applyFont="1" applyBorder="1" applyProtection="1">
      <protection locked="0"/>
    </xf>
    <xf numFmtId="3" fontId="7" fillId="12" borderId="40" xfId="18" applyNumberFormat="1" applyFont="1" applyFill="1" applyBorder="1" applyProtection="1">
      <protection locked="0"/>
    </xf>
    <xf numFmtId="0" fontId="7" fillId="0" borderId="43" xfId="18" applyNumberFormat="1" applyFont="1" applyBorder="1" applyProtection="1">
      <protection locked="0"/>
    </xf>
    <xf numFmtId="3" fontId="7" fillId="10" borderId="43" xfId="18" applyNumberFormat="1" applyFont="1" applyFill="1" applyBorder="1" applyProtection="1">
      <protection locked="0"/>
    </xf>
    <xf numFmtId="3" fontId="7" fillId="11" borderId="43" xfId="18" applyNumberFormat="1" applyFont="1" applyFill="1" applyBorder="1" applyProtection="1">
      <protection locked="0"/>
    </xf>
    <xf numFmtId="3" fontId="7" fillId="0" borderId="43" xfId="18" applyNumberFormat="1" applyFont="1" applyFill="1" applyBorder="1" applyProtection="1">
      <protection locked="0"/>
    </xf>
    <xf numFmtId="167" fontId="7" fillId="0" borderId="43" xfId="20" applyNumberFormat="1" applyFont="1" applyBorder="1" applyProtection="1">
      <protection locked="0"/>
    </xf>
    <xf numFmtId="0" fontId="7" fillId="0" borderId="44" xfId="18" applyFont="1" applyBorder="1"/>
    <xf numFmtId="0" fontId="25" fillId="0" borderId="45" xfId="18" applyBorder="1"/>
    <xf numFmtId="0" fontId="25" fillId="0" borderId="46" xfId="18" applyBorder="1"/>
    <xf numFmtId="0" fontId="25" fillId="0" borderId="47" xfId="18" applyFill="1" applyBorder="1"/>
    <xf numFmtId="0" fontId="25" fillId="0" borderId="47" xfId="18" applyBorder="1"/>
    <xf numFmtId="1" fontId="3" fillId="0" borderId="29" xfId="18" applyNumberFormat="1" applyFont="1" applyBorder="1" applyProtection="1">
      <protection locked="0"/>
    </xf>
    <xf numFmtId="1" fontId="3" fillId="0" borderId="0" xfId="18" applyNumberFormat="1" applyFont="1" applyBorder="1" applyProtection="1">
      <protection locked="0"/>
    </xf>
    <xf numFmtId="0" fontId="25" fillId="0" borderId="0" xfId="18" applyFill="1"/>
    <xf numFmtId="3" fontId="25" fillId="0" borderId="0" xfId="18" applyNumberFormat="1"/>
    <xf numFmtId="0" fontId="7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8" fontId="3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3" fillId="0" borderId="0" xfId="0" applyNumberFormat="1" applyFont="1" applyAlignment="1">
      <alignment horizontal="left"/>
    </xf>
    <xf numFmtId="38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7" fontId="0" fillId="0" borderId="0" xfId="9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0" fontId="0" fillId="0" borderId="0" xfId="0" applyNumberFormat="1" applyFill="1" applyBorder="1"/>
    <xf numFmtId="3" fontId="3" fillId="6" borderId="19" xfId="1" applyNumberFormat="1" applyFont="1" applyFill="1" applyBorder="1"/>
    <xf numFmtId="168" fontId="0" fillId="9" borderId="0" xfId="1" applyNumberFormat="1" applyFont="1" applyFill="1"/>
    <xf numFmtId="167" fontId="8" fillId="0" borderId="0" xfId="9" applyNumberFormat="1" applyFont="1" applyFill="1" applyBorder="1" applyAlignment="1">
      <alignment horizontal="center"/>
    </xf>
    <xf numFmtId="10" fontId="3" fillId="0" borderId="23" xfId="10" applyNumberFormat="1" applyFill="1" applyBorder="1" applyAlignment="1">
      <alignment horizontal="right"/>
    </xf>
    <xf numFmtId="0" fontId="7" fillId="12" borderId="19" xfId="0" applyFont="1" applyFill="1" applyBorder="1" applyAlignment="1">
      <alignment horizontal="center" wrapText="1"/>
    </xf>
    <xf numFmtId="0" fontId="0" fillId="12" borderId="0" xfId="0" applyFill="1"/>
    <xf numFmtId="168" fontId="3" fillId="13" borderId="19" xfId="1" applyNumberFormat="1" applyFont="1" applyFill="1" applyBorder="1"/>
    <xf numFmtId="168" fontId="3" fillId="12" borderId="19" xfId="1" applyNumberFormat="1" applyFont="1" applyFill="1" applyBorder="1"/>
    <xf numFmtId="0" fontId="21" fillId="0" borderId="0" xfId="22" applyFont="1"/>
    <xf numFmtId="167" fontId="21" fillId="0" borderId="0" xfId="22" applyNumberFormat="1" applyFont="1"/>
    <xf numFmtId="0" fontId="20" fillId="0" borderId="23" xfId="22" applyFont="1" applyBorder="1" applyAlignment="1">
      <alignment wrapText="1"/>
    </xf>
    <xf numFmtId="167" fontId="20" fillId="0" borderId="27" xfId="22" applyNumberFormat="1" applyFont="1" applyBorder="1" applyAlignment="1">
      <alignment horizontal="center" vertical="center" wrapText="1"/>
    </xf>
    <xf numFmtId="0" fontId="21" fillId="0" borderId="0" xfId="22" applyFont="1" applyAlignment="1">
      <alignment wrapText="1"/>
    </xf>
    <xf numFmtId="0" fontId="21" fillId="0" borderId="11" xfId="22" applyFont="1" applyBorder="1"/>
    <xf numFmtId="0" fontId="20" fillId="0" borderId="11" xfId="22" applyFont="1" applyBorder="1"/>
    <xf numFmtId="0" fontId="20" fillId="0" borderId="29" xfId="22" applyFont="1" applyBorder="1"/>
    <xf numFmtId="3" fontId="21" fillId="0" borderId="0" xfId="22" applyNumberFormat="1" applyFont="1"/>
    <xf numFmtId="3" fontId="20" fillId="0" borderId="23" xfId="22" applyNumberFormat="1" applyFont="1" applyBorder="1" applyAlignment="1">
      <alignment horizontal="center" vertical="center" wrapText="1"/>
    </xf>
    <xf numFmtId="4" fontId="20" fillId="0" borderId="23" xfId="22" applyNumberFormat="1" applyFont="1" applyBorder="1" applyAlignment="1">
      <alignment horizontal="center" vertical="center" wrapText="1"/>
    </xf>
    <xf numFmtId="0" fontId="20" fillId="0" borderId="13" xfId="22" applyFont="1" applyBorder="1"/>
    <xf numFmtId="3" fontId="20" fillId="0" borderId="26" xfId="22" applyNumberFormat="1" applyFont="1" applyBorder="1"/>
    <xf numFmtId="0" fontId="24" fillId="0" borderId="10" xfId="14" applyFont="1" applyFill="1" applyBorder="1" applyAlignment="1">
      <alignment wrapText="1"/>
    </xf>
    <xf numFmtId="0" fontId="22" fillId="0" borderId="11" xfId="17" applyFont="1" applyFill="1" applyBorder="1" applyAlignment="1">
      <alignment wrapText="1"/>
    </xf>
    <xf numFmtId="0" fontId="24" fillId="0" borderId="11" xfId="14" applyFont="1" applyFill="1" applyBorder="1" applyAlignment="1"/>
    <xf numFmtId="38" fontId="6" fillId="0" borderId="9" xfId="7" applyNumberFormat="1" applyFont="1" applyFill="1" applyBorder="1" applyAlignment="1">
      <alignment horizontal="right" wrapText="1"/>
    </xf>
    <xf numFmtId="168" fontId="6" fillId="0" borderId="7" xfId="5" applyNumberFormat="1" applyFont="1" applyFill="1" applyBorder="1" applyAlignment="1">
      <alignment horizontal="right" wrapText="1"/>
    </xf>
    <xf numFmtId="168" fontId="6" fillId="0" borderId="9" xfId="7" applyNumberFormat="1" applyFont="1" applyFill="1" applyBorder="1" applyAlignment="1">
      <alignment horizontal="right" wrapText="1"/>
    </xf>
    <xf numFmtId="0" fontId="28" fillId="0" borderId="0" xfId="0" applyFont="1" applyBorder="1" applyAlignment="1">
      <alignment horizontal="center"/>
    </xf>
    <xf numFmtId="0" fontId="27" fillId="0" borderId="0" xfId="18" applyFont="1" applyAlignment="1">
      <alignment horizontal="centerContinuous"/>
    </xf>
    <xf numFmtId="6" fontId="7" fillId="0" borderId="0" xfId="0" applyNumberFormat="1" applyFont="1" applyFill="1"/>
    <xf numFmtId="0" fontId="7" fillId="0" borderId="0" xfId="0" applyFont="1" applyAlignment="1">
      <alignment horizontal="right"/>
    </xf>
    <xf numFmtId="38" fontId="7" fillId="0" borderId="0" xfId="0" applyNumberFormat="1" applyFont="1" applyAlignment="1">
      <alignment horizontal="right"/>
    </xf>
    <xf numFmtId="10" fontId="7" fillId="0" borderId="0" xfId="10" applyNumberFormat="1" applyFont="1" applyFill="1" applyAlignment="1">
      <alignment horizontal="right"/>
    </xf>
    <xf numFmtId="0" fontId="28" fillId="0" borderId="0" xfId="0" applyFont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68" fontId="0" fillId="9" borderId="23" xfId="1" applyNumberFormat="1" applyFont="1" applyFill="1" applyBorder="1"/>
    <xf numFmtId="0" fontId="4" fillId="8" borderId="22" xfId="7" applyFont="1" applyFill="1" applyBorder="1" applyAlignment="1">
      <alignment horizontal="center" wrapText="1"/>
    </xf>
    <xf numFmtId="38" fontId="4" fillId="8" borderId="0" xfId="7" applyNumberFormat="1" applyFont="1" applyFill="1" applyBorder="1" applyAlignment="1">
      <alignment horizontal="center" wrapText="1"/>
    </xf>
    <xf numFmtId="3" fontId="0" fillId="8" borderId="23" xfId="0" applyNumberFormat="1" applyFill="1" applyBorder="1"/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38" fontId="6" fillId="0" borderId="22" xfId="1" applyNumberFormat="1" applyFont="1" applyFill="1" applyBorder="1" applyAlignment="1">
      <alignment horizontal="right" wrapText="1"/>
    </xf>
    <xf numFmtId="49" fontId="7" fillId="0" borderId="26" xfId="0" applyNumberFormat="1" applyFont="1" applyFill="1" applyBorder="1" applyAlignment="1">
      <alignment horizontal="center"/>
    </xf>
    <xf numFmtId="38" fontId="7" fillId="0" borderId="13" xfId="0" applyNumberFormat="1" applyFont="1" applyFill="1" applyBorder="1" applyAlignment="1">
      <alignment horizontal="center"/>
    </xf>
    <xf numFmtId="38" fontId="7" fillId="0" borderId="23" xfId="0" applyNumberFormat="1" applyFont="1" applyFill="1" applyBorder="1" applyAlignment="1">
      <alignment horizontal="center" wrapText="1"/>
    </xf>
    <xf numFmtId="38" fontId="6" fillId="0" borderId="48" xfId="5" applyNumberFormat="1" applyFont="1" applyFill="1" applyBorder="1" applyAlignment="1">
      <alignment horizontal="center"/>
    </xf>
    <xf numFmtId="0" fontId="7" fillId="9" borderId="49" xfId="0" applyFont="1" applyFill="1" applyBorder="1" applyAlignment="1">
      <alignment horizontal="center" wrapText="1"/>
    </xf>
    <xf numFmtId="168" fontId="6" fillId="0" borderId="8" xfId="1" applyNumberFormat="1" applyFont="1" applyFill="1" applyBorder="1" applyAlignment="1">
      <alignment horizontal="right" wrapText="1"/>
    </xf>
    <xf numFmtId="0" fontId="6" fillId="0" borderId="1" xfId="7" applyFont="1" applyFill="1" applyBorder="1" applyAlignment="1"/>
    <xf numFmtId="38" fontId="3" fillId="0" borderId="0" xfId="0" applyNumberFormat="1" applyFont="1" applyFill="1"/>
    <xf numFmtId="167" fontId="24" fillId="0" borderId="50" xfId="9" applyNumberFormat="1" applyFont="1" applyFill="1" applyBorder="1" applyAlignment="1">
      <alignment horizontal="right" wrapText="1"/>
    </xf>
    <xf numFmtId="168" fontId="21" fillId="0" borderId="0" xfId="1" applyNumberFormat="1" applyFont="1"/>
    <xf numFmtId="167" fontId="24" fillId="0" borderId="11" xfId="9" applyNumberFormat="1" applyFont="1" applyFill="1" applyBorder="1" applyAlignment="1">
      <alignment horizontal="right" wrapText="1"/>
    </xf>
    <xf numFmtId="167" fontId="22" fillId="0" borderId="11" xfId="9" applyNumberFormat="1" applyFont="1" applyFill="1" applyBorder="1" applyAlignment="1">
      <alignment horizontal="right" wrapText="1"/>
    </xf>
    <xf numFmtId="168" fontId="20" fillId="0" borderId="0" xfId="1" applyNumberFormat="1" applyFont="1"/>
    <xf numFmtId="168" fontId="20" fillId="0" borderId="11" xfId="1" applyNumberFormat="1" applyFont="1" applyBorder="1"/>
    <xf numFmtId="167" fontId="22" fillId="0" borderId="51" xfId="9" applyNumberFormat="1" applyFont="1" applyFill="1" applyBorder="1" applyAlignment="1">
      <alignment horizontal="right" wrapText="1"/>
    </xf>
    <xf numFmtId="168" fontId="20" fillId="0" borderId="51" xfId="1" applyNumberFormat="1" applyFont="1" applyBorder="1"/>
    <xf numFmtId="0" fontId="23" fillId="0" borderId="49" xfId="26" applyFont="1" applyFill="1" applyBorder="1" applyAlignment="1">
      <alignment horizontal="center" wrapText="1"/>
    </xf>
    <xf numFmtId="0" fontId="20" fillId="0" borderId="52" xfId="0" applyFont="1" applyBorder="1" applyAlignment="1">
      <alignment horizontal="center"/>
    </xf>
    <xf numFmtId="10" fontId="0" fillId="0" borderId="0" xfId="9" applyNumberFormat="1" applyFont="1"/>
    <xf numFmtId="38" fontId="0" fillId="5" borderId="0" xfId="0" applyNumberFormat="1" applyFill="1"/>
    <xf numFmtId="168" fontId="6" fillId="0" borderId="24" xfId="7" applyNumberFormat="1" applyFont="1" applyFill="1" applyBorder="1" applyAlignment="1">
      <alignment horizontal="right" wrapText="1"/>
    </xf>
    <xf numFmtId="168" fontId="3" fillId="0" borderId="23" xfId="10" applyNumberFormat="1" applyFill="1" applyBorder="1" applyAlignment="1">
      <alignment horizontal="right"/>
    </xf>
    <xf numFmtId="167" fontId="21" fillId="0" borderId="0" xfId="9" applyNumberFormat="1" applyFont="1"/>
    <xf numFmtId="167" fontId="20" fillId="0" borderId="23" xfId="9" applyNumberFormat="1" applyFont="1" applyBorder="1" applyAlignment="1">
      <alignment horizontal="center" vertical="center" wrapText="1"/>
    </xf>
    <xf numFmtId="167" fontId="20" fillId="0" borderId="26" xfId="9" applyNumberFormat="1" applyFont="1" applyBorder="1"/>
    <xf numFmtId="38" fontId="3" fillId="0" borderId="1" xfId="0" applyNumberFormat="1" applyFont="1" applyFill="1" applyBorder="1"/>
    <xf numFmtId="0" fontId="21" fillId="0" borderId="50" xfId="0" applyFont="1" applyBorder="1"/>
    <xf numFmtId="0" fontId="21" fillId="0" borderId="11" xfId="0" applyFont="1" applyBorder="1"/>
    <xf numFmtId="0" fontId="20" fillId="0" borderId="11" xfId="0" applyFont="1" applyBorder="1"/>
    <xf numFmtId="0" fontId="20" fillId="0" borderId="51" xfId="0" applyFont="1" applyBorder="1"/>
    <xf numFmtId="0" fontId="20" fillId="0" borderId="53" xfId="0" applyFont="1" applyBorder="1"/>
    <xf numFmtId="172" fontId="0" fillId="0" borderId="0" xfId="0" applyNumberFormat="1"/>
    <xf numFmtId="38" fontId="6" fillId="0" borderId="1" xfId="4" applyNumberFormat="1" applyFont="1" applyFill="1" applyBorder="1" applyAlignment="1">
      <alignment horizontal="right" wrapText="1"/>
    </xf>
    <xf numFmtId="38" fontId="3" fillId="0" borderId="1" xfId="4" applyNumberFormat="1" applyFont="1" applyFill="1" applyBorder="1" applyAlignment="1">
      <alignment horizontal="right" wrapText="1"/>
    </xf>
    <xf numFmtId="9" fontId="0" fillId="0" borderId="0" xfId="9" applyFont="1"/>
    <xf numFmtId="167" fontId="7" fillId="0" borderId="0" xfId="0" applyNumberFormat="1" applyFont="1" applyFill="1"/>
    <xf numFmtId="3" fontId="3" fillId="0" borderId="0" xfId="18" applyNumberFormat="1" applyFont="1" applyProtection="1">
      <protection locked="0"/>
    </xf>
    <xf numFmtId="38" fontId="7" fillId="4" borderId="0" xfId="0" applyNumberFormat="1" applyFont="1" applyFill="1"/>
    <xf numFmtId="167" fontId="3" fillId="0" borderId="0" xfId="9" applyNumberFormat="1" applyFont="1" applyFill="1"/>
    <xf numFmtId="0" fontId="22" fillId="0" borderId="51" xfId="13" applyFont="1" applyFill="1" applyBorder="1" applyAlignment="1">
      <alignment horizontal="center"/>
    </xf>
    <xf numFmtId="38" fontId="0" fillId="14" borderId="0" xfId="0" applyNumberFormat="1" applyFill="1"/>
    <xf numFmtId="171" fontId="21" fillId="0" borderId="0" xfId="22" applyNumberFormat="1" applyFont="1"/>
    <xf numFmtId="3" fontId="30" fillId="0" borderId="49" xfId="0" applyNumberFormat="1" applyFont="1" applyBorder="1"/>
    <xf numFmtId="167" fontId="30" fillId="0" borderId="49" xfId="0" applyNumberFormat="1" applyFont="1" applyBorder="1"/>
    <xf numFmtId="173" fontId="30" fillId="0" borderId="49" xfId="0" applyNumberFormat="1" applyFont="1" applyBorder="1"/>
    <xf numFmtId="3" fontId="20" fillId="0" borderId="49" xfId="22" applyNumberFormat="1" applyFont="1" applyBorder="1"/>
    <xf numFmtId="167" fontId="20" fillId="0" borderId="49" xfId="9" applyNumberFormat="1" applyFont="1" applyBorder="1"/>
    <xf numFmtId="167" fontId="7" fillId="0" borderId="0" xfId="9" applyNumberFormat="1" applyFont="1" applyFill="1"/>
    <xf numFmtId="38" fontId="3" fillId="0" borderId="21" xfId="0" applyNumberFormat="1" applyFont="1" applyFill="1" applyBorder="1"/>
    <xf numFmtId="3" fontId="3" fillId="0" borderId="21" xfId="0" applyNumberFormat="1" applyFont="1" applyFill="1" applyBorder="1"/>
    <xf numFmtId="38" fontId="7" fillId="0" borderId="2" xfId="0" applyNumberFormat="1" applyFont="1" applyFill="1" applyBorder="1" applyAlignment="1">
      <alignment horizontal="center" wrapText="1"/>
    </xf>
    <xf numFmtId="168" fontId="7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43" fontId="0" fillId="0" borderId="0" xfId="1" applyFont="1"/>
    <xf numFmtId="168" fontId="20" fillId="0" borderId="0" xfId="1" applyNumberFormat="1" applyFont="1" applyAlignment="1">
      <alignment horizontal="right"/>
    </xf>
    <xf numFmtId="168" fontId="20" fillId="0" borderId="24" xfId="1" applyNumberFormat="1" applyFont="1" applyBorder="1" applyAlignment="1">
      <alignment horizontal="center" vertical="center" wrapText="1"/>
    </xf>
    <xf numFmtId="168" fontId="21" fillId="0" borderId="49" xfId="1" applyNumberFormat="1" applyFont="1" applyBorder="1"/>
    <xf numFmtId="168" fontId="20" fillId="0" borderId="49" xfId="1" applyNumberFormat="1" applyFont="1" applyBorder="1"/>
    <xf numFmtId="168" fontId="20" fillId="0" borderId="23" xfId="1" applyNumberFormat="1" applyFont="1" applyBorder="1"/>
    <xf numFmtId="168" fontId="21" fillId="0" borderId="10" xfId="1" applyNumberFormat="1" applyFont="1" applyBorder="1"/>
    <xf numFmtId="168" fontId="21" fillId="0" borderId="11" xfId="1" applyNumberFormat="1" applyFont="1" applyBorder="1"/>
    <xf numFmtId="168" fontId="20" fillId="0" borderId="29" xfId="1" applyNumberFormat="1" applyFont="1" applyBorder="1"/>
    <xf numFmtId="49" fontId="8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26" fillId="0" borderId="0" xfId="18" applyFont="1" applyAlignment="1">
      <alignment horizontal="left"/>
    </xf>
    <xf numFmtId="0" fontId="7" fillId="0" borderId="0" xfId="18" applyFont="1" applyFill="1" applyAlignment="1" applyProtection="1">
      <alignment horizontal="left"/>
      <protection locked="0"/>
    </xf>
    <xf numFmtId="0" fontId="7" fillId="0" borderId="16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/>
    <xf numFmtId="0" fontId="20" fillId="0" borderId="0" xfId="22" applyFont="1" applyAlignment="1">
      <alignment horizontal="center"/>
    </xf>
    <xf numFmtId="0" fontId="20" fillId="0" borderId="0" xfId="0" applyFont="1" applyBorder="1" applyAlignment="1">
      <alignment horizontal="center"/>
    </xf>
  </cellXfs>
  <cellStyles count="28">
    <cellStyle name="Comma" xfId="1" builtinId="3"/>
    <cellStyle name="Comma 2" xfId="16"/>
    <cellStyle name="Comma 3" xfId="21"/>
    <cellStyle name="Comma 4" xfId="23"/>
    <cellStyle name="Currency" xfId="2" builtinId="4"/>
    <cellStyle name="Currency 2" xfId="12"/>
    <cellStyle name="Currency 3" xfId="24"/>
    <cellStyle name="Normal" xfId="0" builtinId="0"/>
    <cellStyle name="Normal 2" xfId="10"/>
    <cellStyle name="Normal 3" xfId="11"/>
    <cellStyle name="Normal 4" xfId="18"/>
    <cellStyle name="Normal 5" xfId="22"/>
    <cellStyle name="Normal 6" xfId="27"/>
    <cellStyle name="Normal_Academic Support Per FYE" xfId="3"/>
    <cellStyle name="Normal_Denominator 2" xfId="26"/>
    <cellStyle name="Normal_FY2006 Detail" xfId="4"/>
    <cellStyle name="Normal_INSTRUCTION" xfId="5"/>
    <cellStyle name="Normal_Revenue Offset" xfId="6"/>
    <cellStyle name="Normal_Sheet1" xfId="7"/>
    <cellStyle name="Normal_Sheet1 2" xfId="13"/>
    <cellStyle name="Normal_Sheet1 3" xfId="19"/>
    <cellStyle name="Normal_Sheet2" xfId="8"/>
    <cellStyle name="Normal_Sheet2 2" xfId="17"/>
    <cellStyle name="Normal_Sheet3" xfId="14"/>
    <cellStyle name="Percent" xfId="9" builtinId="5"/>
    <cellStyle name="Percent 2" xfId="15"/>
    <cellStyle name="Percent 3" xfId="20"/>
    <cellStyle name="Percent 4" xfId="2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bargain\000_Allocation%20Framework\TAC\FY2017%20meetings\Analysis\Transition\FY2017%20Institutional%20Allocations%20for%20analysis%20all%20recs%20except%20student%20success_0928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5 Detail"/>
      <sheetName val="Alloc Dif (2)"/>
      <sheetName val="Alloc Dif"/>
      <sheetName val="FY15 Detail"/>
      <sheetName val="Instruction"/>
      <sheetName val="Academic Support Per FYE"/>
      <sheetName val="Student Success"/>
      <sheetName val="Student &amp; Institutional Sup (2"/>
      <sheetName val="Student &amp; Institutional Support"/>
      <sheetName val="Facilities"/>
      <sheetName val="Library"/>
      <sheetName val="Research"/>
      <sheetName val="Enrollment"/>
      <sheetName val="Enrollment Detail"/>
      <sheetName val="Revenue Offset"/>
      <sheetName val="Research (2)"/>
      <sheetName val="Revenue Offset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0">
          <cell r="G40">
            <v>0.58953142624222721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</sheetPr>
  <dimension ref="A1:D40"/>
  <sheetViews>
    <sheetView zoomScale="80" workbookViewId="0">
      <pane xSplit="3" ySplit="5" topLeftCell="D30" activePane="bottomRight" state="frozen"/>
      <selection activeCell="F2" sqref="F2"/>
      <selection pane="topRight" activeCell="F2" sqref="F2"/>
      <selection pane="bottomLeft" activeCell="F2" sqref="F2"/>
      <selection pane="bottomRight" activeCell="I47" sqref="H47:I48"/>
    </sheetView>
  </sheetViews>
  <sheetFormatPr defaultRowHeight="12.75" x14ac:dyDescent="0.2"/>
  <cols>
    <col min="1" max="1" width="4.7109375" hidden="1" customWidth="1"/>
    <col min="2" max="2" width="5" customWidth="1"/>
    <col min="3" max="3" width="30.7109375" customWidth="1"/>
    <col min="4" max="4" width="8" style="54" customWidth="1"/>
  </cols>
  <sheetData>
    <row r="1" spans="1:4" s="15" customFormat="1" ht="15.75" x14ac:dyDescent="0.25">
      <c r="A1" s="21"/>
      <c r="B1" s="39"/>
      <c r="D1" s="175"/>
    </row>
    <row r="2" spans="1:4" s="15" customFormat="1" ht="24.75" customHeight="1" x14ac:dyDescent="0.2">
      <c r="A2" s="21"/>
      <c r="B2" s="21"/>
      <c r="C2" s="21"/>
      <c r="D2" s="89"/>
    </row>
    <row r="3" spans="1:4" s="15" customFormat="1" x14ac:dyDescent="0.2">
      <c r="A3" s="29"/>
      <c r="B3" s="19"/>
      <c r="C3" s="19"/>
      <c r="D3" s="176"/>
    </row>
    <row r="4" spans="1:4" ht="92.25" customHeight="1" x14ac:dyDescent="0.2">
      <c r="B4" s="1" t="s">
        <v>0</v>
      </c>
      <c r="C4" s="1" t="s">
        <v>1</v>
      </c>
      <c r="D4" s="177" t="s">
        <v>287</v>
      </c>
    </row>
    <row r="5" spans="1:4" x14ac:dyDescent="0.2">
      <c r="B5" s="2"/>
      <c r="C5" s="2"/>
      <c r="D5" s="178"/>
    </row>
    <row r="6" spans="1:4" x14ac:dyDescent="0.2">
      <c r="A6">
        <v>1</v>
      </c>
      <c r="B6" s="10" t="s">
        <v>2</v>
      </c>
      <c r="C6" s="3" t="s">
        <v>3</v>
      </c>
    </row>
    <row r="7" spans="1:4" s="54" customFormat="1" x14ac:dyDescent="0.2">
      <c r="A7" s="54">
        <v>2</v>
      </c>
      <c r="B7" s="10" t="s">
        <v>4</v>
      </c>
      <c r="C7" s="3" t="s">
        <v>124</v>
      </c>
    </row>
    <row r="8" spans="1:4" ht="12" customHeight="1" x14ac:dyDescent="0.2">
      <c r="A8">
        <v>4</v>
      </c>
      <c r="B8" s="10" t="s">
        <v>5</v>
      </c>
      <c r="C8" s="3" t="s">
        <v>113</v>
      </c>
    </row>
    <row r="9" spans="1:4" x14ac:dyDescent="0.2">
      <c r="A9">
        <v>3</v>
      </c>
      <c r="B9" s="37" t="s">
        <v>6</v>
      </c>
      <c r="C9" s="3" t="s">
        <v>7</v>
      </c>
    </row>
    <row r="10" spans="1:4" x14ac:dyDescent="0.2">
      <c r="A10">
        <v>3</v>
      </c>
      <c r="B10" s="37" t="s">
        <v>8</v>
      </c>
      <c r="C10" s="3" t="s">
        <v>9</v>
      </c>
    </row>
    <row r="11" spans="1:4" x14ac:dyDescent="0.2">
      <c r="A11">
        <v>1</v>
      </c>
      <c r="B11" s="37" t="s">
        <v>10</v>
      </c>
      <c r="C11" s="3" t="s">
        <v>11</v>
      </c>
    </row>
    <row r="12" spans="1:4" x14ac:dyDescent="0.2">
      <c r="A12">
        <v>2</v>
      </c>
      <c r="B12" s="37" t="s">
        <v>12</v>
      </c>
      <c r="C12" s="3" t="s">
        <v>13</v>
      </c>
    </row>
    <row r="13" spans="1:4" x14ac:dyDescent="0.2">
      <c r="A13">
        <v>1</v>
      </c>
      <c r="B13" s="37" t="s">
        <v>14</v>
      </c>
      <c r="C13" s="3" t="s">
        <v>15</v>
      </c>
    </row>
    <row r="14" spans="1:4" x14ac:dyDescent="0.2">
      <c r="A14">
        <v>3</v>
      </c>
      <c r="B14" s="37" t="s">
        <v>16</v>
      </c>
      <c r="C14" s="3" t="s">
        <v>17</v>
      </c>
    </row>
    <row r="15" spans="1:4" x14ac:dyDescent="0.2">
      <c r="A15">
        <v>4</v>
      </c>
      <c r="B15" s="37" t="s">
        <v>18</v>
      </c>
      <c r="C15" s="3" t="s">
        <v>68</v>
      </c>
    </row>
    <row r="16" spans="1:4" x14ac:dyDescent="0.2">
      <c r="A16">
        <v>3</v>
      </c>
      <c r="B16" s="37" t="s">
        <v>19</v>
      </c>
      <c r="C16" s="3" t="s">
        <v>20</v>
      </c>
    </row>
    <row r="17" spans="1:3" ht="12" customHeight="1" x14ac:dyDescent="0.2">
      <c r="A17">
        <v>1</v>
      </c>
      <c r="B17" s="37" t="s">
        <v>21</v>
      </c>
      <c r="C17" s="3" t="s">
        <v>71</v>
      </c>
    </row>
    <row r="18" spans="1:3" ht="12" customHeight="1" x14ac:dyDescent="0.2">
      <c r="B18" s="37" t="s">
        <v>109</v>
      </c>
      <c r="C18" s="3" t="s">
        <v>112</v>
      </c>
    </row>
    <row r="19" spans="1:3" x14ac:dyDescent="0.2">
      <c r="A19">
        <v>4</v>
      </c>
      <c r="B19" s="37" t="s">
        <v>26</v>
      </c>
      <c r="C19" s="3" t="s">
        <v>62</v>
      </c>
    </row>
    <row r="20" spans="1:3" x14ac:dyDescent="0.2">
      <c r="A20">
        <v>4</v>
      </c>
      <c r="B20" s="37" t="s">
        <v>22</v>
      </c>
      <c r="C20" s="3" t="s">
        <v>23</v>
      </c>
    </row>
    <row r="21" spans="1:3" x14ac:dyDescent="0.2">
      <c r="A21">
        <v>3</v>
      </c>
      <c r="B21" s="37" t="s">
        <v>24</v>
      </c>
      <c r="C21" s="3" t="s">
        <v>25</v>
      </c>
    </row>
    <row r="22" spans="1:3" x14ac:dyDescent="0.2">
      <c r="A22">
        <v>2</v>
      </c>
      <c r="B22" s="37" t="s">
        <v>27</v>
      </c>
      <c r="C22" s="3" t="s">
        <v>28</v>
      </c>
    </row>
    <row r="23" spans="1:3" x14ac:dyDescent="0.2">
      <c r="A23">
        <v>2</v>
      </c>
      <c r="B23" s="37" t="s">
        <v>29</v>
      </c>
      <c r="C23" s="3" t="s">
        <v>30</v>
      </c>
    </row>
    <row r="24" spans="1:3" ht="12.75" customHeight="1" x14ac:dyDescent="0.2">
      <c r="A24">
        <v>3</v>
      </c>
      <c r="B24" s="37" t="s">
        <v>118</v>
      </c>
      <c r="C24" s="3" t="s">
        <v>63</v>
      </c>
    </row>
    <row r="25" spans="1:3" x14ac:dyDescent="0.2">
      <c r="A25">
        <v>3</v>
      </c>
      <c r="B25" s="37" t="s">
        <v>110</v>
      </c>
      <c r="C25" s="3" t="s">
        <v>32</v>
      </c>
    </row>
    <row r="26" spans="1:3" x14ac:dyDescent="0.2">
      <c r="A26">
        <v>1</v>
      </c>
      <c r="B26" s="37" t="s">
        <v>33</v>
      </c>
      <c r="C26" s="3" t="s">
        <v>34</v>
      </c>
    </row>
    <row r="27" spans="1:3" x14ac:dyDescent="0.2">
      <c r="A27">
        <v>3</v>
      </c>
      <c r="B27" s="37" t="s">
        <v>35</v>
      </c>
      <c r="C27" s="3" t="s">
        <v>36</v>
      </c>
    </row>
    <row r="28" spans="1:3" x14ac:dyDescent="0.2">
      <c r="A28">
        <v>3</v>
      </c>
      <c r="B28" s="37" t="s">
        <v>37</v>
      </c>
      <c r="C28" s="3" t="s">
        <v>38</v>
      </c>
    </row>
    <row r="29" spans="1:3" x14ac:dyDescent="0.2">
      <c r="A29">
        <v>3</v>
      </c>
      <c r="B29" s="37" t="s">
        <v>39</v>
      </c>
      <c r="C29" s="3" t="s">
        <v>40</v>
      </c>
    </row>
    <row r="30" spans="1:3" x14ac:dyDescent="0.2">
      <c r="A30">
        <v>1</v>
      </c>
      <c r="B30" s="37" t="s">
        <v>46</v>
      </c>
      <c r="C30" s="3" t="s">
        <v>70</v>
      </c>
    </row>
    <row r="31" spans="1:3" x14ac:dyDescent="0.2">
      <c r="A31">
        <v>4</v>
      </c>
      <c r="B31" s="37" t="s">
        <v>41</v>
      </c>
      <c r="C31" s="3" t="s">
        <v>117</v>
      </c>
    </row>
    <row r="32" spans="1:3" x14ac:dyDescent="0.2">
      <c r="A32">
        <v>4</v>
      </c>
      <c r="B32" s="37" t="s">
        <v>42</v>
      </c>
      <c r="C32" s="3" t="s">
        <v>69</v>
      </c>
    </row>
    <row r="33" spans="1:4" x14ac:dyDescent="0.2">
      <c r="A33">
        <v>1</v>
      </c>
      <c r="B33" s="37" t="s">
        <v>43</v>
      </c>
      <c r="C33" s="3" t="s">
        <v>44</v>
      </c>
    </row>
    <row r="34" spans="1:4" x14ac:dyDescent="0.2">
      <c r="A34">
        <v>1</v>
      </c>
      <c r="B34" s="37" t="s">
        <v>45</v>
      </c>
      <c r="C34" s="3" t="s">
        <v>122</v>
      </c>
    </row>
    <row r="35" spans="1:4" x14ac:dyDescent="0.2">
      <c r="A35">
        <v>4</v>
      </c>
      <c r="B35" s="37" t="s">
        <v>47</v>
      </c>
      <c r="C35" s="3" t="s">
        <v>48</v>
      </c>
    </row>
    <row r="37" spans="1:4" x14ac:dyDescent="0.2">
      <c r="B37" s="4"/>
      <c r="C37" s="4" t="s">
        <v>49</v>
      </c>
      <c r="D37" s="179">
        <f>SUM(D36:D36)</f>
        <v>0</v>
      </c>
    </row>
    <row r="38" spans="1:4" ht="14.25" customHeight="1" x14ac:dyDescent="0.2">
      <c r="B38" s="4"/>
      <c r="C38" s="4"/>
      <c r="D38" s="179"/>
    </row>
    <row r="39" spans="1:4" ht="16.5" customHeight="1" x14ac:dyDescent="0.2">
      <c r="B39" s="16" t="s">
        <v>50</v>
      </c>
    </row>
    <row r="40" spans="1:4" ht="12" customHeight="1" x14ac:dyDescent="0.2">
      <c r="B40" s="499" t="s">
        <v>316</v>
      </c>
      <c r="C40" s="500"/>
    </row>
  </sheetData>
  <mergeCells count="1">
    <mergeCell ref="B40:C40"/>
  </mergeCells>
  <phoneticPr fontId="11" type="noConversion"/>
  <pageMargins left="0.3" right="0.08" top="0.82" bottom="0.13" header="0.18" footer="0.13"/>
  <pageSetup scale="80" orientation="landscape" copies="4" r:id="rId1"/>
  <headerFooter alignWithMargins="0">
    <oddHeader xml:space="preserve">&amp;C&amp;"Arial,Bold"Minnesota State Colleges and Universities
FY2015
COLLEGE/UNIVERSITY ALLOCATIONS
(FRAMEWORK BASED ON FY2013 DATA) -  Draft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pane xSplit="1" ySplit="5" topLeftCell="B6" activePane="bottomRight" state="frozen"/>
      <selection activeCell="B30" sqref="B30"/>
      <selection pane="topRight" activeCell="B30" sqref="B30"/>
      <selection pane="bottomLeft" activeCell="B30" sqref="B30"/>
      <selection pane="bottomRight" activeCell="J5" sqref="J5"/>
    </sheetView>
  </sheetViews>
  <sheetFormatPr defaultColWidth="9.140625" defaultRowHeight="12.75" x14ac:dyDescent="0.2"/>
  <cols>
    <col min="1" max="1" width="40.28515625" style="402" customWidth="1"/>
    <col min="2" max="2" width="6.42578125" style="410" bestFit="1" customWidth="1"/>
    <col min="3" max="3" width="7.28515625" style="410" bestFit="1" customWidth="1"/>
    <col min="4" max="4" width="7.42578125" style="459" bestFit="1" customWidth="1"/>
    <col min="5" max="5" width="8.140625" style="459" bestFit="1" customWidth="1"/>
    <col min="6" max="6" width="8.140625" style="410" customWidth="1"/>
    <col min="7" max="7" width="6.5703125" style="459" customWidth="1"/>
    <col min="8" max="8" width="8.5703125" style="410" customWidth="1"/>
    <col min="9" max="9" width="8.140625" style="410" customWidth="1"/>
    <col min="10" max="10" width="11.140625" style="446" customWidth="1"/>
    <col min="11" max="11" width="4.28515625" style="402" customWidth="1"/>
    <col min="12" max="12" width="9.5703125" style="402" bestFit="1" customWidth="1"/>
    <col min="13" max="16384" width="9.140625" style="402"/>
  </cols>
  <sheetData>
    <row r="1" spans="1:14" ht="15" customHeight="1" x14ac:dyDescent="0.2">
      <c r="A1" s="510" t="s">
        <v>296</v>
      </c>
      <c r="B1" s="510"/>
      <c r="C1" s="510"/>
      <c r="D1" s="510"/>
      <c r="E1" s="510"/>
      <c r="F1" s="510"/>
      <c r="G1" s="510"/>
      <c r="H1" s="510"/>
      <c r="I1" s="510"/>
      <c r="J1" s="510"/>
    </row>
    <row r="2" spans="1:14" ht="15" customHeight="1" x14ac:dyDescent="0.2">
      <c r="A2" s="510" t="s">
        <v>72</v>
      </c>
      <c r="B2" s="510"/>
      <c r="C2" s="510"/>
      <c r="D2" s="510"/>
      <c r="E2" s="510"/>
      <c r="F2" s="510"/>
      <c r="G2" s="510"/>
      <c r="H2" s="510"/>
      <c r="I2" s="510"/>
      <c r="J2" s="510"/>
    </row>
    <row r="3" spans="1:14" ht="15" customHeight="1" x14ac:dyDescent="0.2">
      <c r="A3" s="510" t="s">
        <v>330</v>
      </c>
      <c r="B3" s="510"/>
      <c r="C3" s="510"/>
      <c r="D3" s="510"/>
      <c r="E3" s="510"/>
      <c r="F3" s="510"/>
      <c r="G3" s="510"/>
      <c r="H3" s="510"/>
      <c r="I3" s="510"/>
      <c r="J3" s="510"/>
    </row>
    <row r="4" spans="1:14" ht="15" customHeight="1" x14ac:dyDescent="0.2">
      <c r="J4" s="491" t="s">
        <v>283</v>
      </c>
    </row>
    <row r="5" spans="1:14" ht="63.75" x14ac:dyDescent="0.2">
      <c r="A5" s="404" t="s">
        <v>180</v>
      </c>
      <c r="B5" s="411" t="s">
        <v>181</v>
      </c>
      <c r="C5" s="411" t="s">
        <v>182</v>
      </c>
      <c r="D5" s="460" t="s">
        <v>183</v>
      </c>
      <c r="E5" s="460" t="s">
        <v>184</v>
      </c>
      <c r="F5" s="412" t="s">
        <v>273</v>
      </c>
      <c r="G5" s="460" t="s">
        <v>185</v>
      </c>
      <c r="H5" s="412" t="s">
        <v>186</v>
      </c>
      <c r="I5" s="405" t="s">
        <v>274</v>
      </c>
      <c r="J5" s="492" t="s">
        <v>334</v>
      </c>
      <c r="K5" s="406"/>
    </row>
    <row r="6" spans="1:14" ht="15" customHeight="1" x14ac:dyDescent="0.2">
      <c r="A6" s="407" t="s">
        <v>187</v>
      </c>
      <c r="B6" s="479">
        <v>711</v>
      </c>
      <c r="C6" s="479">
        <v>489</v>
      </c>
      <c r="D6" s="480">
        <v>0.68776371308016881</v>
      </c>
      <c r="E6" s="481">
        <v>0.70798454999350047</v>
      </c>
      <c r="F6" s="479">
        <v>503.37701504537881</v>
      </c>
      <c r="G6" s="480">
        <v>0.71353449294547588</v>
      </c>
      <c r="H6" s="479">
        <v>507.32302448423337</v>
      </c>
      <c r="I6" s="479">
        <v>0</v>
      </c>
      <c r="J6" s="493">
        <f t="shared" ref="J6:J27" si="0">I6*$J$47</f>
        <v>0</v>
      </c>
      <c r="M6" s="403"/>
      <c r="N6" s="403"/>
    </row>
    <row r="7" spans="1:14" ht="15" customHeight="1" x14ac:dyDescent="0.2">
      <c r="A7" s="407" t="s">
        <v>188</v>
      </c>
      <c r="B7" s="479">
        <v>2057</v>
      </c>
      <c r="C7" s="479">
        <v>1330</v>
      </c>
      <c r="D7" s="480">
        <v>0.6465726786582402</v>
      </c>
      <c r="E7" s="481">
        <v>0.65085649531935252</v>
      </c>
      <c r="F7" s="479">
        <v>1338.8118108719082</v>
      </c>
      <c r="G7" s="480">
        <v>0.65624760270708915</v>
      </c>
      <c r="H7" s="479">
        <v>1349.9013187684823</v>
      </c>
      <c r="I7" s="479">
        <v>0</v>
      </c>
      <c r="J7" s="493">
        <f t="shared" si="0"/>
        <v>0</v>
      </c>
      <c r="M7" s="403"/>
      <c r="N7" s="403"/>
    </row>
    <row r="8" spans="1:14" ht="15" customHeight="1" x14ac:dyDescent="0.2">
      <c r="A8" s="407" t="s">
        <v>189</v>
      </c>
      <c r="B8" s="479">
        <v>835</v>
      </c>
      <c r="C8" s="479">
        <v>573</v>
      </c>
      <c r="D8" s="480">
        <v>0.68622754491017968</v>
      </c>
      <c r="E8" s="481">
        <v>0.61558368727855228</v>
      </c>
      <c r="F8" s="479">
        <v>514.01237887759112</v>
      </c>
      <c r="G8" s="480">
        <v>0.62331558324984193</v>
      </c>
      <c r="H8" s="479">
        <v>520.46851201361801</v>
      </c>
      <c r="I8" s="479">
        <v>52.531487986382018</v>
      </c>
      <c r="J8" s="493">
        <f t="shared" si="0"/>
        <v>525314.87986382016</v>
      </c>
      <c r="M8" s="403"/>
      <c r="N8" s="403"/>
    </row>
    <row r="9" spans="1:14" ht="15" customHeight="1" x14ac:dyDescent="0.2">
      <c r="A9" s="407" t="s">
        <v>7</v>
      </c>
      <c r="B9" s="479">
        <v>773</v>
      </c>
      <c r="C9" s="479">
        <v>497</v>
      </c>
      <c r="D9" s="480">
        <v>0.64294954721862874</v>
      </c>
      <c r="E9" s="481">
        <v>0.67782525144998873</v>
      </c>
      <c r="F9" s="479">
        <v>523.95891937084127</v>
      </c>
      <c r="G9" s="480">
        <v>0.68248957177733871</v>
      </c>
      <c r="H9" s="479">
        <v>527.56443898388284</v>
      </c>
      <c r="I9" s="479">
        <v>0</v>
      </c>
      <c r="J9" s="493">
        <f t="shared" si="0"/>
        <v>0</v>
      </c>
      <c r="M9" s="403"/>
      <c r="N9" s="403"/>
    </row>
    <row r="10" spans="1:14" ht="15" customHeight="1" x14ac:dyDescent="0.2">
      <c r="A10" s="407" t="s">
        <v>9</v>
      </c>
      <c r="B10" s="479">
        <v>2863</v>
      </c>
      <c r="C10" s="479">
        <v>1807</v>
      </c>
      <c r="D10" s="480">
        <v>0.63115612993363601</v>
      </c>
      <c r="E10" s="481">
        <v>0.64118142886341434</v>
      </c>
      <c r="F10" s="479">
        <v>1835.7024308359553</v>
      </c>
      <c r="G10" s="480">
        <v>0.6451380889376136</v>
      </c>
      <c r="H10" s="479">
        <v>1847.0303486283876</v>
      </c>
      <c r="I10" s="479">
        <v>0</v>
      </c>
      <c r="J10" s="493">
        <f t="shared" si="0"/>
        <v>0</v>
      </c>
      <c r="M10" s="403"/>
      <c r="N10" s="403"/>
    </row>
    <row r="11" spans="1:14" ht="15" customHeight="1" x14ac:dyDescent="0.2">
      <c r="A11" s="407" t="s">
        <v>190</v>
      </c>
      <c r="B11" s="479">
        <v>1140</v>
      </c>
      <c r="C11" s="479">
        <v>789</v>
      </c>
      <c r="D11" s="480">
        <v>0.69210526315789478</v>
      </c>
      <c r="E11" s="481">
        <v>0.69459558882820804</v>
      </c>
      <c r="F11" s="479">
        <v>791.83897126415718</v>
      </c>
      <c r="G11" s="480">
        <v>0.70017387758378857</v>
      </c>
      <c r="H11" s="479">
        <v>798.19822044551893</v>
      </c>
      <c r="I11" s="479">
        <v>0</v>
      </c>
      <c r="J11" s="493">
        <f t="shared" si="0"/>
        <v>0</v>
      </c>
      <c r="M11" s="403"/>
      <c r="N11" s="403"/>
    </row>
    <row r="12" spans="1:14" ht="15" customHeight="1" x14ac:dyDescent="0.2">
      <c r="A12" s="291" t="s">
        <v>219</v>
      </c>
      <c r="B12" s="479">
        <v>197</v>
      </c>
      <c r="C12" s="479">
        <v>115</v>
      </c>
      <c r="D12" s="480">
        <v>0.58375634517766495</v>
      </c>
      <c r="E12" s="481">
        <v>0.61856228527452373</v>
      </c>
      <c r="F12" s="479">
        <v>121.85677019908117</v>
      </c>
      <c r="G12" s="480">
        <v>0.62572011950714912</v>
      </c>
      <c r="H12" s="479">
        <v>123.26686354290838</v>
      </c>
      <c r="I12" s="479">
        <v>0</v>
      </c>
      <c r="J12" s="493">
        <f t="shared" si="0"/>
        <v>0</v>
      </c>
      <c r="M12" s="403"/>
      <c r="N12" s="403"/>
    </row>
    <row r="13" spans="1:14" ht="15" customHeight="1" x14ac:dyDescent="0.2">
      <c r="A13" s="407" t="s">
        <v>139</v>
      </c>
      <c r="B13" s="479">
        <v>1534</v>
      </c>
      <c r="C13" s="479">
        <v>1045</v>
      </c>
      <c r="D13" s="480">
        <v>0.68122555410690999</v>
      </c>
      <c r="E13" s="481">
        <v>0.65935744451432865</v>
      </c>
      <c r="F13" s="479">
        <v>1011.4543198849801</v>
      </c>
      <c r="G13" s="480">
        <v>0.66565237352927231</v>
      </c>
      <c r="H13" s="479">
        <v>1021.1107409939037</v>
      </c>
      <c r="I13" s="479">
        <v>23.8892590060962</v>
      </c>
      <c r="J13" s="493">
        <f t="shared" si="0"/>
        <v>238892.59006096199</v>
      </c>
      <c r="M13" s="403"/>
      <c r="N13" s="403"/>
    </row>
    <row r="14" spans="1:14" ht="15" customHeight="1" x14ac:dyDescent="0.2">
      <c r="A14" s="407" t="s">
        <v>191</v>
      </c>
      <c r="B14" s="479">
        <v>1248</v>
      </c>
      <c r="C14" s="479">
        <v>837</v>
      </c>
      <c r="D14" s="480">
        <v>0.67067307692307687</v>
      </c>
      <c r="E14" s="481">
        <v>0.65707386312002447</v>
      </c>
      <c r="F14" s="479">
        <v>820.02818117379059</v>
      </c>
      <c r="G14" s="480">
        <v>0.661736066151279</v>
      </c>
      <c r="H14" s="479">
        <v>825.84661055679624</v>
      </c>
      <c r="I14" s="479">
        <v>11.153389443203743</v>
      </c>
      <c r="J14" s="493">
        <f t="shared" si="0"/>
        <v>111533.89443203743</v>
      </c>
      <c r="M14" s="403"/>
      <c r="N14" s="403"/>
    </row>
    <row r="15" spans="1:14" ht="15" customHeight="1" x14ac:dyDescent="0.2">
      <c r="A15" s="407" t="s">
        <v>17</v>
      </c>
      <c r="B15" s="479">
        <v>1243</v>
      </c>
      <c r="C15" s="479">
        <v>799</v>
      </c>
      <c r="D15" s="480">
        <v>0.64279967819790829</v>
      </c>
      <c r="E15" s="481">
        <v>0.65898379973986998</v>
      </c>
      <c r="F15" s="479">
        <v>819.11686307665843</v>
      </c>
      <c r="G15" s="480">
        <v>0.66470371451955523</v>
      </c>
      <c r="H15" s="479">
        <v>826.22671714780711</v>
      </c>
      <c r="I15" s="479">
        <v>0</v>
      </c>
      <c r="J15" s="493">
        <f t="shared" si="0"/>
        <v>0</v>
      </c>
      <c r="M15" s="403"/>
      <c r="N15" s="403"/>
    </row>
    <row r="16" spans="1:14" ht="15" customHeight="1" x14ac:dyDescent="0.2">
      <c r="A16" s="407" t="s">
        <v>192</v>
      </c>
      <c r="B16" s="479">
        <v>2270</v>
      </c>
      <c r="C16" s="479">
        <v>1351</v>
      </c>
      <c r="D16" s="480">
        <v>0.59515418502202644</v>
      </c>
      <c r="E16" s="481">
        <v>0.61777152365907217</v>
      </c>
      <c r="F16" s="479">
        <v>1402.3413587060938</v>
      </c>
      <c r="G16" s="480">
        <v>0.62352113346564397</v>
      </c>
      <c r="H16" s="479">
        <v>1415.3929729670119</v>
      </c>
      <c r="I16" s="479">
        <v>0</v>
      </c>
      <c r="J16" s="493">
        <f t="shared" si="0"/>
        <v>0</v>
      </c>
      <c r="M16" s="403"/>
      <c r="N16" s="403"/>
    </row>
    <row r="17" spans="1:14" ht="15" customHeight="1" x14ac:dyDescent="0.2">
      <c r="A17" s="408" t="s">
        <v>303</v>
      </c>
      <c r="B17" s="482">
        <f>B18+B19+B20+B21+B22</f>
        <v>1324</v>
      </c>
      <c r="C17" s="482">
        <f>C18+C19+C20+C21+C22</f>
        <v>903</v>
      </c>
      <c r="D17" s="483">
        <f>C17/B17</f>
        <v>0.68202416918428999</v>
      </c>
      <c r="E17" s="483">
        <f>F17/B17</f>
        <v>0.67956857481785149</v>
      </c>
      <c r="F17" s="482">
        <f>F18+F19+F20+F21+F22</f>
        <v>899.74879305883542</v>
      </c>
      <c r="G17" s="483">
        <f>H17/B17</f>
        <v>0.68652754827764184</v>
      </c>
      <c r="H17" s="482">
        <f>H18+H19+H20+H21+H22</f>
        <v>908.96247391959787</v>
      </c>
      <c r="I17" s="482">
        <f>I18+I19+I20+I21+I22</f>
        <v>17.40425840102646</v>
      </c>
      <c r="J17" s="494">
        <f>I17*$J$47</f>
        <v>174042.5840102646</v>
      </c>
      <c r="M17" s="403"/>
      <c r="N17" s="403"/>
    </row>
    <row r="18" spans="1:14" ht="15" customHeight="1" x14ac:dyDescent="0.2">
      <c r="A18" s="407" t="s">
        <v>195</v>
      </c>
      <c r="B18" s="479">
        <v>358</v>
      </c>
      <c r="C18" s="479">
        <v>233</v>
      </c>
      <c r="D18" s="480">
        <v>0.65083798882681565</v>
      </c>
      <c r="E18" s="481">
        <v>0.69910654913126791</v>
      </c>
      <c r="F18" s="479">
        <v>250.28014458899392</v>
      </c>
      <c r="G18" s="480">
        <v>0.70480194543243513</v>
      </c>
      <c r="H18" s="479">
        <v>252.31909646481176</v>
      </c>
      <c r="I18" s="479">
        <v>0</v>
      </c>
      <c r="J18" s="493">
        <f t="shared" si="0"/>
        <v>0</v>
      </c>
      <c r="L18" s="478"/>
      <c r="M18" s="403"/>
      <c r="N18" s="403"/>
    </row>
    <row r="19" spans="1:14" ht="15" customHeight="1" x14ac:dyDescent="0.2">
      <c r="A19" s="407" t="s">
        <v>196</v>
      </c>
      <c r="B19" s="479">
        <v>380</v>
      </c>
      <c r="C19" s="479">
        <v>251</v>
      </c>
      <c r="D19" s="480">
        <v>0.66052631578947374</v>
      </c>
      <c r="E19" s="481">
        <v>0.65920108471140726</v>
      </c>
      <c r="F19" s="479">
        <v>250.49641219033475</v>
      </c>
      <c r="G19" s="480">
        <v>0.66598348137718588</v>
      </c>
      <c r="H19" s="479">
        <v>253.07372292333065</v>
      </c>
      <c r="I19" s="479">
        <v>0</v>
      </c>
      <c r="J19" s="493">
        <f t="shared" si="0"/>
        <v>0</v>
      </c>
      <c r="M19" s="403"/>
      <c r="N19" s="403"/>
    </row>
    <row r="20" spans="1:14" ht="15" customHeight="1" x14ac:dyDescent="0.2">
      <c r="A20" s="407" t="s">
        <v>197</v>
      </c>
      <c r="B20" s="479">
        <v>310</v>
      </c>
      <c r="C20" s="479">
        <v>221</v>
      </c>
      <c r="D20" s="480">
        <v>0.7129032258064516</v>
      </c>
      <c r="E20" s="481">
        <v>0.65324299098521443</v>
      </c>
      <c r="F20" s="479">
        <v>202.50532720541648</v>
      </c>
      <c r="G20" s="480">
        <v>0.66239337317240254</v>
      </c>
      <c r="H20" s="479">
        <v>205.34194568344478</v>
      </c>
      <c r="I20" s="479">
        <v>15.658054316555209</v>
      </c>
      <c r="J20" s="493">
        <f t="shared" si="0"/>
        <v>156580.54316555208</v>
      </c>
      <c r="M20" s="403"/>
      <c r="N20" s="403"/>
    </row>
    <row r="21" spans="1:14" ht="15" customHeight="1" x14ac:dyDescent="0.2">
      <c r="A21" s="407" t="s">
        <v>198</v>
      </c>
      <c r="B21" s="479">
        <v>77</v>
      </c>
      <c r="C21" s="479">
        <v>48</v>
      </c>
      <c r="D21" s="480">
        <v>0.62337662337662336</v>
      </c>
      <c r="E21" s="481">
        <v>0.64190316288183158</v>
      </c>
      <c r="F21" s="479">
        <v>49.426543541901033</v>
      </c>
      <c r="G21" s="480">
        <v>0.64901185626599989</v>
      </c>
      <c r="H21" s="479">
        <v>49.973912932481994</v>
      </c>
      <c r="I21" s="479">
        <v>0</v>
      </c>
      <c r="J21" s="493">
        <f t="shared" si="0"/>
        <v>0</v>
      </c>
      <c r="M21" s="403"/>
      <c r="N21" s="403"/>
    </row>
    <row r="22" spans="1:14" ht="15" customHeight="1" x14ac:dyDescent="0.2">
      <c r="A22" s="407" t="s">
        <v>199</v>
      </c>
      <c r="B22" s="479">
        <v>199</v>
      </c>
      <c r="C22" s="479">
        <v>150</v>
      </c>
      <c r="D22" s="480">
        <v>0.75376884422110557</v>
      </c>
      <c r="E22" s="481">
        <v>0.73889630920698057</v>
      </c>
      <c r="F22" s="479">
        <v>147.04036553218913</v>
      </c>
      <c r="G22" s="480">
        <v>0.7449939493242651</v>
      </c>
      <c r="H22" s="479">
        <v>148.25379591552877</v>
      </c>
      <c r="I22" s="479">
        <v>1.7462040844712532</v>
      </c>
      <c r="J22" s="493">
        <f t="shared" si="0"/>
        <v>17462.040844712534</v>
      </c>
      <c r="M22" s="403"/>
      <c r="N22" s="403"/>
    </row>
    <row r="23" spans="1:14" ht="15" customHeight="1" x14ac:dyDescent="0.2">
      <c r="A23" s="407" t="s">
        <v>220</v>
      </c>
      <c r="B23" s="479">
        <v>557</v>
      </c>
      <c r="C23" s="479">
        <v>367</v>
      </c>
      <c r="D23" s="480">
        <v>0.65888689407540391</v>
      </c>
      <c r="E23" s="481">
        <v>0.68898912825673897</v>
      </c>
      <c r="F23" s="479">
        <v>383.76694443900362</v>
      </c>
      <c r="G23" s="480">
        <v>0.69413565025330026</v>
      </c>
      <c r="H23" s="479">
        <v>386.63355719108824</v>
      </c>
      <c r="I23" s="479">
        <v>0</v>
      </c>
      <c r="J23" s="493">
        <f t="shared" si="0"/>
        <v>0</v>
      </c>
      <c r="M23" s="403"/>
      <c r="N23" s="403"/>
    </row>
    <row r="24" spans="1:14" ht="15" customHeight="1" x14ac:dyDescent="0.2">
      <c r="A24" s="407" t="s">
        <v>194</v>
      </c>
      <c r="B24" s="479">
        <v>1574</v>
      </c>
      <c r="C24" s="479">
        <v>1050</v>
      </c>
      <c r="D24" s="480">
        <v>0.66709021601016516</v>
      </c>
      <c r="E24" s="481">
        <v>0.65265108300902286</v>
      </c>
      <c r="F24" s="479">
        <v>1027.272804656202</v>
      </c>
      <c r="G24" s="480">
        <v>0.65631768619041386</v>
      </c>
      <c r="H24" s="479">
        <v>1033.0440380637115</v>
      </c>
      <c r="I24" s="479">
        <v>16.955961936288542</v>
      </c>
      <c r="J24" s="493">
        <f t="shared" si="0"/>
        <v>169559.61936288542</v>
      </c>
      <c r="M24" s="403"/>
      <c r="N24" s="403"/>
    </row>
    <row r="25" spans="1:14" ht="15" customHeight="1" x14ac:dyDescent="0.2">
      <c r="A25" s="407" t="s">
        <v>221</v>
      </c>
      <c r="B25" s="479">
        <v>646</v>
      </c>
      <c r="C25" s="479">
        <v>431</v>
      </c>
      <c r="D25" s="480">
        <v>0.66718266253869973</v>
      </c>
      <c r="E25" s="481">
        <v>0.68182781058515374</v>
      </c>
      <c r="F25" s="479">
        <v>440.46076563800932</v>
      </c>
      <c r="G25" s="480">
        <v>0.68802630722307945</v>
      </c>
      <c r="H25" s="479">
        <v>444.46499446610932</v>
      </c>
      <c r="I25" s="479">
        <v>0</v>
      </c>
      <c r="J25" s="493">
        <f t="shared" si="0"/>
        <v>0</v>
      </c>
      <c r="M25" s="403"/>
      <c r="N25" s="403"/>
    </row>
    <row r="26" spans="1:14" ht="15" customHeight="1" x14ac:dyDescent="0.2">
      <c r="A26" s="407" t="s">
        <v>132</v>
      </c>
      <c r="B26" s="479">
        <v>3142</v>
      </c>
      <c r="C26" s="479">
        <v>1983</v>
      </c>
      <c r="D26" s="480">
        <v>0.63112667091024821</v>
      </c>
      <c r="E26" s="481">
        <v>0.64403492716010424</v>
      </c>
      <c r="F26" s="479">
        <v>2023.5577411370475</v>
      </c>
      <c r="G26" s="480">
        <v>0.64884313482291722</v>
      </c>
      <c r="H26" s="479">
        <v>2038.6651296136058</v>
      </c>
      <c r="I26" s="479">
        <v>0</v>
      </c>
      <c r="J26" s="493">
        <f t="shared" si="0"/>
        <v>0</v>
      </c>
      <c r="M26" s="403"/>
      <c r="N26" s="403"/>
    </row>
    <row r="27" spans="1:14" ht="15" customHeight="1" x14ac:dyDescent="0.2">
      <c r="A27" s="407" t="s">
        <v>133</v>
      </c>
      <c r="B27" s="479">
        <v>1677</v>
      </c>
      <c r="C27" s="479">
        <v>1064</v>
      </c>
      <c r="D27" s="480">
        <v>0.63446630888491351</v>
      </c>
      <c r="E27" s="481">
        <v>0.6196850075366287</v>
      </c>
      <c r="F27" s="479">
        <v>1039.2117576389264</v>
      </c>
      <c r="G27" s="480">
        <v>0.62344329643792828</v>
      </c>
      <c r="H27" s="479">
        <v>1045.5144081264057</v>
      </c>
      <c r="I27" s="479">
        <v>18.485591873594224</v>
      </c>
      <c r="J27" s="493">
        <f t="shared" si="0"/>
        <v>184855.91873594225</v>
      </c>
      <c r="M27" s="403"/>
      <c r="N27" s="403"/>
    </row>
    <row r="28" spans="1:14" ht="15" customHeight="1" x14ac:dyDescent="0.2">
      <c r="A28" s="407" t="s">
        <v>200</v>
      </c>
      <c r="B28" s="479">
        <v>724</v>
      </c>
      <c r="C28" s="479">
        <v>490</v>
      </c>
      <c r="D28" s="480">
        <v>0.67679558011049723</v>
      </c>
      <c r="E28" s="481">
        <v>0.67420151164619502</v>
      </c>
      <c r="F28" s="479">
        <v>488.12189443184519</v>
      </c>
      <c r="G28" s="480">
        <v>0.67857020388166056</v>
      </c>
      <c r="H28" s="479">
        <v>491.28482761032222</v>
      </c>
      <c r="I28" s="479">
        <v>0</v>
      </c>
      <c r="J28" s="493">
        <f t="shared" ref="J28:J44" si="1">I28*$J$47</f>
        <v>0</v>
      </c>
      <c r="M28" s="403"/>
      <c r="N28" s="403"/>
    </row>
    <row r="29" spans="1:14" ht="15" customHeight="1" x14ac:dyDescent="0.2">
      <c r="A29" s="407" t="s">
        <v>201</v>
      </c>
      <c r="B29" s="479">
        <v>276</v>
      </c>
      <c r="C29" s="479">
        <v>182</v>
      </c>
      <c r="D29" s="480">
        <v>0.65942028985507251</v>
      </c>
      <c r="E29" s="481">
        <v>0.62065939422471683</v>
      </c>
      <c r="F29" s="479">
        <v>171.30199280602184</v>
      </c>
      <c r="G29" s="480">
        <v>0.6287409266284939</v>
      </c>
      <c r="H29" s="479">
        <v>173.53249574946432</v>
      </c>
      <c r="I29" s="479">
        <v>8.4675042505356952</v>
      </c>
      <c r="J29" s="493">
        <f t="shared" si="1"/>
        <v>84675.042505356949</v>
      </c>
      <c r="M29" s="403"/>
      <c r="N29" s="403"/>
    </row>
    <row r="30" spans="1:14" ht="15" customHeight="1" x14ac:dyDescent="0.2">
      <c r="A30" s="407" t="s">
        <v>202</v>
      </c>
      <c r="B30" s="479">
        <v>328</v>
      </c>
      <c r="C30" s="479">
        <v>213</v>
      </c>
      <c r="D30" s="480">
        <v>0.64939024390243905</v>
      </c>
      <c r="E30" s="481">
        <v>0.60298231433796223</v>
      </c>
      <c r="F30" s="479">
        <v>197.7781991028516</v>
      </c>
      <c r="G30" s="480">
        <v>0.61282392059995228</v>
      </c>
      <c r="H30" s="479">
        <v>201.00624595678434</v>
      </c>
      <c r="I30" s="479">
        <v>11.99375404321566</v>
      </c>
      <c r="J30" s="493">
        <f t="shared" si="1"/>
        <v>119937.5404321566</v>
      </c>
      <c r="M30" s="403"/>
      <c r="N30" s="403"/>
    </row>
    <row r="31" spans="1:14" ht="15" customHeight="1" x14ac:dyDescent="0.2">
      <c r="A31" s="407" t="s">
        <v>36</v>
      </c>
      <c r="B31" s="479">
        <v>1069</v>
      </c>
      <c r="C31" s="479">
        <v>733</v>
      </c>
      <c r="D31" s="480">
        <v>0.68568755846585594</v>
      </c>
      <c r="E31" s="481">
        <v>0.67426233846290062</v>
      </c>
      <c r="F31" s="479">
        <v>720.78643981684081</v>
      </c>
      <c r="G31" s="480">
        <v>0.67901768658767614</v>
      </c>
      <c r="H31" s="479">
        <v>725.86990696222574</v>
      </c>
      <c r="I31" s="479">
        <v>7.1300930377742064</v>
      </c>
      <c r="J31" s="493">
        <f t="shared" si="1"/>
        <v>71300.930377742057</v>
      </c>
      <c r="M31" s="403"/>
      <c r="N31" s="403"/>
    </row>
    <row r="32" spans="1:14" ht="15" customHeight="1" x14ac:dyDescent="0.2">
      <c r="A32" s="407" t="s">
        <v>131</v>
      </c>
      <c r="B32" s="479">
        <v>880</v>
      </c>
      <c r="C32" s="479">
        <v>584</v>
      </c>
      <c r="D32" s="480">
        <v>0.66363636363636369</v>
      </c>
      <c r="E32" s="481">
        <v>0.64438835844629405</v>
      </c>
      <c r="F32" s="479">
        <v>567.06175543273878</v>
      </c>
      <c r="G32" s="480">
        <v>0.64949936123479246</v>
      </c>
      <c r="H32" s="479">
        <v>571.55943788661739</v>
      </c>
      <c r="I32" s="479">
        <v>12.440562113382683</v>
      </c>
      <c r="J32" s="493">
        <f t="shared" si="1"/>
        <v>124405.62113382683</v>
      </c>
      <c r="M32" s="403"/>
      <c r="N32" s="403"/>
    </row>
    <row r="33" spans="1:14" ht="15" customHeight="1" x14ac:dyDescent="0.2">
      <c r="A33" s="407" t="s">
        <v>203</v>
      </c>
      <c r="B33" s="479">
        <v>1618</v>
      </c>
      <c r="C33" s="479">
        <v>1000</v>
      </c>
      <c r="D33" s="480">
        <v>0.61804697156983934</v>
      </c>
      <c r="E33" s="481">
        <v>0.647389498964699</v>
      </c>
      <c r="F33" s="479">
        <v>1047.476209324883</v>
      </c>
      <c r="G33" s="480">
        <v>0.65173834262850516</v>
      </c>
      <c r="H33" s="479">
        <v>1054.5126383729214</v>
      </c>
      <c r="I33" s="479">
        <v>0</v>
      </c>
      <c r="J33" s="493">
        <f t="shared" si="1"/>
        <v>0</v>
      </c>
      <c r="M33" s="403"/>
      <c r="N33" s="403"/>
    </row>
    <row r="34" spans="1:14" ht="15" customHeight="1" x14ac:dyDescent="0.2">
      <c r="A34" s="407" t="s">
        <v>204</v>
      </c>
      <c r="B34" s="479">
        <v>1438</v>
      </c>
      <c r="C34" s="479">
        <v>934</v>
      </c>
      <c r="D34" s="480">
        <v>0.64951321279554941</v>
      </c>
      <c r="E34" s="481">
        <v>0.65146168014538519</v>
      </c>
      <c r="F34" s="479">
        <v>936.80189604906388</v>
      </c>
      <c r="G34" s="480">
        <v>0.65653223442420183</v>
      </c>
      <c r="H34" s="479">
        <v>944.0933531020022</v>
      </c>
      <c r="I34" s="479">
        <v>0</v>
      </c>
      <c r="J34" s="493">
        <f t="shared" si="1"/>
        <v>0</v>
      </c>
      <c r="M34" s="403"/>
      <c r="N34" s="403"/>
    </row>
    <row r="35" spans="1:14" ht="15" customHeight="1" x14ac:dyDescent="0.2">
      <c r="A35" s="407" t="s">
        <v>70</v>
      </c>
      <c r="B35" s="479">
        <v>2007</v>
      </c>
      <c r="C35" s="479">
        <v>1225</v>
      </c>
      <c r="D35" s="480">
        <v>0.61036372695565522</v>
      </c>
      <c r="E35" s="481">
        <v>0.60790824034272961</v>
      </c>
      <c r="F35" s="479">
        <v>1220.0718383678584</v>
      </c>
      <c r="G35" s="480">
        <v>0.61263762146114653</v>
      </c>
      <c r="H35" s="479">
        <v>1229.5637062725211</v>
      </c>
      <c r="I35" s="479">
        <v>0</v>
      </c>
      <c r="J35" s="493">
        <f t="shared" si="1"/>
        <v>0</v>
      </c>
      <c r="M35" s="403"/>
      <c r="N35" s="403"/>
    </row>
    <row r="36" spans="1:14" ht="15" customHeight="1" x14ac:dyDescent="0.2">
      <c r="A36" s="407" t="s">
        <v>117</v>
      </c>
      <c r="B36" s="479">
        <v>1010</v>
      </c>
      <c r="C36" s="479">
        <v>627</v>
      </c>
      <c r="D36" s="480">
        <v>0.62079207920792079</v>
      </c>
      <c r="E36" s="481">
        <v>0.67381868467522843</v>
      </c>
      <c r="F36" s="479">
        <v>680.55687152198072</v>
      </c>
      <c r="G36" s="480">
        <v>0.67920464441046124</v>
      </c>
      <c r="H36" s="479">
        <v>685.99669085456583</v>
      </c>
      <c r="I36" s="479">
        <v>0</v>
      </c>
      <c r="J36" s="493">
        <f t="shared" si="1"/>
        <v>0</v>
      </c>
      <c r="M36" s="403"/>
      <c r="N36" s="403"/>
    </row>
    <row r="37" spans="1:14" ht="15" customHeight="1" x14ac:dyDescent="0.2">
      <c r="A37" s="408" t="s">
        <v>205</v>
      </c>
      <c r="B37" s="482">
        <f>SUM(B6:B36)-B17</f>
        <v>33141</v>
      </c>
      <c r="C37" s="482">
        <f>SUM(C6:C36)-C17</f>
        <v>21418</v>
      </c>
      <c r="D37" s="483">
        <f>C37/B37</f>
        <v>0.64626897196825683</v>
      </c>
      <c r="E37" s="483">
        <f>F37/B37</f>
        <v>0.64954210563134918</v>
      </c>
      <c r="F37" s="482">
        <f>SUM(F6:F36)-F17</f>
        <v>21526.474922728543</v>
      </c>
      <c r="G37" s="483">
        <f>H37/B37</f>
        <v>0.65468856319002133</v>
      </c>
      <c r="H37" s="482">
        <f>SUM(H6:H36)-H17</f>
        <v>21697.033672680496</v>
      </c>
      <c r="I37" s="482">
        <f>SUM(I6:I36)-I17</f>
        <v>180.45186209149941</v>
      </c>
      <c r="J37" s="494">
        <f>SUM(J6:J36)-J17</f>
        <v>1804518.6209149945</v>
      </c>
      <c r="M37" s="403"/>
      <c r="N37" s="403"/>
    </row>
    <row r="38" spans="1:14" ht="15" customHeight="1" x14ac:dyDescent="0.2">
      <c r="A38" s="407" t="s">
        <v>206</v>
      </c>
      <c r="B38" s="479">
        <v>1238</v>
      </c>
      <c r="C38" s="479">
        <v>1007</v>
      </c>
      <c r="D38" s="480">
        <v>0.81340872374798057</v>
      </c>
      <c r="E38" s="481">
        <v>0.83155117933167133</v>
      </c>
      <c r="F38" s="479">
        <v>1029.460360012609</v>
      </c>
      <c r="G38" s="480">
        <v>0.84027294858895807</v>
      </c>
      <c r="H38" s="479">
        <v>1040.25791035313</v>
      </c>
      <c r="I38" s="479">
        <v>0</v>
      </c>
      <c r="J38" s="493">
        <f t="shared" si="1"/>
        <v>0</v>
      </c>
      <c r="M38" s="403"/>
      <c r="N38" s="403"/>
    </row>
    <row r="39" spans="1:14" ht="15" customHeight="1" x14ac:dyDescent="0.2">
      <c r="A39" s="407" t="s">
        <v>140</v>
      </c>
      <c r="B39" s="479">
        <v>2383</v>
      </c>
      <c r="C39" s="479">
        <v>1863</v>
      </c>
      <c r="D39" s="480">
        <v>0.78178766261015531</v>
      </c>
      <c r="E39" s="481">
        <v>0.81068366766857647</v>
      </c>
      <c r="F39" s="479">
        <v>1931.8591800542176</v>
      </c>
      <c r="G39" s="480">
        <v>0.81709433656831421</v>
      </c>
      <c r="H39" s="479">
        <v>1947.1358040422926</v>
      </c>
      <c r="I39" s="479">
        <v>0</v>
      </c>
      <c r="J39" s="493">
        <f t="shared" si="1"/>
        <v>0</v>
      </c>
      <c r="M39" s="403"/>
      <c r="N39" s="403"/>
    </row>
    <row r="40" spans="1:14" ht="15" customHeight="1" x14ac:dyDescent="0.2">
      <c r="A40" s="407" t="s">
        <v>207</v>
      </c>
      <c r="B40" s="479">
        <v>3930</v>
      </c>
      <c r="C40" s="479">
        <v>3317</v>
      </c>
      <c r="D40" s="480">
        <v>0.84402035623409666</v>
      </c>
      <c r="E40" s="481">
        <v>0.88671689875408533</v>
      </c>
      <c r="F40" s="479">
        <v>3484.7974121035554</v>
      </c>
      <c r="G40" s="480">
        <v>0.89068284838585465</v>
      </c>
      <c r="H40" s="479">
        <v>3500.3835941564089</v>
      </c>
      <c r="I40" s="479">
        <v>0</v>
      </c>
      <c r="J40" s="493">
        <f t="shared" si="1"/>
        <v>0</v>
      </c>
      <c r="M40" s="403"/>
      <c r="N40" s="403"/>
    </row>
    <row r="41" spans="1:14" ht="15" customHeight="1" x14ac:dyDescent="0.2">
      <c r="A41" s="407" t="s">
        <v>208</v>
      </c>
      <c r="B41" s="479">
        <v>1322</v>
      </c>
      <c r="C41" s="479">
        <v>1073</v>
      </c>
      <c r="D41" s="480">
        <v>0.81164901664145239</v>
      </c>
      <c r="E41" s="481">
        <v>0.87104345135296302</v>
      </c>
      <c r="F41" s="479">
        <v>1151.5194426886171</v>
      </c>
      <c r="G41" s="480">
        <v>0.87408181229387027</v>
      </c>
      <c r="H41" s="479">
        <v>1155.5361558524964</v>
      </c>
      <c r="I41" s="479">
        <v>0</v>
      </c>
      <c r="J41" s="493">
        <f t="shared" si="1"/>
        <v>0</v>
      </c>
      <c r="M41" s="403"/>
      <c r="N41" s="403"/>
    </row>
    <row r="42" spans="1:14" ht="15" customHeight="1" x14ac:dyDescent="0.2">
      <c r="A42" s="407" t="s">
        <v>209</v>
      </c>
      <c r="B42" s="479">
        <v>2116</v>
      </c>
      <c r="C42" s="479">
        <v>1616</v>
      </c>
      <c r="D42" s="480">
        <v>0.76370510396975422</v>
      </c>
      <c r="E42" s="481">
        <v>0.82718026347946805</v>
      </c>
      <c r="F42" s="479">
        <v>1750.3134375225543</v>
      </c>
      <c r="G42" s="480">
        <v>0.83008995554991971</v>
      </c>
      <c r="H42" s="479">
        <v>1756.47034594363</v>
      </c>
      <c r="I42" s="479">
        <v>0</v>
      </c>
      <c r="J42" s="493">
        <f t="shared" si="1"/>
        <v>0</v>
      </c>
      <c r="M42" s="403"/>
      <c r="N42" s="403"/>
    </row>
    <row r="43" spans="1:14" ht="15" customHeight="1" x14ac:dyDescent="0.2">
      <c r="A43" s="407" t="s">
        <v>210</v>
      </c>
      <c r="B43" s="479">
        <v>780</v>
      </c>
      <c r="C43" s="479">
        <v>601</v>
      </c>
      <c r="D43" s="480">
        <v>0.77051282051282055</v>
      </c>
      <c r="E43" s="481">
        <v>0.83323342307922466</v>
      </c>
      <c r="F43" s="479">
        <v>649.92207000179519</v>
      </c>
      <c r="G43" s="480">
        <v>0.83600243309555888</v>
      </c>
      <c r="H43" s="479">
        <v>652.08189781453598</v>
      </c>
      <c r="I43" s="479">
        <v>0</v>
      </c>
      <c r="J43" s="493">
        <f t="shared" si="1"/>
        <v>0</v>
      </c>
      <c r="M43" s="403"/>
      <c r="N43" s="403"/>
    </row>
    <row r="44" spans="1:14" ht="15" customHeight="1" x14ac:dyDescent="0.2">
      <c r="A44" s="407" t="s">
        <v>211</v>
      </c>
      <c r="B44" s="479">
        <v>1805</v>
      </c>
      <c r="C44" s="479">
        <v>1587</v>
      </c>
      <c r="D44" s="480">
        <v>0.87922437673130194</v>
      </c>
      <c r="E44" s="481">
        <v>0.89876976701925104</v>
      </c>
      <c r="F44" s="479">
        <v>1622.279429469748</v>
      </c>
      <c r="G44" s="480">
        <v>0.90321851647722884</v>
      </c>
      <c r="H44" s="479">
        <v>1630.3094222413981</v>
      </c>
      <c r="I44" s="479">
        <v>0</v>
      </c>
      <c r="J44" s="493">
        <f t="shared" si="1"/>
        <v>0</v>
      </c>
    </row>
    <row r="45" spans="1:14" ht="15" customHeight="1" x14ac:dyDescent="0.2">
      <c r="A45" s="408" t="s">
        <v>212</v>
      </c>
      <c r="B45" s="482">
        <f>SUM(B38:B44)</f>
        <v>13574</v>
      </c>
      <c r="C45" s="482">
        <f>SUM(C38:C44)</f>
        <v>11064</v>
      </c>
      <c r="D45" s="483">
        <f>C45/B45</f>
        <v>0.81508766759982321</v>
      </c>
      <c r="E45" s="483">
        <f>F45/B45</f>
        <v>0.85605947634102686</v>
      </c>
      <c r="F45" s="482">
        <f>SUM(F38:F44)</f>
        <v>11620.151331853098</v>
      </c>
      <c r="G45" s="483">
        <f>H45/B45</f>
        <v>0.86062878520730013</v>
      </c>
      <c r="H45" s="482">
        <f>SUM(H38:H44)</f>
        <v>11682.175130403892</v>
      </c>
      <c r="I45" s="482">
        <f>SUM(I38:I44)</f>
        <v>0</v>
      </c>
      <c r="J45" s="494">
        <f>SUM(J38:J44)</f>
        <v>0</v>
      </c>
    </row>
    <row r="46" spans="1:14" ht="15" customHeight="1" x14ac:dyDescent="0.2">
      <c r="A46" s="409" t="s">
        <v>213</v>
      </c>
      <c r="B46" s="482">
        <f>B37+B45</f>
        <v>46715</v>
      </c>
      <c r="C46" s="482">
        <f>C37+C45</f>
        <v>32482</v>
      </c>
      <c r="D46" s="483">
        <f>C46/B46</f>
        <v>0.69532270148774489</v>
      </c>
      <c r="E46" s="483">
        <f>F46/B46</f>
        <v>0.70954995728527548</v>
      </c>
      <c r="F46" s="482">
        <f>F37+F45</f>
        <v>33146.626254581643</v>
      </c>
      <c r="G46" s="483">
        <f>H46/B46</f>
        <v>0.71452871247103478</v>
      </c>
      <c r="H46" s="482">
        <f>H37+H45</f>
        <v>33379.208803084388</v>
      </c>
      <c r="I46" s="482">
        <f>I37+I45</f>
        <v>180.45186209149941</v>
      </c>
      <c r="J46" s="494">
        <f>J45+J37</f>
        <v>1804518.6209149945</v>
      </c>
    </row>
    <row r="47" spans="1:14" ht="15" customHeight="1" x14ac:dyDescent="0.2">
      <c r="A47" s="413" t="s">
        <v>275</v>
      </c>
      <c r="B47" s="414"/>
      <c r="C47" s="414"/>
      <c r="D47" s="461"/>
      <c r="E47" s="461"/>
      <c r="F47" s="414"/>
      <c r="G47" s="461"/>
      <c r="H47" s="414"/>
      <c r="I47" s="414"/>
      <c r="J47" s="495">
        <v>10000</v>
      </c>
    </row>
  </sheetData>
  <mergeCells count="3">
    <mergeCell ref="A1:J1"/>
    <mergeCell ref="A2:J2"/>
    <mergeCell ref="A3:J3"/>
  </mergeCells>
  <printOptions horizontalCentered="1"/>
  <pageMargins left="0.1" right="0.1" top="0.5" bottom="0.5" header="0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xSplit="1" ySplit="5" topLeftCell="B6" activePane="bottomRight" state="frozen"/>
      <selection activeCell="B30" sqref="B30"/>
      <selection pane="topRight" activeCell="B30" sqref="B30"/>
      <selection pane="bottomLeft" activeCell="B30" sqref="B30"/>
      <selection pane="bottomRight" activeCell="H4" sqref="H1:H1048576"/>
    </sheetView>
  </sheetViews>
  <sheetFormatPr defaultColWidth="9.140625" defaultRowHeight="15" customHeight="1" x14ac:dyDescent="0.2"/>
  <cols>
    <col min="1" max="1" width="40.28515625" style="402" customWidth="1"/>
    <col min="2" max="4" width="5.7109375" style="402" bestFit="1" customWidth="1"/>
    <col min="5" max="5" width="9.5703125" style="402" bestFit="1" customWidth="1"/>
    <col min="6" max="6" width="11.42578125" style="402" bestFit="1" customWidth="1"/>
    <col min="7" max="7" width="12.28515625" style="402" bestFit="1" customWidth="1"/>
    <col min="8" max="8" width="11" style="446" customWidth="1"/>
    <col min="9" max="16384" width="9.140625" style="402"/>
  </cols>
  <sheetData>
    <row r="1" spans="1:8" ht="15" customHeight="1" x14ac:dyDescent="0.2">
      <c r="A1" s="510" t="s">
        <v>297</v>
      </c>
      <c r="B1" s="510"/>
      <c r="C1" s="510"/>
      <c r="D1" s="510"/>
      <c r="E1" s="510"/>
      <c r="F1" s="510"/>
      <c r="G1" s="510"/>
      <c r="H1" s="510"/>
    </row>
    <row r="2" spans="1:8" ht="15" customHeight="1" x14ac:dyDescent="0.2">
      <c r="A2" s="510" t="s">
        <v>72</v>
      </c>
      <c r="B2" s="510"/>
      <c r="C2" s="510"/>
      <c r="D2" s="510"/>
      <c r="E2" s="510"/>
      <c r="F2" s="510"/>
      <c r="G2" s="510"/>
      <c r="H2" s="510"/>
    </row>
    <row r="3" spans="1:8" ht="15" customHeight="1" x14ac:dyDescent="0.2">
      <c r="A3" s="510" t="s">
        <v>332</v>
      </c>
      <c r="B3" s="510"/>
      <c r="C3" s="510"/>
      <c r="D3" s="510"/>
      <c r="E3" s="510"/>
      <c r="F3" s="510"/>
      <c r="G3" s="510"/>
      <c r="H3" s="510"/>
    </row>
    <row r="4" spans="1:8" ht="15" customHeight="1" x14ac:dyDescent="0.2">
      <c r="A4" s="433"/>
      <c r="B4" s="511"/>
      <c r="C4" s="511"/>
      <c r="D4" s="511"/>
      <c r="E4" s="289" t="s">
        <v>214</v>
      </c>
      <c r="F4" s="454">
        <v>2021</v>
      </c>
      <c r="G4" s="434" t="s">
        <v>215</v>
      </c>
      <c r="H4" s="491" t="s">
        <v>284</v>
      </c>
    </row>
    <row r="5" spans="1:8" x14ac:dyDescent="0.25">
      <c r="A5" s="290" t="s">
        <v>216</v>
      </c>
      <c r="B5" s="453">
        <v>2019</v>
      </c>
      <c r="C5" s="453">
        <v>2020</v>
      </c>
      <c r="D5" s="453">
        <v>2021</v>
      </c>
      <c r="E5" s="476" t="s">
        <v>325</v>
      </c>
      <c r="F5" s="435" t="s">
        <v>217</v>
      </c>
      <c r="G5" s="290" t="s">
        <v>218</v>
      </c>
      <c r="H5" s="492" t="s">
        <v>334</v>
      </c>
    </row>
    <row r="6" spans="1:8" ht="15" customHeight="1" x14ac:dyDescent="0.2">
      <c r="A6" s="415" t="s">
        <v>187</v>
      </c>
      <c r="B6" s="445">
        <v>0.625</v>
      </c>
      <c r="C6" s="445">
        <v>0.66233766233766234</v>
      </c>
      <c r="D6" s="445">
        <v>0.5714285714285714</v>
      </c>
      <c r="E6" s="445">
        <v>-5.3571428571428603E-2</v>
      </c>
      <c r="F6" s="446">
        <v>84</v>
      </c>
      <c r="G6" s="463">
        <v>0</v>
      </c>
      <c r="H6" s="496">
        <f t="shared" ref="H6:H16" si="0">G6*H$47</f>
        <v>0</v>
      </c>
    </row>
    <row r="7" spans="1:8" ht="15" customHeight="1" x14ac:dyDescent="0.2">
      <c r="A7" s="291" t="s">
        <v>188</v>
      </c>
      <c r="B7" s="447">
        <v>0.63129251700680267</v>
      </c>
      <c r="C7" s="447">
        <v>0.61898395721925137</v>
      </c>
      <c r="D7" s="447">
        <v>0.60703363914373087</v>
      </c>
      <c r="E7" s="447">
        <v>-2.4258877863071793E-2</v>
      </c>
      <c r="F7" s="446">
        <v>654</v>
      </c>
      <c r="G7" s="464">
        <v>0</v>
      </c>
      <c r="H7" s="497">
        <f t="shared" si="0"/>
        <v>0</v>
      </c>
    </row>
    <row r="8" spans="1:8" ht="15" customHeight="1" x14ac:dyDescent="0.2">
      <c r="A8" s="291" t="s">
        <v>189</v>
      </c>
      <c r="B8" s="447">
        <v>0.64777327935222673</v>
      </c>
      <c r="C8" s="447">
        <v>0.676056338028169</v>
      </c>
      <c r="D8" s="447">
        <v>0.63928571428571423</v>
      </c>
      <c r="E8" s="447">
        <v>-8.4875650665124924E-3</v>
      </c>
      <c r="F8" s="446">
        <v>280</v>
      </c>
      <c r="G8" s="464">
        <v>0</v>
      </c>
      <c r="H8" s="497">
        <f t="shared" si="0"/>
        <v>0</v>
      </c>
    </row>
    <row r="9" spans="1:8" ht="15" customHeight="1" x14ac:dyDescent="0.2">
      <c r="A9" s="291" t="s">
        <v>7</v>
      </c>
      <c r="B9" s="447">
        <v>0.5641025641025641</v>
      </c>
      <c r="C9" s="447">
        <v>0.56329113924050633</v>
      </c>
      <c r="D9" s="447">
        <v>0.6310679611650486</v>
      </c>
      <c r="E9" s="447">
        <v>6.69653970624845E-2</v>
      </c>
      <c r="F9" s="446">
        <v>103</v>
      </c>
      <c r="G9" s="464">
        <v>6</v>
      </c>
      <c r="H9" s="497">
        <f t="shared" si="0"/>
        <v>24000</v>
      </c>
    </row>
    <row r="10" spans="1:8" ht="15" customHeight="1" x14ac:dyDescent="0.2">
      <c r="A10" s="291" t="s">
        <v>9</v>
      </c>
      <c r="B10" s="447">
        <v>0.57406143344709892</v>
      </c>
      <c r="C10" s="447">
        <v>0.60434496379196845</v>
      </c>
      <c r="D10" s="447">
        <v>0.58877786318216752</v>
      </c>
      <c r="E10" s="447">
        <v>1.4716429735068592E-2</v>
      </c>
      <c r="F10" s="446">
        <v>1301</v>
      </c>
      <c r="G10" s="464">
        <v>13</v>
      </c>
      <c r="H10" s="497">
        <f t="shared" si="0"/>
        <v>52000</v>
      </c>
    </row>
    <row r="11" spans="1:8" ht="15" customHeight="1" x14ac:dyDescent="0.2">
      <c r="A11" s="291" t="s">
        <v>190</v>
      </c>
      <c r="B11" s="447">
        <v>0.69421487603305787</v>
      </c>
      <c r="C11" s="447">
        <v>0.65667574931880113</v>
      </c>
      <c r="D11" s="447">
        <v>0.63466666666666671</v>
      </c>
      <c r="E11" s="447">
        <v>-5.9548209366391158E-2</v>
      </c>
      <c r="F11" s="446">
        <v>375</v>
      </c>
      <c r="G11" s="464">
        <v>0</v>
      </c>
      <c r="H11" s="497">
        <f t="shared" si="0"/>
        <v>0</v>
      </c>
    </row>
    <row r="12" spans="1:8" ht="15" customHeight="1" x14ac:dyDescent="0.2">
      <c r="A12" s="291" t="s">
        <v>219</v>
      </c>
      <c r="B12" s="447">
        <v>0.53676470588235292</v>
      </c>
      <c r="C12" s="447">
        <v>0.55474452554744524</v>
      </c>
      <c r="D12" s="447">
        <v>0.51315789473684215</v>
      </c>
      <c r="E12" s="447">
        <v>-2.3606811145510775E-2</v>
      </c>
      <c r="F12" s="446">
        <v>76</v>
      </c>
      <c r="G12" s="464">
        <v>0</v>
      </c>
      <c r="H12" s="497">
        <f t="shared" si="0"/>
        <v>0</v>
      </c>
    </row>
    <row r="13" spans="1:8" ht="15" customHeight="1" x14ac:dyDescent="0.2">
      <c r="A13" s="291" t="s">
        <v>139</v>
      </c>
      <c r="B13" s="447">
        <v>0.6428571428571429</v>
      </c>
      <c r="C13" s="447">
        <v>0.63905325443786987</v>
      </c>
      <c r="D13" s="447">
        <v>0.63494318181818177</v>
      </c>
      <c r="E13" s="447">
        <v>-7.913961038961137E-3</v>
      </c>
      <c r="F13" s="446">
        <v>704</v>
      </c>
      <c r="G13" s="464">
        <v>0</v>
      </c>
      <c r="H13" s="497">
        <f t="shared" si="0"/>
        <v>0</v>
      </c>
    </row>
    <row r="14" spans="1:8" ht="15" customHeight="1" x14ac:dyDescent="0.2">
      <c r="A14" s="291" t="s">
        <v>191</v>
      </c>
      <c r="B14" s="447">
        <v>0.62178217821782178</v>
      </c>
      <c r="C14" s="447">
        <v>0.63689320388349513</v>
      </c>
      <c r="D14" s="447">
        <v>0.64220183486238536</v>
      </c>
      <c r="E14" s="447">
        <v>2.0419656644563577E-2</v>
      </c>
      <c r="F14" s="446">
        <v>545</v>
      </c>
      <c r="G14" s="464">
        <v>8</v>
      </c>
      <c r="H14" s="497">
        <f t="shared" si="0"/>
        <v>32000</v>
      </c>
    </row>
    <row r="15" spans="1:8" ht="15" customHeight="1" x14ac:dyDescent="0.2">
      <c r="A15" s="291" t="s">
        <v>17</v>
      </c>
      <c r="B15" s="447">
        <v>0.56031128404669261</v>
      </c>
      <c r="C15" s="447">
        <v>0.57777777777777772</v>
      </c>
      <c r="D15" s="447">
        <v>0.54112554112554112</v>
      </c>
      <c r="E15" s="447">
        <v>-1.9185742921151494E-2</v>
      </c>
      <c r="F15" s="446">
        <v>231</v>
      </c>
      <c r="G15" s="464">
        <v>0</v>
      </c>
      <c r="H15" s="497">
        <f t="shared" si="0"/>
        <v>0</v>
      </c>
    </row>
    <row r="16" spans="1:8" ht="15" customHeight="1" x14ac:dyDescent="0.2">
      <c r="A16" s="291" t="s">
        <v>192</v>
      </c>
      <c r="B16" s="447">
        <v>0.56233243967828417</v>
      </c>
      <c r="C16" s="447">
        <v>0.53689567430025442</v>
      </c>
      <c r="D16" s="447">
        <v>0.58042488619119881</v>
      </c>
      <c r="E16" s="447">
        <v>1.8092446512914639E-2</v>
      </c>
      <c r="F16" s="446">
        <v>1318</v>
      </c>
      <c r="G16" s="464">
        <v>17</v>
      </c>
      <c r="H16" s="497">
        <f t="shared" si="0"/>
        <v>68000</v>
      </c>
    </row>
    <row r="17" spans="1:8" ht="15" customHeight="1" x14ac:dyDescent="0.2">
      <c r="A17" s="416" t="s">
        <v>303</v>
      </c>
      <c r="B17" s="448">
        <v>0.65254237288135597</v>
      </c>
      <c r="C17" s="448">
        <v>0.50806451612903225</v>
      </c>
      <c r="D17" s="448">
        <v>0.58878504672897192</v>
      </c>
      <c r="E17" s="448">
        <v>-6.3757326152384053E-2</v>
      </c>
      <c r="F17" s="449">
        <v>107</v>
      </c>
      <c r="G17" s="465">
        <v>0</v>
      </c>
      <c r="H17" s="450">
        <f>SUM(H18:H22)</f>
        <v>376000</v>
      </c>
    </row>
    <row r="18" spans="1:8" ht="15" customHeight="1" x14ac:dyDescent="0.2">
      <c r="A18" s="291" t="s">
        <v>268</v>
      </c>
      <c r="B18" s="447">
        <v>0.53707414829659317</v>
      </c>
      <c r="C18" s="447">
        <v>0.54274353876739567</v>
      </c>
      <c r="D18" s="447">
        <v>0.62444444444444447</v>
      </c>
      <c r="E18" s="447">
        <v>8.7370296147851301E-2</v>
      </c>
      <c r="F18" s="446">
        <v>450</v>
      </c>
      <c r="G18" s="464">
        <v>37</v>
      </c>
      <c r="H18" s="497">
        <f t="shared" ref="H18:H27" si="1">G18*H$47</f>
        <v>148000</v>
      </c>
    </row>
    <row r="19" spans="1:8" ht="15" customHeight="1" x14ac:dyDescent="0.2">
      <c r="A19" s="291" t="s">
        <v>269</v>
      </c>
      <c r="B19" s="447">
        <v>0.65845070422535212</v>
      </c>
      <c r="C19" s="447">
        <v>0.57894736842105265</v>
      </c>
      <c r="D19" s="447">
        <v>0.63478260869565217</v>
      </c>
      <c r="E19" s="447">
        <v>-2.3668095529699951E-2</v>
      </c>
      <c r="F19" s="446">
        <v>230</v>
      </c>
      <c r="G19" s="464">
        <v>0</v>
      </c>
      <c r="H19" s="497">
        <f t="shared" si="1"/>
        <v>0</v>
      </c>
    </row>
    <row r="20" spans="1:8" ht="15" customHeight="1" x14ac:dyDescent="0.2">
      <c r="A20" s="291" t="s">
        <v>270</v>
      </c>
      <c r="B20" s="447">
        <v>0.6376370280146163</v>
      </c>
      <c r="C20" s="447">
        <v>0.60370591751344893</v>
      </c>
      <c r="D20" s="447">
        <v>0.6</v>
      </c>
      <c r="E20" s="447">
        <v>-3.7637028014616325E-2</v>
      </c>
      <c r="F20" s="446">
        <v>1555</v>
      </c>
      <c r="G20" s="464">
        <v>0</v>
      </c>
      <c r="H20" s="497">
        <f t="shared" si="1"/>
        <v>0</v>
      </c>
    </row>
    <row r="21" spans="1:8" ht="15" customHeight="1" x14ac:dyDescent="0.2">
      <c r="A21" s="291" t="s">
        <v>271</v>
      </c>
      <c r="B21" s="447">
        <v>0.58313632781717883</v>
      </c>
      <c r="C21" s="447">
        <v>0.573905862923204</v>
      </c>
      <c r="D21" s="447">
        <v>0.62959183673469388</v>
      </c>
      <c r="E21" s="447">
        <v>4.6455508917515043E-2</v>
      </c>
      <c r="F21" s="446">
        <v>980</v>
      </c>
      <c r="G21" s="464">
        <v>41</v>
      </c>
      <c r="H21" s="497">
        <f t="shared" si="1"/>
        <v>164000</v>
      </c>
    </row>
    <row r="22" spans="1:8" ht="15" customHeight="1" x14ac:dyDescent="0.2">
      <c r="A22" s="291" t="s">
        <v>272</v>
      </c>
      <c r="B22" s="447">
        <v>0.60385438972162742</v>
      </c>
      <c r="C22" s="447">
        <v>0.56834532374100721</v>
      </c>
      <c r="D22" s="447">
        <v>0.61891117478510027</v>
      </c>
      <c r="E22" s="447">
        <v>1.5056785063472855E-2</v>
      </c>
      <c r="F22" s="446">
        <v>349</v>
      </c>
      <c r="G22" s="464">
        <v>16</v>
      </c>
      <c r="H22" s="497">
        <f t="shared" si="1"/>
        <v>64000</v>
      </c>
    </row>
    <row r="23" spans="1:8" ht="15" customHeight="1" x14ac:dyDescent="0.2">
      <c r="A23" s="291" t="s">
        <v>220</v>
      </c>
      <c r="B23" s="447">
        <v>0.63414634146341464</v>
      </c>
      <c r="C23" s="447">
        <v>0.73333333333333328</v>
      </c>
      <c r="D23" s="447">
        <v>0.57317073170731703</v>
      </c>
      <c r="E23" s="447">
        <v>-6.0975609756097615E-2</v>
      </c>
      <c r="F23" s="446">
        <v>82</v>
      </c>
      <c r="G23" s="464">
        <v>0</v>
      </c>
      <c r="H23" s="497">
        <f t="shared" si="1"/>
        <v>0</v>
      </c>
    </row>
    <row r="24" spans="1:8" ht="15" customHeight="1" x14ac:dyDescent="0.2">
      <c r="A24" s="291" t="s">
        <v>194</v>
      </c>
      <c r="B24" s="447">
        <v>0.55633802816901412</v>
      </c>
      <c r="C24" s="447">
        <v>0.47787610619469029</v>
      </c>
      <c r="D24" s="447">
        <v>0.63440860215053763</v>
      </c>
      <c r="E24" s="447">
        <v>7.8070573981523506E-2</v>
      </c>
      <c r="F24" s="446">
        <v>93</v>
      </c>
      <c r="G24" s="464">
        <v>7</v>
      </c>
      <c r="H24" s="497">
        <f t="shared" si="1"/>
        <v>28000</v>
      </c>
    </row>
    <row r="25" spans="1:8" ht="15" customHeight="1" x14ac:dyDescent="0.2">
      <c r="A25" s="417" t="s">
        <v>221</v>
      </c>
      <c r="B25" s="447">
        <v>0.57723577235772361</v>
      </c>
      <c r="C25" s="447">
        <v>0.59090909090909094</v>
      </c>
      <c r="D25" s="447">
        <v>0.65</v>
      </c>
      <c r="E25" s="447">
        <v>7.2764227642276413E-2</v>
      </c>
      <c r="F25" s="446">
        <v>100</v>
      </c>
      <c r="G25" s="464">
        <v>7</v>
      </c>
      <c r="H25" s="497">
        <f t="shared" si="1"/>
        <v>28000</v>
      </c>
    </row>
    <row r="26" spans="1:8" ht="15" customHeight="1" x14ac:dyDescent="0.2">
      <c r="A26" s="291" t="s">
        <v>132</v>
      </c>
      <c r="B26" s="447">
        <v>0.6097560975609756</v>
      </c>
      <c r="C26" s="447">
        <v>0.5714285714285714</v>
      </c>
      <c r="D26" s="447">
        <v>0.65853658536585369</v>
      </c>
      <c r="E26" s="447">
        <v>4.8780487804878092E-2</v>
      </c>
      <c r="F26" s="446">
        <v>41</v>
      </c>
      <c r="G26" s="464">
        <v>2</v>
      </c>
      <c r="H26" s="497">
        <f t="shared" si="1"/>
        <v>8000</v>
      </c>
    </row>
    <row r="27" spans="1:8" ht="15" customHeight="1" x14ac:dyDescent="0.2">
      <c r="A27" s="291" t="s">
        <v>133</v>
      </c>
      <c r="B27" s="447">
        <v>0.69620253164556967</v>
      </c>
      <c r="C27" s="447">
        <v>0.51190476190476186</v>
      </c>
      <c r="D27" s="447">
        <v>0.54545454545454541</v>
      </c>
      <c r="E27" s="447">
        <v>-0.15074798619102425</v>
      </c>
      <c r="F27" s="446">
        <v>33</v>
      </c>
      <c r="G27" s="464">
        <v>0</v>
      </c>
      <c r="H27" s="497">
        <f t="shared" si="1"/>
        <v>0</v>
      </c>
    </row>
    <row r="28" spans="1:8" ht="15" customHeight="1" x14ac:dyDescent="0.2">
      <c r="A28" s="291" t="s">
        <v>227</v>
      </c>
      <c r="B28" s="447">
        <v>0.63928571428571423</v>
      </c>
      <c r="C28" s="447">
        <v>0.60919540229885061</v>
      </c>
      <c r="D28" s="447">
        <v>0.56395348837209303</v>
      </c>
      <c r="E28" s="447">
        <v>-7.5332225913621209E-2</v>
      </c>
      <c r="F28" s="446">
        <v>172</v>
      </c>
      <c r="G28" s="464">
        <v>0</v>
      </c>
      <c r="H28" s="497">
        <f t="shared" ref="H28:H36" si="2">G28*H$47</f>
        <v>0</v>
      </c>
    </row>
    <row r="29" spans="1:8" ht="15" customHeight="1" x14ac:dyDescent="0.2">
      <c r="A29" s="291" t="s">
        <v>201</v>
      </c>
      <c r="B29" s="447">
        <v>0.50588235294117645</v>
      </c>
      <c r="C29" s="447">
        <v>0.48717948717948717</v>
      </c>
      <c r="D29" s="447">
        <v>0.4107142857142857</v>
      </c>
      <c r="E29" s="447">
        <v>-9.5168067226890751E-2</v>
      </c>
      <c r="F29" s="446">
        <v>56</v>
      </c>
      <c r="G29" s="464">
        <v>0</v>
      </c>
      <c r="H29" s="497">
        <f t="shared" si="2"/>
        <v>0</v>
      </c>
    </row>
    <row r="30" spans="1:8" ht="15" customHeight="1" x14ac:dyDescent="0.2">
      <c r="A30" s="291" t="s">
        <v>202</v>
      </c>
      <c r="B30" s="447">
        <v>0.60810810810810811</v>
      </c>
      <c r="C30" s="447">
        <v>0.625</v>
      </c>
      <c r="D30" s="447">
        <v>0.56521739130434778</v>
      </c>
      <c r="E30" s="447">
        <v>-4.2890716803760331E-2</v>
      </c>
      <c r="F30" s="446">
        <v>69</v>
      </c>
      <c r="G30" s="464">
        <v>0</v>
      </c>
      <c r="H30" s="497">
        <f t="shared" si="2"/>
        <v>0</v>
      </c>
    </row>
    <row r="31" spans="1:8" ht="15" customHeight="1" x14ac:dyDescent="0.2">
      <c r="A31" s="291" t="s">
        <v>36</v>
      </c>
      <c r="B31" s="447">
        <v>0.60416666666666663</v>
      </c>
      <c r="C31" s="447">
        <v>0.56502242152466364</v>
      </c>
      <c r="D31" s="447">
        <v>0.61674008810572689</v>
      </c>
      <c r="E31" s="447">
        <v>1.2573421439060262E-2</v>
      </c>
      <c r="F31" s="446">
        <v>227</v>
      </c>
      <c r="G31" s="464">
        <v>2</v>
      </c>
      <c r="H31" s="497">
        <f t="shared" si="2"/>
        <v>8000</v>
      </c>
    </row>
    <row r="32" spans="1:8" ht="15" customHeight="1" x14ac:dyDescent="0.2">
      <c r="A32" s="291" t="s">
        <v>131</v>
      </c>
      <c r="B32" s="447">
        <v>0.64264264264264259</v>
      </c>
      <c r="C32" s="447">
        <v>0.61392405063291144</v>
      </c>
      <c r="D32" s="447">
        <v>0.59226190476190477</v>
      </c>
      <c r="E32" s="447">
        <v>-5.0380737880737825E-2</v>
      </c>
      <c r="F32" s="446">
        <v>336</v>
      </c>
      <c r="G32" s="464">
        <v>0</v>
      </c>
      <c r="H32" s="497">
        <f t="shared" si="2"/>
        <v>0</v>
      </c>
    </row>
    <row r="33" spans="1:8" ht="15" customHeight="1" x14ac:dyDescent="0.2">
      <c r="A33" s="291" t="s">
        <v>203</v>
      </c>
      <c r="B33" s="447">
        <v>0.58391608391608396</v>
      </c>
      <c r="C33" s="447">
        <v>0.60068259385665534</v>
      </c>
      <c r="D33" s="447">
        <v>0.58792184724689167</v>
      </c>
      <c r="E33" s="447">
        <v>4.0057633308077101E-3</v>
      </c>
      <c r="F33" s="446">
        <v>563</v>
      </c>
      <c r="G33" s="464">
        <v>0</v>
      </c>
      <c r="H33" s="497">
        <f t="shared" si="2"/>
        <v>0</v>
      </c>
    </row>
    <row r="34" spans="1:8" ht="15" customHeight="1" x14ac:dyDescent="0.2">
      <c r="A34" s="291" t="s">
        <v>204</v>
      </c>
      <c r="B34" s="447">
        <v>0.55178571428571432</v>
      </c>
      <c r="C34" s="447">
        <v>0.59701492537313428</v>
      </c>
      <c r="D34" s="447">
        <v>0.5717884130982368</v>
      </c>
      <c r="E34" s="447">
        <v>2.0002698812522479E-2</v>
      </c>
      <c r="F34" s="446">
        <v>397</v>
      </c>
      <c r="G34" s="464">
        <v>6</v>
      </c>
      <c r="H34" s="497">
        <f t="shared" si="2"/>
        <v>24000</v>
      </c>
    </row>
    <row r="35" spans="1:8" ht="15" customHeight="1" x14ac:dyDescent="0.2">
      <c r="A35" s="291" t="s">
        <v>70</v>
      </c>
      <c r="B35" s="447">
        <v>0.61626575028636887</v>
      </c>
      <c r="C35" s="447">
        <v>0.57060333761232351</v>
      </c>
      <c r="D35" s="447">
        <v>0.58472012102874438</v>
      </c>
      <c r="E35" s="447">
        <v>-3.1545629257624497E-2</v>
      </c>
      <c r="F35" s="446">
        <v>1322</v>
      </c>
      <c r="G35" s="464">
        <v>0</v>
      </c>
      <c r="H35" s="497">
        <f t="shared" si="2"/>
        <v>0</v>
      </c>
    </row>
    <row r="36" spans="1:8" ht="15" customHeight="1" x14ac:dyDescent="0.2">
      <c r="A36" s="291" t="s">
        <v>117</v>
      </c>
      <c r="B36" s="447">
        <v>0.66470588235294115</v>
      </c>
      <c r="C36" s="447">
        <v>0.5714285714285714</v>
      </c>
      <c r="D36" s="447">
        <v>0.55709342560553632</v>
      </c>
      <c r="E36" s="447">
        <v>-0.10761245674740483</v>
      </c>
      <c r="F36" s="446">
        <v>289</v>
      </c>
      <c r="G36" s="464">
        <v>0</v>
      </c>
      <c r="H36" s="497">
        <f t="shared" si="2"/>
        <v>0</v>
      </c>
    </row>
    <row r="37" spans="1:8" ht="15" customHeight="1" x14ac:dyDescent="0.2">
      <c r="A37" s="292" t="s">
        <v>205</v>
      </c>
      <c r="B37" s="448">
        <v>0.60471557897581407</v>
      </c>
      <c r="C37" s="448">
        <v>0.59003358694907126</v>
      </c>
      <c r="D37" s="448">
        <v>0.60009394817192518</v>
      </c>
      <c r="E37" s="448">
        <v>-4.6216308038888876E-3</v>
      </c>
      <c r="F37" s="450">
        <v>12773</v>
      </c>
      <c r="G37" s="465">
        <v>146</v>
      </c>
      <c r="H37" s="497">
        <f>SUM(H6:H17,H28:H36)</f>
        <v>584000</v>
      </c>
    </row>
    <row r="38" spans="1:8" ht="15" customHeight="1" x14ac:dyDescent="0.2">
      <c r="A38" s="291" t="s">
        <v>206</v>
      </c>
      <c r="B38" s="447">
        <v>0.77647058823529413</v>
      </c>
      <c r="C38" s="447">
        <v>0.76888888888888884</v>
      </c>
      <c r="D38" s="447">
        <v>0.72972972972972971</v>
      </c>
      <c r="E38" s="447">
        <v>-4.674085850556442E-2</v>
      </c>
      <c r="F38" s="446">
        <v>222</v>
      </c>
      <c r="G38" s="464">
        <v>0</v>
      </c>
      <c r="H38" s="497">
        <f t="shared" ref="H38:H45" si="3">G38*H$47</f>
        <v>0</v>
      </c>
    </row>
    <row r="39" spans="1:8" ht="15" customHeight="1" x14ac:dyDescent="0.2">
      <c r="A39" s="291" t="s">
        <v>140</v>
      </c>
      <c r="B39" s="447">
        <v>0.7861818181818182</v>
      </c>
      <c r="C39" s="447">
        <v>0.78270509977827052</v>
      </c>
      <c r="D39" s="447">
        <v>0.76729559748427678</v>
      </c>
      <c r="E39" s="447">
        <v>-1.8886220697541423E-2</v>
      </c>
      <c r="F39" s="446">
        <v>1272</v>
      </c>
      <c r="G39" s="464">
        <v>0</v>
      </c>
      <c r="H39" s="497">
        <f t="shared" si="3"/>
        <v>0</v>
      </c>
    </row>
    <row r="40" spans="1:8" ht="15" customHeight="1" x14ac:dyDescent="0.2">
      <c r="A40" s="291" t="s">
        <v>207</v>
      </c>
      <c r="B40" s="447">
        <v>0.85118219749652291</v>
      </c>
      <c r="C40" s="447">
        <v>0.82857142857142863</v>
      </c>
      <c r="D40" s="447">
        <v>0.79272727272727272</v>
      </c>
      <c r="E40" s="447">
        <v>-5.8454924769250183E-2</v>
      </c>
      <c r="F40" s="446">
        <v>825</v>
      </c>
      <c r="G40" s="464">
        <v>0</v>
      </c>
      <c r="H40" s="497">
        <f t="shared" si="3"/>
        <v>0</v>
      </c>
    </row>
    <row r="41" spans="1:8" ht="15" customHeight="1" x14ac:dyDescent="0.2">
      <c r="A41" s="291" t="s">
        <v>208</v>
      </c>
      <c r="B41" s="447">
        <v>0.75109170305676853</v>
      </c>
      <c r="C41" s="447">
        <v>0.77824267782426781</v>
      </c>
      <c r="D41" s="447">
        <v>0.76525821596244137</v>
      </c>
      <c r="E41" s="447">
        <v>1.4166512905672834E-2</v>
      </c>
      <c r="F41" s="446">
        <v>213</v>
      </c>
      <c r="G41" s="464">
        <v>2</v>
      </c>
      <c r="H41" s="497">
        <f t="shared" si="3"/>
        <v>8000</v>
      </c>
    </row>
    <row r="42" spans="1:8" ht="15" customHeight="1" x14ac:dyDescent="0.2">
      <c r="A42" s="291" t="s">
        <v>209</v>
      </c>
      <c r="B42" s="447">
        <v>0.73753665689149561</v>
      </c>
      <c r="C42" s="447">
        <v>0.78104575163398693</v>
      </c>
      <c r="D42" s="447">
        <v>0.70134228187919467</v>
      </c>
      <c r="E42" s="447">
        <v>-3.6194375012300939E-2</v>
      </c>
      <c r="F42" s="446">
        <v>596</v>
      </c>
      <c r="G42" s="464">
        <v>0</v>
      </c>
      <c r="H42" s="497">
        <f t="shared" si="3"/>
        <v>0</v>
      </c>
    </row>
    <row r="43" spans="1:8" ht="15" customHeight="1" x14ac:dyDescent="0.2">
      <c r="A43" s="291" t="s">
        <v>210</v>
      </c>
      <c r="B43" s="447">
        <v>0.79012345679012341</v>
      </c>
      <c r="C43" s="447">
        <v>0.78787878787878785</v>
      </c>
      <c r="D43" s="447">
        <v>0.70666666666666667</v>
      </c>
      <c r="E43" s="447">
        <v>-8.3456790123456748E-2</v>
      </c>
      <c r="F43" s="446">
        <v>225</v>
      </c>
      <c r="G43" s="464">
        <v>0</v>
      </c>
      <c r="H43" s="497">
        <f t="shared" si="3"/>
        <v>0</v>
      </c>
    </row>
    <row r="44" spans="1:8" ht="15" customHeight="1" x14ac:dyDescent="0.2">
      <c r="A44" s="291" t="s">
        <v>211</v>
      </c>
      <c r="B44" s="447">
        <v>0.85630498533724342</v>
      </c>
      <c r="C44" s="447">
        <v>0.87428571428571433</v>
      </c>
      <c r="D44" s="447">
        <v>0.83</v>
      </c>
      <c r="E44" s="447">
        <v>-2.6304985337243458E-2</v>
      </c>
      <c r="F44" s="446">
        <v>300</v>
      </c>
      <c r="G44" s="464">
        <v>0</v>
      </c>
      <c r="H44" s="497">
        <f t="shared" si="3"/>
        <v>0</v>
      </c>
    </row>
    <row r="45" spans="1:8" ht="15" customHeight="1" x14ac:dyDescent="0.2">
      <c r="A45" s="292" t="s">
        <v>212</v>
      </c>
      <c r="B45" s="448">
        <v>0.79351581185224551</v>
      </c>
      <c r="C45" s="448">
        <v>0.79940201141614564</v>
      </c>
      <c r="D45" s="448">
        <v>0.76129208869422393</v>
      </c>
      <c r="E45" s="448">
        <v>-3.2223723158021578E-2</v>
      </c>
      <c r="F45" s="449">
        <v>3653</v>
      </c>
      <c r="G45" s="465">
        <v>2</v>
      </c>
      <c r="H45" s="450">
        <f t="shared" si="3"/>
        <v>8000</v>
      </c>
    </row>
    <row r="46" spans="1:8" ht="15" customHeight="1" x14ac:dyDescent="0.2">
      <c r="A46" s="293" t="s">
        <v>213</v>
      </c>
      <c r="B46" s="451">
        <v>0.64298410988419064</v>
      </c>
      <c r="C46" s="451">
        <v>0.63219837968031534</v>
      </c>
      <c r="D46" s="451">
        <v>0.63594301716790458</v>
      </c>
      <c r="E46" s="451">
        <v>-7.041092716286057E-3</v>
      </c>
      <c r="F46" s="452">
        <v>16426</v>
      </c>
      <c r="G46" s="466">
        <v>148</v>
      </c>
      <c r="H46" s="498">
        <f>H37+H45</f>
        <v>592000</v>
      </c>
    </row>
    <row r="47" spans="1:8" ht="15" customHeight="1" x14ac:dyDescent="0.2">
      <c r="A47" s="413" t="s">
        <v>275</v>
      </c>
      <c r="B47" s="467"/>
      <c r="C47" s="467"/>
      <c r="D47" s="467"/>
      <c r="E47" s="467"/>
      <c r="F47" s="467"/>
      <c r="G47" s="467"/>
      <c r="H47" s="495">
        <v>4000</v>
      </c>
    </row>
  </sheetData>
  <mergeCells count="4">
    <mergeCell ref="A1:H1"/>
    <mergeCell ref="A2:H2"/>
    <mergeCell ref="A3:H3"/>
    <mergeCell ref="B4:D4"/>
  </mergeCells>
  <printOptions horizontalCentered="1"/>
  <pageMargins left="0.2" right="0.2" top="0.5" bottom="0.5" header="0" footer="0.3"/>
  <pageSetup scale="95" orientation="portrait" r:id="rId1"/>
  <headerFooter>
    <oddFooter>&amp;LSource: System Office Research - Academic and Student Affairs   
&amp;Z&amp;F&amp;A
February 5,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44"/>
  <sheetViews>
    <sheetView zoomScale="80" zoomScaleNormal="80" workbookViewId="0">
      <selection activeCell="C26" sqref="C26"/>
    </sheetView>
  </sheetViews>
  <sheetFormatPr defaultRowHeight="15" customHeight="1" x14ac:dyDescent="0.2"/>
  <cols>
    <col min="1" max="1" width="6.85546875" customWidth="1"/>
    <col min="2" max="2" width="33.5703125" customWidth="1"/>
    <col min="3" max="3" width="16.7109375" customWidth="1"/>
    <col min="4" max="4" width="17.42578125" customWidth="1"/>
    <col min="5" max="5" width="13.140625" customWidth="1"/>
    <col min="6" max="6" width="13.5703125" customWidth="1"/>
    <col min="7" max="7" width="2.7109375" customWidth="1"/>
    <col min="8" max="8" width="21.42578125" style="11" customWidth="1"/>
    <col min="9" max="9" width="14.5703125" customWidth="1"/>
  </cols>
  <sheetData>
    <row r="1" spans="1:9" ht="15" customHeight="1" x14ac:dyDescent="0.25">
      <c r="A1" s="36" t="s">
        <v>252</v>
      </c>
      <c r="H1" s="425" t="s">
        <v>285</v>
      </c>
    </row>
    <row r="2" spans="1:9" ht="15" customHeight="1" x14ac:dyDescent="0.2">
      <c r="A2" s="4" t="s">
        <v>90</v>
      </c>
    </row>
    <row r="3" spans="1:9" ht="15" customHeight="1" x14ac:dyDescent="0.2">
      <c r="A3" s="4" t="s">
        <v>327</v>
      </c>
    </row>
    <row r="5" spans="1:9" ht="15" customHeight="1" x14ac:dyDescent="0.2">
      <c r="H5" s="201" t="s">
        <v>143</v>
      </c>
    </row>
    <row r="6" spans="1:9" ht="15" customHeight="1" x14ac:dyDescent="0.2">
      <c r="C6" s="201" t="s">
        <v>79</v>
      </c>
      <c r="D6" s="201" t="s">
        <v>74</v>
      </c>
      <c r="E6" s="201" t="s">
        <v>75</v>
      </c>
      <c r="F6" s="201" t="s">
        <v>76</v>
      </c>
      <c r="G6" s="201"/>
      <c r="H6" s="32" t="s">
        <v>77</v>
      </c>
    </row>
    <row r="7" spans="1:9" ht="61.5" customHeight="1" x14ac:dyDescent="0.2">
      <c r="A7" s="210" t="s">
        <v>0</v>
      </c>
      <c r="B7" s="211" t="s">
        <v>83</v>
      </c>
      <c r="C7" s="210" t="s">
        <v>144</v>
      </c>
      <c r="D7" s="31" t="s">
        <v>145</v>
      </c>
      <c r="E7" s="33" t="s">
        <v>92</v>
      </c>
      <c r="F7" s="212" t="s">
        <v>119</v>
      </c>
      <c r="H7" s="30" t="s">
        <v>91</v>
      </c>
    </row>
    <row r="8" spans="1:9" ht="15" customHeight="1" x14ac:dyDescent="0.2">
      <c r="B8" s="34"/>
      <c r="D8" s="11"/>
      <c r="F8" s="11"/>
    </row>
    <row r="9" spans="1:9" ht="15" customHeight="1" x14ac:dyDescent="0.2">
      <c r="A9" s="213" t="s">
        <v>2</v>
      </c>
      <c r="B9" s="214" t="s">
        <v>128</v>
      </c>
      <c r="C9" s="215"/>
      <c r="D9" s="215">
        <v>35534</v>
      </c>
      <c r="E9" s="215">
        <f>C9+D9</f>
        <v>35534</v>
      </c>
      <c r="F9" s="216">
        <f>'Revenue Offset'!G8</f>
        <v>0.42994600299063729</v>
      </c>
      <c r="H9" s="35">
        <f>E9*(1-F9)</f>
        <v>20256.298729730697</v>
      </c>
    </row>
    <row r="10" spans="1:9" s="54" customFormat="1" ht="15" customHeight="1" x14ac:dyDescent="0.2">
      <c r="A10" s="213" t="s">
        <v>4</v>
      </c>
      <c r="B10" s="214" t="s">
        <v>124</v>
      </c>
      <c r="C10" s="217">
        <v>2048</v>
      </c>
      <c r="D10" s="218"/>
      <c r="E10" s="215">
        <f t="shared" ref="E10:E38" si="0">C10+D10</f>
        <v>2048</v>
      </c>
      <c r="F10" s="216">
        <f>'Revenue Offset'!G9</f>
        <v>0.46785978356806973</v>
      </c>
      <c r="H10" s="35">
        <f t="shared" ref="H10:H38" si="1">E10*(1-F10)</f>
        <v>1089.8231632525931</v>
      </c>
    </row>
    <row r="11" spans="1:9" ht="15" customHeight="1" x14ac:dyDescent="0.2">
      <c r="A11" s="213" t="s">
        <v>5</v>
      </c>
      <c r="B11" s="214" t="s">
        <v>113</v>
      </c>
      <c r="C11" s="219"/>
      <c r="D11" s="219">
        <f>8461+64297</f>
        <v>72758</v>
      </c>
      <c r="E11" s="215">
        <f t="shared" si="0"/>
        <v>72758</v>
      </c>
      <c r="F11" s="216">
        <f>'Revenue Offset'!G10</f>
        <v>0.56619047727320571</v>
      </c>
      <c r="H11" s="35">
        <f t="shared" si="1"/>
        <v>31563.113254556098</v>
      </c>
      <c r="I11" s="24"/>
    </row>
    <row r="12" spans="1:9" ht="15" customHeight="1" x14ac:dyDescent="0.2">
      <c r="A12" s="213" t="s">
        <v>6</v>
      </c>
      <c r="B12" s="214" t="s">
        <v>7</v>
      </c>
      <c r="C12" s="215"/>
      <c r="D12" s="215">
        <v>36609</v>
      </c>
      <c r="E12" s="215">
        <f t="shared" si="0"/>
        <v>36609</v>
      </c>
      <c r="F12" s="216">
        <f>'Revenue Offset'!G11</f>
        <v>0.42283932087747</v>
      </c>
      <c r="H12" s="35">
        <f t="shared" si="1"/>
        <v>21129.275301996702</v>
      </c>
    </row>
    <row r="13" spans="1:9" ht="15" customHeight="1" x14ac:dyDescent="0.2">
      <c r="A13" s="213" t="s">
        <v>8</v>
      </c>
      <c r="B13" s="214" t="s">
        <v>9</v>
      </c>
      <c r="C13" s="215"/>
      <c r="D13" s="215">
        <v>56361</v>
      </c>
      <c r="E13" s="215">
        <f t="shared" si="0"/>
        <v>56361</v>
      </c>
      <c r="F13" s="216">
        <f>'Revenue Offset'!G12</f>
        <v>0.48062341301981409</v>
      </c>
      <c r="H13" s="35">
        <f t="shared" si="1"/>
        <v>29272.583818790255</v>
      </c>
    </row>
    <row r="14" spans="1:9" ht="15" customHeight="1" x14ac:dyDescent="0.2">
      <c r="A14" s="213" t="s">
        <v>10</v>
      </c>
      <c r="B14" s="3" t="s">
        <v>146</v>
      </c>
      <c r="C14" s="215"/>
      <c r="D14" s="215">
        <v>665431</v>
      </c>
      <c r="E14" s="215">
        <f t="shared" si="0"/>
        <v>665431</v>
      </c>
      <c r="F14" s="216">
        <f>'Revenue Offset'!G13</f>
        <v>0.43171641281087125</v>
      </c>
      <c r="H14" s="35">
        <f t="shared" si="1"/>
        <v>378153.51570684911</v>
      </c>
    </row>
    <row r="15" spans="1:9" ht="15" customHeight="1" x14ac:dyDescent="0.2">
      <c r="A15" s="213" t="s">
        <v>12</v>
      </c>
      <c r="B15" s="214" t="s">
        <v>13</v>
      </c>
      <c r="C15" s="215"/>
      <c r="D15" s="215"/>
      <c r="E15" s="215">
        <f t="shared" si="0"/>
        <v>0</v>
      </c>
      <c r="F15" s="216">
        <f>'Revenue Offset'!G14</f>
        <v>0.29974574275056504</v>
      </c>
      <c r="H15" s="35">
        <f t="shared" si="1"/>
        <v>0</v>
      </c>
    </row>
    <row r="16" spans="1:9" ht="15" customHeight="1" x14ac:dyDescent="0.2">
      <c r="A16" s="213" t="s">
        <v>14</v>
      </c>
      <c r="B16" s="214" t="s">
        <v>139</v>
      </c>
      <c r="C16" s="215"/>
      <c r="D16" s="215"/>
      <c r="E16" s="215">
        <f t="shared" si="0"/>
        <v>0</v>
      </c>
      <c r="F16" s="216">
        <f>'Revenue Offset'!G15</f>
        <v>0.38889350360047492</v>
      </c>
      <c r="H16" s="35">
        <f t="shared" si="1"/>
        <v>0</v>
      </c>
    </row>
    <row r="17" spans="1:8" ht="15" customHeight="1" x14ac:dyDescent="0.2">
      <c r="A17" s="213" t="s">
        <v>16</v>
      </c>
      <c r="B17" s="214" t="s">
        <v>17</v>
      </c>
      <c r="C17" s="215"/>
      <c r="D17" s="215">
        <v>4927</v>
      </c>
      <c r="E17" s="215">
        <f t="shared" si="0"/>
        <v>4927</v>
      </c>
      <c r="F17" s="216">
        <f>'Revenue Offset'!G16</f>
        <v>0.41972966468364403</v>
      </c>
      <c r="H17" s="35">
        <f t="shared" si="1"/>
        <v>2858.9919421036857</v>
      </c>
    </row>
    <row r="18" spans="1:8" ht="15" customHeight="1" x14ac:dyDescent="0.2">
      <c r="A18" s="213" t="s">
        <v>18</v>
      </c>
      <c r="B18" s="214" t="s">
        <v>140</v>
      </c>
      <c r="C18" s="215">
        <v>345751</v>
      </c>
      <c r="D18" s="215">
        <v>9143</v>
      </c>
      <c r="E18" s="215">
        <f t="shared" si="0"/>
        <v>354894</v>
      </c>
      <c r="F18" s="216">
        <f>'Revenue Offset'!G17</f>
        <v>0.5815153753931428</v>
      </c>
      <c r="H18" s="35">
        <f t="shared" si="1"/>
        <v>148517.68236522598</v>
      </c>
    </row>
    <row r="19" spans="1:8" ht="15" customHeight="1" x14ac:dyDescent="0.2">
      <c r="A19" s="213" t="s">
        <v>19</v>
      </c>
      <c r="B19" s="214" t="s">
        <v>129</v>
      </c>
      <c r="C19" s="215"/>
      <c r="D19" s="215">
        <v>77867</v>
      </c>
      <c r="E19" s="215">
        <f t="shared" si="0"/>
        <v>77867</v>
      </c>
      <c r="F19" s="216">
        <f>'Revenue Offset'!G18</f>
        <v>0.45444345651098822</v>
      </c>
      <c r="H19" s="35">
        <f t="shared" si="1"/>
        <v>42480.851371858873</v>
      </c>
    </row>
    <row r="20" spans="1:8" ht="15" customHeight="1" x14ac:dyDescent="0.2">
      <c r="A20" s="213" t="s">
        <v>118</v>
      </c>
      <c r="B20" s="214" t="s">
        <v>303</v>
      </c>
      <c r="C20" s="215">
        <f>7600</f>
        <v>7600</v>
      </c>
      <c r="D20" s="215">
        <f>109737+159877+101862+2424</f>
        <v>373900</v>
      </c>
      <c r="E20" s="215">
        <f>C20+D20</f>
        <v>381500</v>
      </c>
      <c r="F20" s="216">
        <f>'Revenue Offset'!G19</f>
        <v>0.40402274996031112</v>
      </c>
      <c r="H20" s="35">
        <f>E20*(1-F20)</f>
        <v>227365.32089014133</v>
      </c>
    </row>
    <row r="21" spans="1:8" ht="15" customHeight="1" x14ac:dyDescent="0.2">
      <c r="A21" s="213" t="s">
        <v>21</v>
      </c>
      <c r="B21" s="220" t="s">
        <v>176</v>
      </c>
      <c r="C21" s="215"/>
      <c r="D21" s="215"/>
      <c r="E21" s="215">
        <f t="shared" si="0"/>
        <v>0</v>
      </c>
      <c r="F21" s="216">
        <f>'Revenue Offset'!G20</f>
        <v>0.3849305676995205</v>
      </c>
      <c r="H21" s="35">
        <f t="shared" si="1"/>
        <v>0</v>
      </c>
    </row>
    <row r="22" spans="1:8" ht="15" customHeight="1" x14ac:dyDescent="0.2">
      <c r="A22" s="213" t="s">
        <v>109</v>
      </c>
      <c r="B22" s="214" t="s">
        <v>141</v>
      </c>
      <c r="C22" s="215"/>
      <c r="D22" s="215"/>
      <c r="E22" s="215">
        <f t="shared" si="0"/>
        <v>0</v>
      </c>
      <c r="F22" s="216">
        <f>'Revenue Offset'!G21</f>
        <v>0.43210891645511013</v>
      </c>
      <c r="H22" s="35">
        <f t="shared" si="1"/>
        <v>0</v>
      </c>
    </row>
    <row r="23" spans="1:8" ht="15" customHeight="1" x14ac:dyDescent="0.2">
      <c r="A23" s="213" t="s">
        <v>26</v>
      </c>
      <c r="B23" s="214" t="s">
        <v>62</v>
      </c>
      <c r="C23" s="215"/>
      <c r="D23" s="215">
        <v>413461</v>
      </c>
      <c r="E23" s="215">
        <f t="shared" si="0"/>
        <v>413461</v>
      </c>
      <c r="F23" s="216">
        <f>'Revenue Offset'!G22</f>
        <v>0.58500105666895075</v>
      </c>
      <c r="H23" s="35">
        <f t="shared" si="1"/>
        <v>171585.87810859896</v>
      </c>
    </row>
    <row r="24" spans="1:8" ht="15" customHeight="1" x14ac:dyDescent="0.2">
      <c r="A24" s="213" t="s">
        <v>22</v>
      </c>
      <c r="B24" s="214" t="s">
        <v>23</v>
      </c>
      <c r="C24" s="215">
        <v>1308817</v>
      </c>
      <c r="D24" s="215">
        <v>1229776</v>
      </c>
      <c r="E24" s="215">
        <f t="shared" si="0"/>
        <v>2538593</v>
      </c>
      <c r="F24" s="216">
        <f>'Revenue Offset'!G23</f>
        <v>0.66370517721450217</v>
      </c>
      <c r="H24" s="35">
        <f t="shared" si="1"/>
        <v>853715.6830595053</v>
      </c>
    </row>
    <row r="25" spans="1:8" ht="15" customHeight="1" x14ac:dyDescent="0.2">
      <c r="A25" s="213" t="s">
        <v>24</v>
      </c>
      <c r="B25" s="214" t="s">
        <v>137</v>
      </c>
      <c r="C25" s="215">
        <v>21529</v>
      </c>
      <c r="D25" s="215">
        <v>407327</v>
      </c>
      <c r="E25" s="215">
        <f t="shared" si="0"/>
        <v>428856</v>
      </c>
      <c r="F25" s="216">
        <f>'Revenue Offset'!G24</f>
        <v>0.41265333301265078</v>
      </c>
      <c r="H25" s="35">
        <f t="shared" si="1"/>
        <v>251887.14221752665</v>
      </c>
    </row>
    <row r="26" spans="1:8" ht="15" customHeight="1" x14ac:dyDescent="0.2">
      <c r="A26" s="213" t="s">
        <v>27</v>
      </c>
      <c r="B26" s="214" t="s">
        <v>132</v>
      </c>
      <c r="C26" s="215">
        <v>139518</v>
      </c>
      <c r="D26" s="215">
        <v>4262</v>
      </c>
      <c r="E26" s="215">
        <f t="shared" si="0"/>
        <v>143780</v>
      </c>
      <c r="F26" s="216">
        <f>'Revenue Offset'!G25</f>
        <v>0.51667289381447168</v>
      </c>
      <c r="H26" s="35">
        <f t="shared" si="1"/>
        <v>69492.771327355265</v>
      </c>
    </row>
    <row r="27" spans="1:8" ht="15" customHeight="1" x14ac:dyDescent="0.2">
      <c r="A27" s="213" t="s">
        <v>29</v>
      </c>
      <c r="B27" s="214" t="s">
        <v>133</v>
      </c>
      <c r="C27" s="215">
        <v>749</v>
      </c>
      <c r="D27" s="215"/>
      <c r="E27" s="215">
        <f t="shared" si="0"/>
        <v>749</v>
      </c>
      <c r="F27" s="216">
        <f>'Revenue Offset'!G26</f>
        <v>0.45829670207333539</v>
      </c>
      <c r="H27" s="35">
        <f t="shared" si="1"/>
        <v>405.73577014707178</v>
      </c>
    </row>
    <row r="28" spans="1:8" ht="15" customHeight="1" x14ac:dyDescent="0.2">
      <c r="A28" s="213" t="s">
        <v>31</v>
      </c>
      <c r="B28" s="214" t="s">
        <v>134</v>
      </c>
      <c r="C28" s="215"/>
      <c r="D28" s="215">
        <v>20288</v>
      </c>
      <c r="E28" s="215">
        <f t="shared" si="0"/>
        <v>20288</v>
      </c>
      <c r="F28" s="216">
        <f>'Revenue Offset'!G27</f>
        <v>0.41468822390234633</v>
      </c>
      <c r="H28" s="35">
        <f t="shared" si="1"/>
        <v>11874.805313469196</v>
      </c>
    </row>
    <row r="29" spans="1:8" ht="15" customHeight="1" x14ac:dyDescent="0.2">
      <c r="A29" s="213" t="s">
        <v>33</v>
      </c>
      <c r="B29" s="214" t="s">
        <v>130</v>
      </c>
      <c r="C29" s="215"/>
      <c r="D29" s="215"/>
      <c r="E29" s="215">
        <f t="shared" si="0"/>
        <v>0</v>
      </c>
      <c r="F29" s="216">
        <f>'Revenue Offset'!G28</f>
        <v>0.36799515399523164</v>
      </c>
      <c r="H29" s="35">
        <f t="shared" si="1"/>
        <v>0</v>
      </c>
    </row>
    <row r="30" spans="1:8" ht="15" customHeight="1" x14ac:dyDescent="0.2">
      <c r="A30" s="213" t="s">
        <v>35</v>
      </c>
      <c r="B30" s="214" t="s">
        <v>36</v>
      </c>
      <c r="C30" s="215"/>
      <c r="D30" s="215"/>
      <c r="E30" s="215">
        <f t="shared" si="0"/>
        <v>0</v>
      </c>
      <c r="F30" s="216">
        <f>'Revenue Offset'!G29</f>
        <v>0.42956518155480178</v>
      </c>
      <c r="H30" s="35">
        <f t="shared" si="1"/>
        <v>0</v>
      </c>
    </row>
    <row r="31" spans="1:8" ht="15" customHeight="1" x14ac:dyDescent="0.2">
      <c r="A31" s="213" t="s">
        <v>37</v>
      </c>
      <c r="B31" s="214" t="s">
        <v>131</v>
      </c>
      <c r="C31" s="215"/>
      <c r="D31" s="215"/>
      <c r="E31" s="215">
        <f t="shared" si="0"/>
        <v>0</v>
      </c>
      <c r="F31" s="216">
        <f>'Revenue Offset'!G30</f>
        <v>0.46809474264819967</v>
      </c>
      <c r="H31" s="35">
        <f t="shared" si="1"/>
        <v>0</v>
      </c>
    </row>
    <row r="32" spans="1:8" ht="15" customHeight="1" x14ac:dyDescent="0.2">
      <c r="A32" s="213" t="s">
        <v>39</v>
      </c>
      <c r="B32" s="214" t="s">
        <v>135</v>
      </c>
      <c r="C32" s="215"/>
      <c r="D32" s="215">
        <v>610227</v>
      </c>
      <c r="E32" s="215">
        <f t="shared" si="0"/>
        <v>610227</v>
      </c>
      <c r="F32" s="216">
        <f>'Revenue Offset'!G31</f>
        <v>0.49449233670850162</v>
      </c>
      <c r="H32" s="35">
        <f t="shared" si="1"/>
        <v>308474.42484738113</v>
      </c>
    </row>
    <row r="33" spans="1:8" ht="15" customHeight="1" x14ac:dyDescent="0.2">
      <c r="A33" s="213" t="s">
        <v>46</v>
      </c>
      <c r="B33" s="214" t="s">
        <v>70</v>
      </c>
      <c r="C33" s="215"/>
      <c r="D33" s="215"/>
      <c r="E33" s="215">
        <f t="shared" si="0"/>
        <v>0</v>
      </c>
      <c r="F33" s="216">
        <f>'Revenue Offset'!G32</f>
        <v>0.4572878669125619</v>
      </c>
      <c r="H33" s="35">
        <f t="shared" si="1"/>
        <v>0</v>
      </c>
    </row>
    <row r="34" spans="1:8" ht="15" customHeight="1" x14ac:dyDescent="0.2">
      <c r="A34" s="213" t="s">
        <v>41</v>
      </c>
      <c r="B34" s="214" t="s">
        <v>117</v>
      </c>
      <c r="C34" s="215"/>
      <c r="D34" s="215">
        <v>26976</v>
      </c>
      <c r="E34" s="215">
        <f t="shared" si="0"/>
        <v>26976</v>
      </c>
      <c r="F34" s="216">
        <f>'Revenue Offset'!G33</f>
        <v>0.41091877982345221</v>
      </c>
      <c r="H34" s="35">
        <f t="shared" si="1"/>
        <v>15891.054995482555</v>
      </c>
    </row>
    <row r="35" spans="1:8" ht="15" customHeight="1" x14ac:dyDescent="0.2">
      <c r="A35" s="213" t="s">
        <v>42</v>
      </c>
      <c r="B35" s="214" t="s">
        <v>69</v>
      </c>
      <c r="C35" s="215">
        <v>82951</v>
      </c>
      <c r="D35" s="215">
        <v>97255</v>
      </c>
      <c r="E35" s="215">
        <f t="shared" si="0"/>
        <v>180206</v>
      </c>
      <c r="F35" s="216">
        <f>'Revenue Offset'!G34</f>
        <v>0.52129850152811719</v>
      </c>
      <c r="H35" s="35">
        <f t="shared" si="1"/>
        <v>86264.882233624114</v>
      </c>
    </row>
    <row r="36" spans="1:8" ht="15" customHeight="1" x14ac:dyDescent="0.2">
      <c r="A36" s="213" t="s">
        <v>43</v>
      </c>
      <c r="B36" s="214" t="s">
        <v>44</v>
      </c>
      <c r="C36" s="215">
        <v>1016769</v>
      </c>
      <c r="D36" s="215">
        <v>1376314</v>
      </c>
      <c r="E36" s="215">
        <f t="shared" si="0"/>
        <v>2393083</v>
      </c>
      <c r="F36" s="216">
        <f>'Revenue Offset'!G35</f>
        <v>0.55849930289694605</v>
      </c>
      <c r="H36" s="35">
        <f t="shared" si="1"/>
        <v>1056547.8127254676</v>
      </c>
    </row>
    <row r="37" spans="1:8" ht="15" customHeight="1" x14ac:dyDescent="0.2">
      <c r="A37" s="213" t="s">
        <v>45</v>
      </c>
      <c r="B37" s="214" t="s">
        <v>136</v>
      </c>
      <c r="C37" s="215"/>
      <c r="D37" s="215"/>
      <c r="E37" s="215">
        <f t="shared" si="0"/>
        <v>0</v>
      </c>
      <c r="F37" s="216">
        <f>'Revenue Offset'!G36</f>
        <v>0.4780402595300664</v>
      </c>
      <c r="H37" s="35">
        <f t="shared" si="1"/>
        <v>0</v>
      </c>
    </row>
    <row r="38" spans="1:8" ht="15" customHeight="1" x14ac:dyDescent="0.2">
      <c r="A38" s="213" t="s">
        <v>47</v>
      </c>
      <c r="B38" s="214" t="s">
        <v>48</v>
      </c>
      <c r="C38" s="215">
        <v>51186</v>
      </c>
      <c r="D38" s="215">
        <v>212455</v>
      </c>
      <c r="E38" s="215">
        <f t="shared" si="0"/>
        <v>263641</v>
      </c>
      <c r="F38" s="216">
        <f>'Revenue Offset'!G37</f>
        <v>0.59061211016021042</v>
      </c>
      <c r="H38" s="35">
        <f t="shared" si="1"/>
        <v>107931.43266525197</v>
      </c>
    </row>
    <row r="39" spans="1:8" ht="15" customHeight="1" x14ac:dyDescent="0.2">
      <c r="D39" s="11"/>
      <c r="F39" s="11"/>
      <c r="G39" s="15"/>
    </row>
    <row r="40" spans="1:8" ht="15" customHeight="1" x14ac:dyDescent="0.2">
      <c r="B40" t="s">
        <v>49</v>
      </c>
      <c r="C40" s="221">
        <f>SUM(C9:C39)</f>
        <v>2976918</v>
      </c>
      <c r="D40" s="221">
        <f>SUM(D9:D39)</f>
        <v>5730871</v>
      </c>
      <c r="E40" s="221">
        <f>SUM(E9:E39)</f>
        <v>8707789</v>
      </c>
      <c r="F40" s="222">
        <f>'[1]Revenue Offset (2)'!G40</f>
        <v>0.58953142624222721</v>
      </c>
      <c r="H40" s="221">
        <f>SUM(H9:H39)</f>
        <v>3836759.0798083162</v>
      </c>
    </row>
    <row r="42" spans="1:8" ht="15" customHeight="1" x14ac:dyDescent="0.2">
      <c r="A42" s="16" t="s">
        <v>314</v>
      </c>
      <c r="D42" s="468"/>
    </row>
    <row r="43" spans="1:8" ht="15" customHeight="1" x14ac:dyDescent="0.2">
      <c r="A43" s="16"/>
    </row>
    <row r="44" spans="1:8" ht="15" customHeight="1" x14ac:dyDescent="0.2">
      <c r="A44" s="16"/>
    </row>
  </sheetData>
  <phoneticPr fontId="11" type="noConversion"/>
  <pageMargins left="0.75" right="0.53" top="0.47" bottom="0.28999999999999998" header="0.5" footer="0.28999999999999998"/>
  <pageSetup scale="1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47"/>
  <sheetViews>
    <sheetView zoomScale="80" zoomScaleNormal="80" workbookViewId="0">
      <selection activeCell="G23" sqref="G23"/>
    </sheetView>
  </sheetViews>
  <sheetFormatPr defaultColWidth="9.140625" defaultRowHeight="12.75" x14ac:dyDescent="0.2"/>
  <cols>
    <col min="1" max="1" width="6" style="234" customWidth="1"/>
    <col min="2" max="2" width="31.85546875" style="224" customWidth="1"/>
    <col min="3" max="3" width="14.7109375" style="225" customWidth="1"/>
    <col min="4" max="4" width="11.5703125" style="226" bestFit="1" customWidth="1"/>
    <col min="5" max="5" width="14.7109375" style="226" customWidth="1"/>
    <col min="6" max="6" width="15.140625" style="224" customWidth="1"/>
    <col min="7" max="7" width="13.5703125" style="227" customWidth="1"/>
    <col min="8" max="8" width="2.42578125" style="227" customWidth="1"/>
    <col min="9" max="16384" width="9.140625" style="224"/>
  </cols>
  <sheetData>
    <row r="1" spans="1:8" ht="15.75" x14ac:dyDescent="0.25">
      <c r="A1" s="223" t="s">
        <v>252</v>
      </c>
      <c r="G1" s="426" t="s">
        <v>286</v>
      </c>
    </row>
    <row r="2" spans="1:8" x14ac:dyDescent="0.2">
      <c r="A2" s="228" t="s">
        <v>93</v>
      </c>
    </row>
    <row r="3" spans="1:8" x14ac:dyDescent="0.2">
      <c r="A3" s="228" t="s">
        <v>311</v>
      </c>
    </row>
    <row r="4" spans="1:8" s="230" customFormat="1" ht="12.75" customHeight="1" x14ac:dyDescent="0.2">
      <c r="A4" s="229" t="s">
        <v>157</v>
      </c>
      <c r="C4" s="231"/>
      <c r="D4" s="232"/>
      <c r="E4" s="232" t="s">
        <v>94</v>
      </c>
      <c r="G4" s="233" t="s">
        <v>158</v>
      </c>
      <c r="H4" s="233"/>
    </row>
    <row r="5" spans="1:8" x14ac:dyDescent="0.2">
      <c r="C5" s="231" t="s">
        <v>79</v>
      </c>
      <c r="D5" s="232" t="s">
        <v>74</v>
      </c>
      <c r="E5" s="232" t="s">
        <v>159</v>
      </c>
      <c r="F5" s="230" t="s">
        <v>76</v>
      </c>
      <c r="G5" s="233" t="s">
        <v>77</v>
      </c>
      <c r="H5" s="233"/>
    </row>
    <row r="6" spans="1:8" s="241" customFormat="1" ht="63" x14ac:dyDescent="0.25">
      <c r="A6" s="235" t="s">
        <v>0</v>
      </c>
      <c r="B6" s="235" t="s">
        <v>1</v>
      </c>
      <c r="C6" s="236" t="s">
        <v>312</v>
      </c>
      <c r="D6" s="237" t="s">
        <v>95</v>
      </c>
      <c r="E6" s="237" t="s">
        <v>96</v>
      </c>
      <c r="F6" s="238" t="s">
        <v>313</v>
      </c>
      <c r="G6" s="240" t="s">
        <v>119</v>
      </c>
      <c r="H6" s="239"/>
    </row>
    <row r="7" spans="1:8" s="241" customFormat="1" x14ac:dyDescent="0.2">
      <c r="A7" s="120"/>
      <c r="B7" s="120"/>
      <c r="C7" s="202"/>
      <c r="D7" s="243"/>
      <c r="E7" s="243"/>
      <c r="G7" s="244"/>
      <c r="H7" s="244"/>
    </row>
    <row r="8" spans="1:8" x14ac:dyDescent="0.2">
      <c r="A8" s="245" t="s">
        <v>2</v>
      </c>
      <c r="B8" s="246" t="s">
        <v>128</v>
      </c>
      <c r="C8" s="247">
        <v>22858235.289999999</v>
      </c>
      <c r="D8" s="457">
        <v>939602.87</v>
      </c>
      <c r="E8" s="248">
        <f t="shared" ref="E8:E37" si="0">C8-D8</f>
        <v>21918632.419999998</v>
      </c>
      <c r="F8" s="458">
        <v>12494804.02</v>
      </c>
      <c r="G8" s="397">
        <f>(E8-F8)/E8</f>
        <v>0.42994600299063729</v>
      </c>
      <c r="H8" s="249"/>
    </row>
    <row r="9" spans="1:8" x14ac:dyDescent="0.2">
      <c r="A9" s="245" t="s">
        <v>4</v>
      </c>
      <c r="B9" s="246" t="s">
        <v>124</v>
      </c>
      <c r="C9" s="247">
        <v>65508590.890000001</v>
      </c>
      <c r="D9" s="457">
        <v>447377.49</v>
      </c>
      <c r="E9" s="248">
        <f t="shared" si="0"/>
        <v>65061213.399999999</v>
      </c>
      <c r="F9" s="458">
        <v>34621688.18</v>
      </c>
      <c r="G9" s="397">
        <f t="shared" ref="G9:G37" si="1">(E9-F9)/E9</f>
        <v>0.46785978356806973</v>
      </c>
      <c r="H9" s="249"/>
    </row>
    <row r="10" spans="1:8" x14ac:dyDescent="0.2">
      <c r="A10" s="245" t="s">
        <v>5</v>
      </c>
      <c r="B10" s="246" t="s">
        <v>113</v>
      </c>
      <c r="C10" s="250">
        <v>66824712.310000002</v>
      </c>
      <c r="D10" s="457">
        <v>2067734.47</v>
      </c>
      <c r="E10" s="248">
        <f t="shared" si="0"/>
        <v>64756977.840000004</v>
      </c>
      <c r="F10" s="458">
        <v>28092193.649999999</v>
      </c>
      <c r="G10" s="397">
        <f t="shared" si="1"/>
        <v>0.56619047727320571</v>
      </c>
      <c r="H10" s="249"/>
    </row>
    <row r="11" spans="1:8" x14ac:dyDescent="0.2">
      <c r="A11" s="245" t="s">
        <v>6</v>
      </c>
      <c r="B11" s="246" t="s">
        <v>7</v>
      </c>
      <c r="C11" s="247">
        <v>29157357.420000002</v>
      </c>
      <c r="D11" s="457">
        <v>658480.79</v>
      </c>
      <c r="E11" s="248">
        <f t="shared" si="0"/>
        <v>28498876.630000003</v>
      </c>
      <c r="F11" s="458">
        <v>16448430.99</v>
      </c>
      <c r="G11" s="397">
        <f t="shared" si="1"/>
        <v>0.42283932087747</v>
      </c>
      <c r="H11" s="249"/>
    </row>
    <row r="12" spans="1:8" x14ac:dyDescent="0.2">
      <c r="A12" s="245" t="s">
        <v>8</v>
      </c>
      <c r="B12" s="246" t="s">
        <v>9</v>
      </c>
      <c r="C12" s="247">
        <v>59800847.170000002</v>
      </c>
      <c r="D12" s="457">
        <v>362719.28</v>
      </c>
      <c r="E12" s="248">
        <f t="shared" si="0"/>
        <v>59438127.890000001</v>
      </c>
      <c r="F12" s="458">
        <v>30870772</v>
      </c>
      <c r="G12" s="397">
        <f t="shared" si="1"/>
        <v>0.48062341301981409</v>
      </c>
      <c r="H12" s="249"/>
    </row>
    <row r="13" spans="1:8" x14ac:dyDescent="0.2">
      <c r="A13" s="245" t="s">
        <v>10</v>
      </c>
      <c r="B13" s="3" t="s">
        <v>146</v>
      </c>
      <c r="C13" s="247">
        <v>56966552.090000004</v>
      </c>
      <c r="D13" s="457">
        <v>620053.05000000005</v>
      </c>
      <c r="E13" s="248">
        <f t="shared" si="0"/>
        <v>56346499.040000007</v>
      </c>
      <c r="F13" s="458">
        <v>32020790.600000001</v>
      </c>
      <c r="G13" s="397">
        <f t="shared" si="1"/>
        <v>0.43171641281087125</v>
      </c>
      <c r="H13" s="249"/>
    </row>
    <row r="14" spans="1:8" x14ac:dyDescent="0.2">
      <c r="A14" s="245" t="s">
        <v>12</v>
      </c>
      <c r="B14" s="246" t="s">
        <v>13</v>
      </c>
      <c r="C14" s="247">
        <v>9309000.6500000004</v>
      </c>
      <c r="D14" s="457">
        <v>29221.98</v>
      </c>
      <c r="E14" s="248">
        <f t="shared" si="0"/>
        <v>9279778.6699999999</v>
      </c>
      <c r="F14" s="458">
        <v>6498204.5199999996</v>
      </c>
      <c r="G14" s="397">
        <f t="shared" si="1"/>
        <v>0.29974574275056504</v>
      </c>
      <c r="H14" s="249"/>
    </row>
    <row r="15" spans="1:8" x14ac:dyDescent="0.2">
      <c r="A15" s="245" t="s">
        <v>14</v>
      </c>
      <c r="B15" s="246" t="s">
        <v>139</v>
      </c>
      <c r="C15" s="247">
        <v>39515114.43</v>
      </c>
      <c r="D15" s="457">
        <v>717938.39</v>
      </c>
      <c r="E15" s="248">
        <f t="shared" si="0"/>
        <v>38797176.039999999</v>
      </c>
      <c r="F15" s="458">
        <v>23709206.32</v>
      </c>
      <c r="G15" s="397">
        <f t="shared" si="1"/>
        <v>0.38889350360047492</v>
      </c>
      <c r="H15" s="249"/>
    </row>
    <row r="16" spans="1:8" x14ac:dyDescent="0.2">
      <c r="A16" s="245" t="s">
        <v>16</v>
      </c>
      <c r="B16" s="246" t="s">
        <v>17</v>
      </c>
      <c r="C16" s="247">
        <v>33260635.5</v>
      </c>
      <c r="D16" s="457">
        <v>1990415.56</v>
      </c>
      <c r="E16" s="248">
        <f t="shared" si="0"/>
        <v>31270219.940000001</v>
      </c>
      <c r="F16" s="458">
        <v>18145181.010000002</v>
      </c>
      <c r="G16" s="397">
        <f t="shared" si="1"/>
        <v>0.41972966468364403</v>
      </c>
      <c r="H16" s="249"/>
    </row>
    <row r="17" spans="1:8" x14ac:dyDescent="0.2">
      <c r="A17" s="245" t="s">
        <v>18</v>
      </c>
      <c r="B17" s="246" t="s">
        <v>140</v>
      </c>
      <c r="C17" s="247">
        <v>82062032.769999996</v>
      </c>
      <c r="D17" s="457">
        <v>259806.1</v>
      </c>
      <c r="E17" s="248">
        <f t="shared" si="0"/>
        <v>81802226.670000002</v>
      </c>
      <c r="F17" s="458">
        <v>34232974.119999997</v>
      </c>
      <c r="G17" s="397">
        <f t="shared" si="1"/>
        <v>0.5815153753931428</v>
      </c>
      <c r="H17" s="249"/>
    </row>
    <row r="18" spans="1:8" x14ac:dyDescent="0.2">
      <c r="A18" s="245" t="s">
        <v>19</v>
      </c>
      <c r="B18" s="246" t="s">
        <v>20</v>
      </c>
      <c r="C18" s="247">
        <v>49209463.049999997</v>
      </c>
      <c r="D18" s="457">
        <v>54184.28</v>
      </c>
      <c r="E18" s="248">
        <f t="shared" si="0"/>
        <v>49155278.769999996</v>
      </c>
      <c r="F18" s="458">
        <v>26816983.98</v>
      </c>
      <c r="G18" s="397">
        <f t="shared" si="1"/>
        <v>0.45444345651098822</v>
      </c>
      <c r="H18" s="249"/>
    </row>
    <row r="19" spans="1:8" x14ac:dyDescent="0.2">
      <c r="A19" s="252" t="s">
        <v>118</v>
      </c>
      <c r="B19" s="246" t="s">
        <v>303</v>
      </c>
      <c r="C19" s="247">
        <v>38181577.810000002</v>
      </c>
      <c r="D19" s="457">
        <v>430582.72</v>
      </c>
      <c r="E19" s="248">
        <f>C19-D19</f>
        <v>37750995.090000004</v>
      </c>
      <c r="F19" s="458">
        <v>22498734.239999998</v>
      </c>
      <c r="G19" s="397">
        <f>(E19-F19)/E19</f>
        <v>0.40402274996031112</v>
      </c>
      <c r="H19" s="249"/>
    </row>
    <row r="20" spans="1:8" x14ac:dyDescent="0.2">
      <c r="A20" s="245" t="s">
        <v>21</v>
      </c>
      <c r="B20" s="251" t="s">
        <v>176</v>
      </c>
      <c r="C20" s="247">
        <v>16229443.220000001</v>
      </c>
      <c r="D20" s="457">
        <v>686457.57</v>
      </c>
      <c r="E20" s="248">
        <f t="shared" si="0"/>
        <v>15542985.65</v>
      </c>
      <c r="F20" s="458">
        <v>9560015.3599999994</v>
      </c>
      <c r="G20" s="397">
        <f>(E20-F20)/E20</f>
        <v>0.3849305676995205</v>
      </c>
      <c r="H20" s="249"/>
    </row>
    <row r="21" spans="1:8" x14ac:dyDescent="0.2">
      <c r="A21" s="252" t="s">
        <v>109</v>
      </c>
      <c r="B21" s="246" t="s">
        <v>141</v>
      </c>
      <c r="C21" s="247">
        <v>41675556.890000001</v>
      </c>
      <c r="D21" s="457">
        <v>555782.32999999996</v>
      </c>
      <c r="E21" s="248">
        <f>C21-D21</f>
        <v>41119774.560000002</v>
      </c>
      <c r="F21" s="458">
        <v>23351553.329999998</v>
      </c>
      <c r="G21" s="397">
        <f t="shared" si="1"/>
        <v>0.43210891645511013</v>
      </c>
      <c r="H21" s="249"/>
    </row>
    <row r="22" spans="1:8" x14ac:dyDescent="0.2">
      <c r="A22" s="245" t="s">
        <v>26</v>
      </c>
      <c r="B22" s="246" t="s">
        <v>62</v>
      </c>
      <c r="C22" s="247">
        <v>74214917.049999997</v>
      </c>
      <c r="D22" s="457">
        <v>244635.31</v>
      </c>
      <c r="E22" s="248">
        <f t="shared" si="0"/>
        <v>73970281.739999995</v>
      </c>
      <c r="F22" s="458">
        <v>30697588.760000002</v>
      </c>
      <c r="G22" s="397">
        <f t="shared" si="1"/>
        <v>0.58500105666895075</v>
      </c>
      <c r="H22" s="249"/>
    </row>
    <row r="23" spans="1:8" x14ac:dyDescent="0.2">
      <c r="A23" s="245" t="s">
        <v>22</v>
      </c>
      <c r="B23" s="246" t="s">
        <v>23</v>
      </c>
      <c r="C23" s="247">
        <v>202855387.50999999</v>
      </c>
      <c r="D23" s="457">
        <v>11592553.109999999</v>
      </c>
      <c r="E23" s="248">
        <f t="shared" si="0"/>
        <v>191262834.39999998</v>
      </c>
      <c r="F23" s="458">
        <v>64320701</v>
      </c>
      <c r="G23" s="397">
        <f t="shared" si="1"/>
        <v>0.66370517721450217</v>
      </c>
      <c r="H23" s="249"/>
    </row>
    <row r="24" spans="1:8" x14ac:dyDescent="0.2">
      <c r="A24" s="245" t="s">
        <v>24</v>
      </c>
      <c r="B24" s="246" t="s">
        <v>137</v>
      </c>
      <c r="C24" s="247">
        <v>27306752.82</v>
      </c>
      <c r="D24" s="457">
        <v>406630.8</v>
      </c>
      <c r="E24" s="248">
        <f t="shared" si="0"/>
        <v>26900122.02</v>
      </c>
      <c r="F24" s="458">
        <v>15799697.01</v>
      </c>
      <c r="G24" s="397">
        <f t="shared" si="1"/>
        <v>0.41265333301265078</v>
      </c>
      <c r="H24" s="249"/>
    </row>
    <row r="25" spans="1:8" x14ac:dyDescent="0.2">
      <c r="A25" s="245" t="s">
        <v>27</v>
      </c>
      <c r="B25" s="246" t="s">
        <v>132</v>
      </c>
      <c r="C25" s="247">
        <v>66668658.630000003</v>
      </c>
      <c r="D25" s="457">
        <v>112853.9</v>
      </c>
      <c r="E25" s="248">
        <f t="shared" si="0"/>
        <v>66555804.730000004</v>
      </c>
      <c r="F25" s="458">
        <v>32168224.5</v>
      </c>
      <c r="G25" s="397">
        <f t="shared" si="1"/>
        <v>0.51667289381447168</v>
      </c>
      <c r="H25" s="249"/>
    </row>
    <row r="26" spans="1:8" x14ac:dyDescent="0.2">
      <c r="A26" s="245" t="s">
        <v>29</v>
      </c>
      <c r="B26" s="246" t="s">
        <v>133</v>
      </c>
      <c r="C26" s="247">
        <v>39954764.149999999</v>
      </c>
      <c r="D26" s="457">
        <v>420144.9</v>
      </c>
      <c r="E26" s="248">
        <f t="shared" si="0"/>
        <v>39534619.25</v>
      </c>
      <c r="F26" s="458">
        <v>21416033.629999999</v>
      </c>
      <c r="G26" s="397">
        <f t="shared" si="1"/>
        <v>0.45829670207333539</v>
      </c>
      <c r="H26" s="249"/>
    </row>
    <row r="27" spans="1:8" ht="13.5" customHeight="1" x14ac:dyDescent="0.2">
      <c r="A27" s="253" t="s">
        <v>110</v>
      </c>
      <c r="B27" s="246" t="s">
        <v>134</v>
      </c>
      <c r="C27" s="247">
        <v>24508221.940000001</v>
      </c>
      <c r="D27" s="457">
        <v>425653.05</v>
      </c>
      <c r="E27" s="248">
        <f t="shared" si="0"/>
        <v>24082568.890000001</v>
      </c>
      <c r="F27" s="458">
        <v>14095811.17</v>
      </c>
      <c r="G27" s="397">
        <f t="shared" si="1"/>
        <v>0.41468822390234633</v>
      </c>
      <c r="H27" s="249"/>
    </row>
    <row r="28" spans="1:8" x14ac:dyDescent="0.2">
      <c r="A28" s="245" t="s">
        <v>33</v>
      </c>
      <c r="B28" s="246" t="s">
        <v>130</v>
      </c>
      <c r="C28" s="247">
        <v>9462718.3800000008</v>
      </c>
      <c r="D28" s="457">
        <v>127985.51</v>
      </c>
      <c r="E28" s="248">
        <f t="shared" si="0"/>
        <v>9334732.870000001</v>
      </c>
      <c r="F28" s="458">
        <v>5899596.4100000001</v>
      </c>
      <c r="G28" s="397">
        <f>(E28-F28)/E28</f>
        <v>0.36799515399523164</v>
      </c>
      <c r="H28" s="249"/>
    </row>
    <row r="29" spans="1:8" x14ac:dyDescent="0.2">
      <c r="A29" s="245" t="s">
        <v>35</v>
      </c>
      <c r="B29" s="246" t="s">
        <v>36</v>
      </c>
      <c r="C29" s="247">
        <v>31109788.170000002</v>
      </c>
      <c r="D29" s="457">
        <v>505578.88</v>
      </c>
      <c r="E29" s="248">
        <f t="shared" si="0"/>
        <v>30604209.290000003</v>
      </c>
      <c r="F29" s="458">
        <v>17457706.57</v>
      </c>
      <c r="G29" s="397">
        <f t="shared" si="1"/>
        <v>0.42956518155480178</v>
      </c>
      <c r="H29" s="249"/>
    </row>
    <row r="30" spans="1:8" x14ac:dyDescent="0.2">
      <c r="A30" s="245" t="s">
        <v>37</v>
      </c>
      <c r="B30" s="246" t="s">
        <v>131</v>
      </c>
      <c r="C30" s="247">
        <v>27128914.800000001</v>
      </c>
      <c r="D30" s="457">
        <v>1022371.58</v>
      </c>
      <c r="E30" s="248">
        <f t="shared" si="0"/>
        <v>26106543.220000003</v>
      </c>
      <c r="F30" s="458">
        <v>13886207.59</v>
      </c>
      <c r="G30" s="397">
        <f t="shared" si="1"/>
        <v>0.46809474264819967</v>
      </c>
      <c r="H30" s="249"/>
    </row>
    <row r="31" spans="1:8" x14ac:dyDescent="0.2">
      <c r="A31" s="245" t="s">
        <v>39</v>
      </c>
      <c r="B31" s="246" t="s">
        <v>135</v>
      </c>
      <c r="C31" s="247">
        <v>41424182.369999997</v>
      </c>
      <c r="D31" s="457">
        <v>1099761.06</v>
      </c>
      <c r="E31" s="248">
        <f t="shared" si="0"/>
        <v>40324421.309999995</v>
      </c>
      <c r="F31" s="458">
        <v>20384303.989999998</v>
      </c>
      <c r="G31" s="397">
        <f t="shared" si="1"/>
        <v>0.49449233670850162</v>
      </c>
      <c r="H31" s="249"/>
    </row>
    <row r="32" spans="1:8" x14ac:dyDescent="0.2">
      <c r="A32" s="245" t="s">
        <v>46</v>
      </c>
      <c r="B32" s="246" t="s">
        <v>70</v>
      </c>
      <c r="C32" s="247">
        <v>44474318.850000001</v>
      </c>
      <c r="D32" s="457">
        <v>520608.41</v>
      </c>
      <c r="E32" s="248">
        <f t="shared" si="0"/>
        <v>43953710.440000005</v>
      </c>
      <c r="F32" s="458">
        <v>23854211.949999999</v>
      </c>
      <c r="G32" s="397">
        <f t="shared" si="1"/>
        <v>0.4572878669125619</v>
      </c>
      <c r="H32" s="249"/>
    </row>
    <row r="33" spans="1:8" x14ac:dyDescent="0.2">
      <c r="A33" s="245" t="s">
        <v>41</v>
      </c>
      <c r="B33" s="246" t="s">
        <v>117</v>
      </c>
      <c r="C33" s="247">
        <v>26559898.710000001</v>
      </c>
      <c r="D33" s="457">
        <v>395049.65</v>
      </c>
      <c r="E33" s="248">
        <f>C33-D33</f>
        <v>26164849.060000002</v>
      </c>
      <c r="F33" s="458">
        <v>15413221.210000001</v>
      </c>
      <c r="G33" s="397">
        <f t="shared" si="1"/>
        <v>0.41091877982345221</v>
      </c>
      <c r="H33" s="249"/>
    </row>
    <row r="34" spans="1:8" x14ac:dyDescent="0.2">
      <c r="A34" s="245" t="s">
        <v>42</v>
      </c>
      <c r="B34" s="246" t="s">
        <v>69</v>
      </c>
      <c r="C34" s="247">
        <v>44615608.18</v>
      </c>
      <c r="D34" s="457">
        <v>552960.92000000004</v>
      </c>
      <c r="E34" s="248">
        <f t="shared" si="0"/>
        <v>44062647.259999998</v>
      </c>
      <c r="F34" s="458">
        <v>21092855.27</v>
      </c>
      <c r="G34" s="397">
        <f t="shared" si="1"/>
        <v>0.52129850152811719</v>
      </c>
      <c r="H34" s="249"/>
    </row>
    <row r="35" spans="1:8" x14ac:dyDescent="0.2">
      <c r="A35" s="245" t="s">
        <v>43</v>
      </c>
      <c r="B35" s="246" t="s">
        <v>44</v>
      </c>
      <c r="C35" s="247">
        <v>133687466.94</v>
      </c>
      <c r="D35" s="457">
        <v>1782823.16</v>
      </c>
      <c r="E35" s="248">
        <f t="shared" si="0"/>
        <v>131904643.78</v>
      </c>
      <c r="F35" s="458">
        <v>58235992.18</v>
      </c>
      <c r="G35" s="397">
        <f t="shared" si="1"/>
        <v>0.55849930289694605</v>
      </c>
      <c r="H35" s="249"/>
    </row>
    <row r="36" spans="1:8" x14ac:dyDescent="0.2">
      <c r="A36" s="245" t="s">
        <v>45</v>
      </c>
      <c r="B36" s="246" t="s">
        <v>136</v>
      </c>
      <c r="C36" s="247">
        <v>33761867.560000002</v>
      </c>
      <c r="D36" s="457">
        <v>124872.35</v>
      </c>
      <c r="E36" s="248">
        <f t="shared" si="0"/>
        <v>33636995.210000001</v>
      </c>
      <c r="F36" s="458">
        <v>17557157.289999999</v>
      </c>
      <c r="G36" s="397">
        <f t="shared" si="1"/>
        <v>0.4780402595300664</v>
      </c>
      <c r="H36" s="249"/>
    </row>
    <row r="37" spans="1:8" x14ac:dyDescent="0.2">
      <c r="A37" s="245" t="s">
        <v>47</v>
      </c>
      <c r="B37" s="246" t="s">
        <v>48</v>
      </c>
      <c r="C37" s="247">
        <v>96866666.780000001</v>
      </c>
      <c r="D37" s="457">
        <v>363826.05</v>
      </c>
      <c r="E37" s="248">
        <f t="shared" si="0"/>
        <v>96502840.730000004</v>
      </c>
      <c r="F37" s="458">
        <v>39507094.329999998</v>
      </c>
      <c r="G37" s="397">
        <f t="shared" si="1"/>
        <v>0.59061211016021042</v>
      </c>
      <c r="H37" s="249"/>
    </row>
    <row r="38" spans="1:8" x14ac:dyDescent="0.2">
      <c r="C38" s="254"/>
      <c r="D38" s="255"/>
      <c r="E38" s="255"/>
      <c r="F38" s="256"/>
      <c r="G38" s="257"/>
      <c r="H38" s="257"/>
    </row>
    <row r="39" spans="1:8" x14ac:dyDescent="0.2">
      <c r="B39" s="224" t="s">
        <v>49</v>
      </c>
      <c r="C39" s="254">
        <f>SUM(C8:C38)</f>
        <v>1535159252.3299999</v>
      </c>
      <c r="D39" s="255">
        <f>SUM(D8:D38)</f>
        <v>29518665.52</v>
      </c>
      <c r="E39" s="255">
        <f>SUM(E8:E38)</f>
        <v>1505640586.8099999</v>
      </c>
      <c r="F39" s="255">
        <f>SUM(F8:F38)</f>
        <v>731147935.17999995</v>
      </c>
      <c r="G39" s="249">
        <f>(E39-F39)/E39</f>
        <v>0.51439411132700485</v>
      </c>
      <c r="H39" s="257"/>
    </row>
    <row r="40" spans="1:8" x14ac:dyDescent="0.2">
      <c r="A40" s="258" t="s">
        <v>125</v>
      </c>
      <c r="C40" s="254"/>
      <c r="D40" s="255"/>
      <c r="E40" s="255"/>
      <c r="F40" s="256"/>
      <c r="H40" s="257"/>
    </row>
    <row r="41" spans="1:8" x14ac:dyDescent="0.2">
      <c r="A41" s="259"/>
      <c r="C41" s="254"/>
      <c r="D41" s="255"/>
      <c r="E41" s="255"/>
      <c r="F41" s="256"/>
      <c r="H41" s="257"/>
    </row>
    <row r="42" spans="1:8" x14ac:dyDescent="0.2">
      <c r="A42" s="16" t="s">
        <v>314</v>
      </c>
      <c r="C42" s="254"/>
      <c r="D42" s="255"/>
      <c r="E42" s="255"/>
      <c r="F42" s="256"/>
      <c r="G42" s="257"/>
      <c r="H42" s="257"/>
    </row>
    <row r="43" spans="1:8" x14ac:dyDescent="0.2">
      <c r="A43" s="16"/>
      <c r="C43" s="254"/>
      <c r="D43" s="255"/>
      <c r="E43" s="255"/>
      <c r="F43" s="256"/>
      <c r="G43" s="257"/>
      <c r="H43" s="257"/>
    </row>
    <row r="44" spans="1:8" x14ac:dyDescent="0.2">
      <c r="A44" s="260"/>
      <c r="C44" s="254"/>
      <c r="D44" s="255"/>
      <c r="E44" s="255"/>
      <c r="F44" s="256"/>
      <c r="G44" s="257"/>
      <c r="H44" s="257"/>
    </row>
    <row r="45" spans="1:8" x14ac:dyDescent="0.2">
      <c r="C45" s="254"/>
      <c r="D45" s="254"/>
      <c r="E45" s="254"/>
      <c r="F45" s="256"/>
      <c r="G45" s="257"/>
      <c r="H45" s="257"/>
    </row>
    <row r="46" spans="1:8" x14ac:dyDescent="0.2">
      <c r="C46" s="254"/>
      <c r="D46" s="255"/>
      <c r="E46" s="255"/>
      <c r="F46" s="256"/>
      <c r="G46" s="257"/>
      <c r="H46" s="257"/>
    </row>
    <row r="47" spans="1:8" x14ac:dyDescent="0.2">
      <c r="C47" s="254"/>
      <c r="D47" s="255"/>
      <c r="E47" s="255"/>
      <c r="F47" s="256"/>
      <c r="G47" s="257"/>
      <c r="H47" s="257"/>
    </row>
  </sheetData>
  <pageMargins left="0.7" right="0.7" top="0.75" bottom="0.75" header="0.3" footer="0.3"/>
  <pageSetup scale="8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C15"/>
  <sheetViews>
    <sheetView workbookViewId="0">
      <selection activeCell="A35" sqref="A35"/>
    </sheetView>
  </sheetViews>
  <sheetFormatPr defaultRowHeight="12.75" x14ac:dyDescent="0.2"/>
  <cols>
    <col min="1" max="1" width="35.42578125" bestFit="1" customWidth="1"/>
    <col min="2" max="2" width="10.28515625" bestFit="1" customWidth="1"/>
    <col min="3" max="3" width="9.140625" style="389"/>
  </cols>
  <sheetData>
    <row r="2" spans="1:3" x14ac:dyDescent="0.2">
      <c r="A2" s="203" t="s">
        <v>255</v>
      </c>
    </row>
    <row r="4" spans="1:3" ht="38.25" x14ac:dyDescent="0.2">
      <c r="B4" s="391" t="s">
        <v>259</v>
      </c>
      <c r="C4" s="392" t="s">
        <v>260</v>
      </c>
    </row>
    <row r="5" spans="1:3" x14ac:dyDescent="0.2">
      <c r="A5" s="386" t="s">
        <v>212</v>
      </c>
      <c r="B5" s="11">
        <f>Summary!R42</f>
        <v>0</v>
      </c>
      <c r="C5" s="390">
        <f>Summary!S42</f>
        <v>0</v>
      </c>
    </row>
    <row r="6" spans="1:3" x14ac:dyDescent="0.2">
      <c r="A6" s="386" t="s">
        <v>205</v>
      </c>
      <c r="B6" s="11">
        <f>Summary!R43</f>
        <v>0</v>
      </c>
      <c r="C6" s="390">
        <f>Summary!S43</f>
        <v>0</v>
      </c>
    </row>
    <row r="7" spans="1:3" x14ac:dyDescent="0.2">
      <c r="A7" s="386"/>
    </row>
    <row r="8" spans="1:3" s="384" customFormat="1" x14ac:dyDescent="0.2">
      <c r="A8" s="385" t="s">
        <v>253</v>
      </c>
      <c r="B8" s="388">
        <f>Summary!R44</f>
        <v>0</v>
      </c>
      <c r="C8" s="390">
        <f>Summary!S44</f>
        <v>0</v>
      </c>
    </row>
    <row r="9" spans="1:3" x14ac:dyDescent="0.2">
      <c r="A9" s="386" t="s">
        <v>254</v>
      </c>
      <c r="B9" s="388">
        <f>Summary!R45</f>
        <v>0</v>
      </c>
      <c r="C9" s="390">
        <f>Summary!S45</f>
        <v>0</v>
      </c>
    </row>
    <row r="10" spans="1:3" x14ac:dyDescent="0.2">
      <c r="A10" s="386"/>
    </row>
    <row r="11" spans="1:3" x14ac:dyDescent="0.2">
      <c r="A11" s="387" t="s">
        <v>256</v>
      </c>
      <c r="B11" s="11">
        <f>Summary!R46</f>
        <v>0</v>
      </c>
      <c r="C11" s="390">
        <f>Summary!S46</f>
        <v>0</v>
      </c>
    </row>
    <row r="12" spans="1:3" x14ac:dyDescent="0.2">
      <c r="A12" s="387" t="s">
        <v>257</v>
      </c>
      <c r="B12" s="11">
        <f>Summary!R47</f>
        <v>0</v>
      </c>
      <c r="C12" s="390">
        <f>Summary!S47</f>
        <v>0</v>
      </c>
    </row>
    <row r="15" spans="1:3" x14ac:dyDescent="0.2">
      <c r="A15" s="203" t="s">
        <v>258</v>
      </c>
      <c r="B15" s="11">
        <f>Summary!R40</f>
        <v>0</v>
      </c>
      <c r="C15" s="390">
        <f>B15/Summary!O41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58"/>
  <sheetViews>
    <sheetView tabSelected="1" zoomScale="90" zoomScaleNormal="90" workbookViewId="0">
      <pane xSplit="3" ySplit="5" topLeftCell="D6" activePane="bottomRight" state="frozen"/>
      <selection activeCell="D23" sqref="D23"/>
      <selection pane="topRight" activeCell="D23" sqref="D23"/>
      <selection pane="bottomLeft" activeCell="D23" sqref="D23"/>
      <selection pane="bottomRight" activeCell="U36" sqref="U36"/>
    </sheetView>
  </sheetViews>
  <sheetFormatPr defaultRowHeight="12.75" x14ac:dyDescent="0.2"/>
  <cols>
    <col min="1" max="1" width="4.7109375" hidden="1" customWidth="1"/>
    <col min="2" max="2" width="6.85546875" customWidth="1"/>
    <col min="3" max="3" width="32.140625" style="54" bestFit="1" customWidth="1"/>
    <col min="4" max="4" width="8" style="54" customWidth="1"/>
    <col min="5" max="5" width="12.85546875" style="54" customWidth="1"/>
    <col min="6" max="6" width="13.85546875" style="54" customWidth="1"/>
    <col min="7" max="7" width="10.7109375" style="54" customWidth="1"/>
    <col min="8" max="8" width="10.5703125" style="54" customWidth="1"/>
    <col min="9" max="9" width="15.5703125" style="54" customWidth="1"/>
    <col min="10" max="10" width="17" bestFit="1" customWidth="1"/>
    <col min="11" max="11" width="12.5703125" style="6" customWidth="1"/>
    <col min="12" max="12" width="13.140625" style="67" bestFit="1" customWidth="1"/>
    <col min="13" max="13" width="9" style="43" customWidth="1"/>
    <col min="14" max="14" width="12.5703125" customWidth="1"/>
    <col min="15" max="15" width="13.42578125" style="54" customWidth="1"/>
    <col min="16" max="16" width="14.28515625" style="54" customWidth="1"/>
    <col min="17" max="17" width="13.7109375" style="6" customWidth="1"/>
    <col min="18" max="18" width="14.85546875" bestFit="1" customWidth="1"/>
    <col min="19" max="19" width="8.28515625" customWidth="1"/>
    <col min="20" max="20" width="2.7109375" customWidth="1"/>
    <col min="21" max="21" width="13.42578125" customWidth="1"/>
    <col min="22" max="22" width="14.5703125" style="24" customWidth="1"/>
    <col min="23" max="23" width="13.42578125" customWidth="1"/>
    <col min="24" max="24" width="2.85546875" customWidth="1"/>
    <col min="26" max="26" width="11.5703125" bestFit="1" customWidth="1"/>
    <col min="28" max="28" width="9.42578125" customWidth="1"/>
  </cols>
  <sheetData>
    <row r="1" spans="1:28" s="15" customFormat="1" ht="15.75" x14ac:dyDescent="0.25">
      <c r="A1" s="192"/>
      <c r="B1" s="39"/>
      <c r="C1" s="58"/>
      <c r="D1" s="175"/>
      <c r="E1" s="89"/>
      <c r="F1" s="89"/>
      <c r="G1" s="89"/>
      <c r="H1" s="89"/>
      <c r="I1" s="47"/>
      <c r="J1" s="421"/>
      <c r="K1" s="22"/>
      <c r="L1" s="65"/>
      <c r="M1" s="49"/>
      <c r="O1" s="58"/>
      <c r="P1" s="86"/>
      <c r="Q1" s="28"/>
      <c r="R1" s="427"/>
      <c r="V1" s="488"/>
      <c r="W1" s="489"/>
    </row>
    <row r="2" spans="1:28" s="15" customFormat="1" ht="24.75" customHeight="1" x14ac:dyDescent="0.2">
      <c r="A2" s="192"/>
      <c r="B2" s="192"/>
      <c r="C2" s="89"/>
      <c r="D2" s="89"/>
      <c r="E2" s="89"/>
      <c r="F2" s="89"/>
      <c r="G2" s="89"/>
      <c r="H2" s="89"/>
      <c r="I2" s="47"/>
      <c r="J2" s="26" t="s">
        <v>147</v>
      </c>
      <c r="K2" s="25" t="s">
        <v>148</v>
      </c>
      <c r="L2" s="65"/>
      <c r="M2" s="44" t="s">
        <v>149</v>
      </c>
      <c r="N2" s="84" t="s">
        <v>150</v>
      </c>
      <c r="O2" s="84" t="s">
        <v>153</v>
      </c>
      <c r="P2" s="48" t="s">
        <v>152</v>
      </c>
      <c r="Q2" s="25" t="s">
        <v>154</v>
      </c>
      <c r="R2" s="26" t="s">
        <v>155</v>
      </c>
      <c r="S2" s="48" t="s">
        <v>156</v>
      </c>
      <c r="U2" s="201"/>
      <c r="V2" s="209"/>
      <c r="W2" s="201"/>
    </row>
    <row r="3" spans="1:28" s="15" customFormat="1" x14ac:dyDescent="0.2">
      <c r="A3" s="29"/>
      <c r="B3" s="19"/>
      <c r="C3" s="261"/>
      <c r="D3" s="176"/>
      <c r="E3" s="59" t="s">
        <v>52</v>
      </c>
      <c r="F3" s="59" t="s">
        <v>53</v>
      </c>
      <c r="G3" s="59" t="s">
        <v>55</v>
      </c>
      <c r="H3" s="59" t="s">
        <v>54</v>
      </c>
      <c r="I3" s="59" t="s">
        <v>56</v>
      </c>
      <c r="J3" s="14" t="s">
        <v>57</v>
      </c>
      <c r="K3" s="23" t="s">
        <v>58</v>
      </c>
      <c r="L3" s="66" t="s">
        <v>59</v>
      </c>
      <c r="M3" s="45" t="s">
        <v>51</v>
      </c>
      <c r="N3" s="14" t="s">
        <v>120</v>
      </c>
      <c r="O3" s="59" t="s">
        <v>60</v>
      </c>
      <c r="P3" s="59" t="s">
        <v>151</v>
      </c>
      <c r="Q3" s="23" t="s">
        <v>61</v>
      </c>
      <c r="R3" s="14" t="s">
        <v>64</v>
      </c>
      <c r="S3" s="47" t="s">
        <v>65</v>
      </c>
      <c r="U3" s="47" t="s">
        <v>115</v>
      </c>
      <c r="V3" s="47" t="s">
        <v>138</v>
      </c>
      <c r="W3" s="47" t="s">
        <v>267</v>
      </c>
    </row>
    <row r="4" spans="1:28" ht="92.25" customHeight="1" x14ac:dyDescent="0.2">
      <c r="B4" s="1" t="s">
        <v>0</v>
      </c>
      <c r="C4" s="140" t="s">
        <v>1</v>
      </c>
      <c r="D4" s="177" t="s">
        <v>319</v>
      </c>
      <c r="E4" s="60" t="s">
        <v>261</v>
      </c>
      <c r="F4" s="60" t="s">
        <v>264</v>
      </c>
      <c r="G4" s="60" t="s">
        <v>262</v>
      </c>
      <c r="H4" s="487" t="s">
        <v>263</v>
      </c>
      <c r="I4" s="60" t="s">
        <v>265</v>
      </c>
      <c r="J4" s="13" t="s">
        <v>67</v>
      </c>
      <c r="K4" s="20" t="s">
        <v>266</v>
      </c>
      <c r="L4" s="103" t="s">
        <v>301</v>
      </c>
      <c r="M4" s="40" t="s">
        <v>302</v>
      </c>
      <c r="N4" s="191" t="s">
        <v>304</v>
      </c>
      <c r="O4" s="60" t="s">
        <v>114</v>
      </c>
      <c r="P4" s="61" t="s">
        <v>305</v>
      </c>
      <c r="Q4" s="40" t="s">
        <v>306</v>
      </c>
      <c r="R4" s="31" t="s">
        <v>307</v>
      </c>
      <c r="S4" s="31" t="s">
        <v>308</v>
      </c>
      <c r="U4" s="172" t="s">
        <v>335</v>
      </c>
      <c r="V4" s="441" t="s">
        <v>328</v>
      </c>
      <c r="W4" s="398" t="s">
        <v>276</v>
      </c>
    </row>
    <row r="5" spans="1:28" x14ac:dyDescent="0.2">
      <c r="B5" s="2"/>
      <c r="C5" s="120"/>
      <c r="D5" s="178"/>
      <c r="N5" s="17"/>
      <c r="O5" s="52"/>
      <c r="P5" s="62"/>
      <c r="Q5" s="41"/>
      <c r="R5" s="27"/>
      <c r="U5" s="173"/>
      <c r="V5" s="395"/>
      <c r="W5" s="399"/>
    </row>
    <row r="6" spans="1:28" x14ac:dyDescent="0.2">
      <c r="A6">
        <v>1</v>
      </c>
      <c r="B6" s="10" t="s">
        <v>2</v>
      </c>
      <c r="C6" s="3" t="s">
        <v>128</v>
      </c>
      <c r="D6" s="469">
        <v>1696</v>
      </c>
      <c r="E6" s="90">
        <f>Instruction!M8</f>
        <v>7072207.5</v>
      </c>
      <c r="F6" s="90">
        <f>'Student&amp;Institutional Support'!S9</f>
        <v>5047701.8595489841</v>
      </c>
      <c r="G6" s="90">
        <f>Facilities!H9</f>
        <v>1387970.3221883816</v>
      </c>
      <c r="H6" s="90">
        <f>'Student Success'!E7</f>
        <v>0</v>
      </c>
      <c r="I6" s="90">
        <f>Research!H9</f>
        <v>20256.298729730697</v>
      </c>
      <c r="J6" s="8">
        <f t="shared" ref="J6:J35" si="0">SUM(E6:I6)</f>
        <v>13528135.980467096</v>
      </c>
      <c r="K6" s="9">
        <f t="shared" ref="K6:K35" si="1">+J6/$J$37</f>
        <v>1.7950610356883268E-2</v>
      </c>
      <c r="L6" s="68">
        <v>10340750.626433697</v>
      </c>
      <c r="M6" s="50">
        <v>1.7198219344523175E-2</v>
      </c>
      <c r="N6" s="18">
        <f t="shared" ref="N6:N35" si="2">M6*$O$39</f>
        <v>5710365.0299935155</v>
      </c>
      <c r="O6" s="53">
        <f t="shared" ref="O6:O35" si="3">K6*$O$39</f>
        <v>5960183.1791747967</v>
      </c>
      <c r="P6" s="63">
        <f>N6+O6</f>
        <v>11670548.209168311</v>
      </c>
      <c r="Q6" s="42">
        <f t="shared" ref="Q6:Q35" si="4">P6/$P$37</f>
        <v>1.7574414850703213E-2</v>
      </c>
      <c r="R6" s="38">
        <f>P6-L6</f>
        <v>1329797.5827346146</v>
      </c>
      <c r="S6" s="46">
        <f t="shared" ref="S6:S35" si="5">R6/L6</f>
        <v>0.1285977808356871</v>
      </c>
      <c r="U6" s="206">
        <v>1446146.1424423922</v>
      </c>
      <c r="V6" s="429">
        <v>161370</v>
      </c>
      <c r="W6" s="400">
        <f>158333.33</f>
        <v>158333.32999999999</v>
      </c>
      <c r="Y6" s="6"/>
      <c r="Z6" s="11"/>
      <c r="AA6" s="6"/>
      <c r="AB6" s="11"/>
    </row>
    <row r="7" spans="1:28" s="54" customFormat="1" x14ac:dyDescent="0.2">
      <c r="A7" s="54">
        <v>2</v>
      </c>
      <c r="B7" s="10" t="s">
        <v>4</v>
      </c>
      <c r="C7" s="3" t="s">
        <v>124</v>
      </c>
      <c r="D7" s="469">
        <v>5861</v>
      </c>
      <c r="E7" s="90">
        <f>Instruction!M9</f>
        <v>20771025.5</v>
      </c>
      <c r="F7" s="90">
        <f>'Student&amp;Institutional Support'!S10</f>
        <v>12900361.708682291</v>
      </c>
      <c r="G7" s="90">
        <f>Facilities!H10</f>
        <v>2333136.8505328121</v>
      </c>
      <c r="H7" s="90">
        <f>'Student Success'!E8</f>
        <v>525314.87986382016</v>
      </c>
      <c r="I7" s="90">
        <f>Research!H10</f>
        <v>1089.8231632525931</v>
      </c>
      <c r="J7" s="90">
        <f>SUM(E7:I7)</f>
        <v>36530928.762242183</v>
      </c>
      <c r="K7" s="135">
        <f t="shared" si="1"/>
        <v>4.8473231576980927E-2</v>
      </c>
      <c r="L7" s="90">
        <v>28251540.714458544</v>
      </c>
      <c r="M7" s="50">
        <v>4.6986549775792558E-2</v>
      </c>
      <c r="N7" s="53">
        <f t="shared" si="2"/>
        <v>15601054.117569428</v>
      </c>
      <c r="O7" s="53">
        <f t="shared" si="3"/>
        <v>16094680.556340098</v>
      </c>
      <c r="P7" s="63">
        <f t="shared" ref="P7:P33" si="6">N7+O7</f>
        <v>31695734.673909526</v>
      </c>
      <c r="Q7" s="136">
        <f t="shared" si="4"/>
        <v>4.7729890676386721E-2</v>
      </c>
      <c r="R7" s="38">
        <f t="shared" ref="R7:R35" si="7">P7-L7</f>
        <v>3444193.9594509825</v>
      </c>
      <c r="S7" s="137">
        <f t="shared" si="5"/>
        <v>0.12191172135572474</v>
      </c>
      <c r="U7" s="206">
        <v>4787867.0817652233</v>
      </c>
      <c r="V7" s="429">
        <f>482596+121485</f>
        <v>604081</v>
      </c>
      <c r="W7" s="400">
        <f t="shared" ref="W7:W8" si="8">158333.33</f>
        <v>158333.32999999999</v>
      </c>
      <c r="Y7" s="132"/>
      <c r="Z7" s="55"/>
      <c r="AA7" s="6"/>
      <c r="AB7" s="55"/>
    </row>
    <row r="8" spans="1:28" ht="12" customHeight="1" x14ac:dyDescent="0.2">
      <c r="A8">
        <v>4</v>
      </c>
      <c r="B8" s="10" t="s">
        <v>5</v>
      </c>
      <c r="C8" s="3" t="s">
        <v>113</v>
      </c>
      <c r="D8" s="469">
        <v>3963</v>
      </c>
      <c r="E8" s="90">
        <f>Instruction!M10</f>
        <v>15907452.5</v>
      </c>
      <c r="F8" s="90">
        <f>'Student&amp;Institutional Support'!S11</f>
        <v>11149237.572942823</v>
      </c>
      <c r="G8" s="90">
        <f>Facilities!H11</f>
        <v>2120064.0113752754</v>
      </c>
      <c r="H8" s="90">
        <f>'Student Success'!E9</f>
        <v>84675.042505356949</v>
      </c>
      <c r="I8" s="90">
        <f>Research!H11</f>
        <v>31563.113254556098</v>
      </c>
      <c r="J8" s="8">
        <f t="shared" si="0"/>
        <v>29292992.24007801</v>
      </c>
      <c r="K8" s="9">
        <f t="shared" si="1"/>
        <v>3.8869145804571514E-2</v>
      </c>
      <c r="L8" s="68">
        <v>23155696.035358027</v>
      </c>
      <c r="M8" s="50">
        <v>3.8511395727230328E-2</v>
      </c>
      <c r="N8" s="18">
        <f t="shared" si="2"/>
        <v>12787028.878489682</v>
      </c>
      <c r="O8" s="53">
        <f t="shared" si="3"/>
        <v>12905813.474162208</v>
      </c>
      <c r="P8" s="63">
        <f t="shared" si="6"/>
        <v>25692842.35265189</v>
      </c>
      <c r="Q8" s="42">
        <f t="shared" si="4"/>
        <v>3.8690270765900904E-2</v>
      </c>
      <c r="R8" s="38">
        <f t="shared" si="7"/>
        <v>2537146.3172938637</v>
      </c>
      <c r="S8" s="46">
        <f t="shared" si="5"/>
        <v>0.10956899388468912</v>
      </c>
      <c r="U8" s="206">
        <v>2853844.1834275518</v>
      </c>
      <c r="V8" s="429">
        <f>50839+218661</f>
        <v>269500</v>
      </c>
      <c r="W8" s="400">
        <f t="shared" si="8"/>
        <v>158333.32999999999</v>
      </c>
      <c r="Y8" s="6"/>
      <c r="Z8" s="11"/>
      <c r="AA8" s="6"/>
      <c r="AB8" s="11"/>
    </row>
    <row r="9" spans="1:28" x14ac:dyDescent="0.2">
      <c r="A9">
        <v>3</v>
      </c>
      <c r="B9" s="37" t="s">
        <v>6</v>
      </c>
      <c r="C9" s="3" t="s">
        <v>7</v>
      </c>
      <c r="D9" s="469">
        <v>2464</v>
      </c>
      <c r="E9" s="90">
        <f>Instruction!M11</f>
        <v>9134332</v>
      </c>
      <c r="F9" s="90">
        <f>'Student&amp;Institutional Support'!S12</f>
        <v>6860157.7054578103</v>
      </c>
      <c r="G9" s="90">
        <f>Facilities!H12</f>
        <v>1857392.5253215656</v>
      </c>
      <c r="H9" s="90">
        <f>'Student Success'!E10</f>
        <v>24000</v>
      </c>
      <c r="I9" s="90">
        <f>Research!H12</f>
        <v>21129.275301996702</v>
      </c>
      <c r="J9" s="8">
        <f t="shared" si="0"/>
        <v>17897011.506081372</v>
      </c>
      <c r="K9" s="9">
        <f t="shared" si="1"/>
        <v>2.374771221712918E-2</v>
      </c>
      <c r="L9" s="68">
        <v>13726156.484106679</v>
      </c>
      <c r="M9" s="50">
        <v>2.2828657077124545E-2</v>
      </c>
      <c r="N9" s="18">
        <f t="shared" si="2"/>
        <v>7579852.4512038799</v>
      </c>
      <c r="O9" s="53">
        <f t="shared" si="3"/>
        <v>7885008.4808477024</v>
      </c>
      <c r="P9" s="63">
        <f t="shared" si="6"/>
        <v>15464860.932051582</v>
      </c>
      <c r="Q9" s="42">
        <f t="shared" si="4"/>
        <v>2.3288184647126856E-2</v>
      </c>
      <c r="R9" s="38">
        <f t="shared" si="7"/>
        <v>1738704.4479449037</v>
      </c>
      <c r="S9" s="46">
        <f t="shared" si="5"/>
        <v>0.12667088925863004</v>
      </c>
      <c r="U9" s="206">
        <v>1576517.5529942506</v>
      </c>
      <c r="V9" s="429">
        <v>252536</v>
      </c>
      <c r="W9" s="400">
        <f>158333.33*2</f>
        <v>316666.65999999997</v>
      </c>
      <c r="Y9" s="6"/>
      <c r="Z9" s="11"/>
      <c r="AA9" s="6"/>
      <c r="AB9" s="11"/>
    </row>
    <row r="10" spans="1:28" x14ac:dyDescent="0.2">
      <c r="A10">
        <v>3</v>
      </c>
      <c r="B10" s="37" t="s">
        <v>8</v>
      </c>
      <c r="C10" s="3" t="s">
        <v>9</v>
      </c>
      <c r="D10" s="469">
        <v>5140</v>
      </c>
      <c r="E10" s="90">
        <f>Instruction!M12</f>
        <v>18571582.5</v>
      </c>
      <c r="F10" s="90">
        <f>'Student&amp;Institutional Support'!S13</f>
        <v>11190794.898055416</v>
      </c>
      <c r="G10" s="90">
        <f>Facilities!H13</f>
        <v>1921477.8305430908</v>
      </c>
      <c r="H10" s="90">
        <f>'Student Success'!E11</f>
        <v>52000</v>
      </c>
      <c r="I10" s="90">
        <f>Research!H13</f>
        <v>29272.583818790255</v>
      </c>
      <c r="J10" s="8">
        <f t="shared" si="0"/>
        <v>31765127.812417295</v>
      </c>
      <c r="K10" s="9">
        <f t="shared" si="1"/>
        <v>4.2149445653163135E-2</v>
      </c>
      <c r="L10" s="68">
        <v>25069218.120586418</v>
      </c>
      <c r="M10" s="50">
        <v>4.1693869972206574E-2</v>
      </c>
      <c r="N10" s="18">
        <f t="shared" si="2"/>
        <v>13843713.252221353</v>
      </c>
      <c r="O10" s="53">
        <f t="shared" si="3"/>
        <v>13994979.11207203</v>
      </c>
      <c r="P10" s="63">
        <f t="shared" si="6"/>
        <v>27838692.364293382</v>
      </c>
      <c r="Q10" s="42">
        <f t="shared" si="4"/>
        <v>4.1921657812684837E-2</v>
      </c>
      <c r="R10" s="38">
        <f t="shared" si="7"/>
        <v>2769474.243706964</v>
      </c>
      <c r="S10" s="46">
        <f t="shared" si="5"/>
        <v>0.1104731001336144</v>
      </c>
      <c r="U10" s="206">
        <v>4709248.3686364498</v>
      </c>
      <c r="V10" s="429">
        <v>556142</v>
      </c>
      <c r="W10" s="400"/>
      <c r="Y10" s="6"/>
      <c r="Z10" s="11"/>
      <c r="AA10" s="6"/>
      <c r="AB10" s="11"/>
    </row>
    <row r="11" spans="1:28" s="54" customFormat="1" x14ac:dyDescent="0.2">
      <c r="A11" s="54">
        <v>1</v>
      </c>
      <c r="B11" s="37" t="s">
        <v>10</v>
      </c>
      <c r="C11" s="3" t="s">
        <v>146</v>
      </c>
      <c r="D11" s="469">
        <f>1845+2314</f>
        <v>4159</v>
      </c>
      <c r="E11" s="90">
        <f>Instruction!M13</f>
        <v>16203688</v>
      </c>
      <c r="F11" s="90">
        <f>'Student&amp;Institutional Support'!S14</f>
        <v>9967225.0340350214</v>
      </c>
      <c r="G11" s="90">
        <f>Facilities!H14</f>
        <v>2486740.7835091646</v>
      </c>
      <c r="H11" s="90">
        <f>'Student Success'!E12</f>
        <v>143533.89443203743</v>
      </c>
      <c r="I11" s="90">
        <f>Research!H14</f>
        <v>378153.51570684911</v>
      </c>
      <c r="J11" s="90">
        <f t="shared" si="0"/>
        <v>29179341.227683071</v>
      </c>
      <c r="K11" s="135">
        <f t="shared" si="1"/>
        <v>3.8718341211602274E-2</v>
      </c>
      <c r="L11" s="90">
        <v>23293857.54416585</v>
      </c>
      <c r="M11" s="50">
        <v>3.8741179039804674E-2</v>
      </c>
      <c r="N11" s="53">
        <f t="shared" si="2"/>
        <v>12863324.369686479</v>
      </c>
      <c r="O11" s="53">
        <f t="shared" si="3"/>
        <v>12855741.472125079</v>
      </c>
      <c r="P11" s="63">
        <f t="shared" si="6"/>
        <v>25719065.84181156</v>
      </c>
      <c r="Q11" s="136">
        <f t="shared" si="4"/>
        <v>3.8729760125703463E-2</v>
      </c>
      <c r="R11" s="294">
        <f t="shared" si="7"/>
        <v>2425208.2976457104</v>
      </c>
      <c r="S11" s="137">
        <f t="shared" si="5"/>
        <v>0.10411363996055369</v>
      </c>
      <c r="U11" s="394">
        <v>3777599.2656760598</v>
      </c>
      <c r="V11" s="429">
        <f>196572+225610</f>
        <v>422182</v>
      </c>
      <c r="W11" s="401"/>
      <c r="Y11" s="132"/>
      <c r="Z11" s="55"/>
      <c r="AA11" s="6"/>
      <c r="AB11" s="55"/>
    </row>
    <row r="12" spans="1:28" x14ac:dyDescent="0.2">
      <c r="A12">
        <v>2</v>
      </c>
      <c r="B12" s="37" t="s">
        <v>12</v>
      </c>
      <c r="C12" s="3" t="s">
        <v>13</v>
      </c>
      <c r="D12" s="469">
        <v>706</v>
      </c>
      <c r="E12" s="90">
        <f>Instruction!M14</f>
        <v>2208907</v>
      </c>
      <c r="F12" s="90">
        <f>'Student&amp;Institutional Support'!S15</f>
        <v>4082255.98213585</v>
      </c>
      <c r="G12" s="90">
        <f>Facilities!H15</f>
        <v>558599.82355044677</v>
      </c>
      <c r="H12" s="90">
        <f>'Student Success'!E13</f>
        <v>0</v>
      </c>
      <c r="I12" s="90">
        <f>Research!H15</f>
        <v>0</v>
      </c>
      <c r="J12" s="8">
        <f t="shared" si="0"/>
        <v>6849762.8056862969</v>
      </c>
      <c r="K12" s="9">
        <f t="shared" si="1"/>
        <v>9.0890144318094591E-3</v>
      </c>
      <c r="L12" s="68">
        <v>5246086.0435406342</v>
      </c>
      <c r="M12" s="50">
        <v>8.725027972961541E-3</v>
      </c>
      <c r="N12" s="18">
        <f t="shared" si="2"/>
        <v>2896991.463152905</v>
      </c>
      <c r="O12" s="53">
        <f t="shared" si="3"/>
        <v>3017846.7391764796</v>
      </c>
      <c r="P12" s="63">
        <f t="shared" si="6"/>
        <v>5914838.2023293842</v>
      </c>
      <c r="Q12" s="42">
        <f t="shared" si="4"/>
        <v>8.9070212023854966E-3</v>
      </c>
      <c r="R12" s="38">
        <f t="shared" si="7"/>
        <v>668752.15878874995</v>
      </c>
      <c r="S12" s="46">
        <f t="shared" si="5"/>
        <v>0.12747639921235501</v>
      </c>
      <c r="U12" s="206">
        <v>337386.73913693998</v>
      </c>
      <c r="V12" s="429">
        <v>92918</v>
      </c>
      <c r="W12" s="400">
        <f>158333.33</f>
        <v>158333.32999999999</v>
      </c>
      <c r="Y12" s="6"/>
      <c r="Z12" s="11"/>
      <c r="AA12" s="6"/>
      <c r="AB12" s="11"/>
    </row>
    <row r="13" spans="1:28" x14ac:dyDescent="0.2">
      <c r="A13">
        <v>1</v>
      </c>
      <c r="B13" s="37" t="s">
        <v>14</v>
      </c>
      <c r="C13" s="3" t="s">
        <v>139</v>
      </c>
      <c r="D13" s="469">
        <v>2625</v>
      </c>
      <c r="E13" s="90">
        <f>Instruction!M15</f>
        <v>12399198</v>
      </c>
      <c r="F13" s="90">
        <f>'Student&amp;Institutional Support'!S16</f>
        <v>7961868.5089879856</v>
      </c>
      <c r="G13" s="90">
        <f>Facilities!H16</f>
        <v>2823070.6262997282</v>
      </c>
      <c r="H13" s="90">
        <f>'Student Success'!E14</f>
        <v>238892.59006096199</v>
      </c>
      <c r="I13" s="90">
        <f>Research!H16</f>
        <v>0</v>
      </c>
      <c r="J13" s="8">
        <f t="shared" si="0"/>
        <v>23423029.725348674</v>
      </c>
      <c r="K13" s="9">
        <f t="shared" si="1"/>
        <v>3.1080237557082207E-2</v>
      </c>
      <c r="L13" s="68">
        <v>18989270.548182938</v>
      </c>
      <c r="M13" s="50">
        <v>3.158200520234139E-2</v>
      </c>
      <c r="N13" s="18">
        <f t="shared" si="2"/>
        <v>10486247.12080759</v>
      </c>
      <c r="O13" s="53">
        <f t="shared" si="3"/>
        <v>10319644.034914127</v>
      </c>
      <c r="P13" s="63">
        <f t="shared" si="6"/>
        <v>20805891.155721717</v>
      </c>
      <c r="Q13" s="42">
        <f t="shared" si="4"/>
        <v>3.1331121379711786E-2</v>
      </c>
      <c r="R13" s="38">
        <f t="shared" si="7"/>
        <v>1816620.6075387783</v>
      </c>
      <c r="S13" s="46">
        <f t="shared" si="5"/>
        <v>9.5665634071057493E-2</v>
      </c>
      <c r="U13" s="206">
        <v>2312174.9927034625</v>
      </c>
      <c r="V13" s="429">
        <v>281180</v>
      </c>
      <c r="W13" s="400"/>
      <c r="Y13" s="6"/>
      <c r="Z13" s="11"/>
      <c r="AA13" s="6"/>
      <c r="AB13" s="11"/>
    </row>
    <row r="14" spans="1:28" x14ac:dyDescent="0.2">
      <c r="A14">
        <v>3</v>
      </c>
      <c r="B14" s="37" t="s">
        <v>16</v>
      </c>
      <c r="C14" s="3" t="s">
        <v>17</v>
      </c>
      <c r="D14" s="469">
        <v>2551</v>
      </c>
      <c r="E14" s="90">
        <f>Instruction!M16</f>
        <v>10103713</v>
      </c>
      <c r="F14" s="90">
        <f>'Student&amp;Institutional Support'!S17</f>
        <v>7272036.1831318159</v>
      </c>
      <c r="G14" s="90">
        <f>Facilities!H17</f>
        <v>1157830.8081667845</v>
      </c>
      <c r="H14" s="90">
        <f>'Student Success'!E15</f>
        <v>0</v>
      </c>
      <c r="I14" s="90">
        <f>Research!H17</f>
        <v>2858.9919421036857</v>
      </c>
      <c r="J14" s="8">
        <f t="shared" si="0"/>
        <v>18536438.983240701</v>
      </c>
      <c r="K14" s="9">
        <f t="shared" si="1"/>
        <v>2.4596174526389299E-2</v>
      </c>
      <c r="L14" s="68">
        <v>15020801.714532278</v>
      </c>
      <c r="M14" s="50">
        <v>2.498184628461626E-2</v>
      </c>
      <c r="N14" s="18">
        <f t="shared" si="2"/>
        <v>8294780.9043832887</v>
      </c>
      <c r="O14" s="53">
        <f t="shared" si="3"/>
        <v>8166725.4076416055</v>
      </c>
      <c r="P14" s="63">
        <f t="shared" si="6"/>
        <v>16461506.312024895</v>
      </c>
      <c r="Q14" s="42">
        <f t="shared" si="4"/>
        <v>2.478901040550277E-2</v>
      </c>
      <c r="R14" s="38">
        <f t="shared" si="7"/>
        <v>1440704.5974926166</v>
      </c>
      <c r="S14" s="46">
        <f t="shared" si="5"/>
        <v>9.5913961509708781E-2</v>
      </c>
      <c r="U14" s="206">
        <v>2002353.3574930008</v>
      </c>
      <c r="V14" s="429">
        <v>204478</v>
      </c>
      <c r="W14" s="400">
        <f>158333.33</f>
        <v>158333.32999999999</v>
      </c>
      <c r="Y14" s="6"/>
      <c r="Z14" s="11"/>
      <c r="AA14" s="6"/>
      <c r="AB14" s="11"/>
    </row>
    <row r="15" spans="1:28" x14ac:dyDescent="0.2">
      <c r="A15">
        <v>4</v>
      </c>
      <c r="B15" s="37" t="s">
        <v>18</v>
      </c>
      <c r="C15" s="3" t="s">
        <v>140</v>
      </c>
      <c r="D15" s="469">
        <v>5283</v>
      </c>
      <c r="E15" s="90">
        <f>Instruction!M17</f>
        <v>21763890.5</v>
      </c>
      <c r="F15" s="90">
        <f>'Student&amp;Institutional Support'!S18</f>
        <v>13389904.649539702</v>
      </c>
      <c r="G15" s="90">
        <f>Facilities!H18</f>
        <v>810213.43473947502</v>
      </c>
      <c r="H15" s="90">
        <f>'Student Success'!E16</f>
        <v>0</v>
      </c>
      <c r="I15" s="90">
        <f>Research!H18</f>
        <v>148517.68236522598</v>
      </c>
      <c r="J15" s="8">
        <f t="shared" si="0"/>
        <v>36112526.266644403</v>
      </c>
      <c r="K15" s="9">
        <f t="shared" si="1"/>
        <v>4.7918049386199604E-2</v>
      </c>
      <c r="L15" s="68">
        <v>28771238.182933033</v>
      </c>
      <c r="M15" s="50">
        <v>4.7850884617479016E-2</v>
      </c>
      <c r="N15" s="18">
        <f t="shared" si="2"/>
        <v>15888041.238462446</v>
      </c>
      <c r="O15" s="53">
        <f t="shared" si="3"/>
        <v>15910342.113853468</v>
      </c>
      <c r="P15" s="63">
        <f t="shared" si="6"/>
        <v>31798383.352315914</v>
      </c>
      <c r="Q15" s="42">
        <f t="shared" si="4"/>
        <v>4.7884467001839293E-2</v>
      </c>
      <c r="R15" s="38">
        <f t="shared" si="7"/>
        <v>3027145.1693828814</v>
      </c>
      <c r="S15" s="46">
        <f t="shared" si="5"/>
        <v>0.10521428205959416</v>
      </c>
      <c r="U15" s="206">
        <v>3431250.7140522581</v>
      </c>
      <c r="V15" s="429">
        <v>425849</v>
      </c>
      <c r="W15" s="400"/>
      <c r="Y15" s="6"/>
      <c r="Z15" s="11"/>
      <c r="AA15" s="6"/>
      <c r="AB15" s="11"/>
    </row>
    <row r="16" spans="1:28" x14ac:dyDescent="0.2">
      <c r="A16">
        <v>3</v>
      </c>
      <c r="B16" s="37" t="s">
        <v>19</v>
      </c>
      <c r="C16" s="3" t="s">
        <v>20</v>
      </c>
      <c r="D16" s="469">
        <v>3819</v>
      </c>
      <c r="E16" s="90">
        <f>Instruction!M18</f>
        <v>14599671</v>
      </c>
      <c r="F16" s="90">
        <f>'Student&amp;Institutional Support'!S19</f>
        <v>9774408.7787499279</v>
      </c>
      <c r="G16" s="90">
        <f>Facilities!H19</f>
        <v>2692932.5654469808</v>
      </c>
      <c r="H16" s="90">
        <f>'Student Success'!E17</f>
        <v>68000</v>
      </c>
      <c r="I16" s="90">
        <f>Research!H19</f>
        <v>42480.851371858873</v>
      </c>
      <c r="J16" s="8">
        <f t="shared" si="0"/>
        <v>27177493.195568766</v>
      </c>
      <c r="K16" s="9">
        <f t="shared" si="1"/>
        <v>3.6062070305539373E-2</v>
      </c>
      <c r="L16" s="68">
        <v>21880617.165336646</v>
      </c>
      <c r="M16" s="50">
        <v>3.6390748311931682E-2</v>
      </c>
      <c r="N16" s="18">
        <f t="shared" si="2"/>
        <v>12082905.352752475</v>
      </c>
      <c r="O16" s="53">
        <f t="shared" si="3"/>
        <v>11973773.624854824</v>
      </c>
      <c r="P16" s="63">
        <f t="shared" si="6"/>
        <v>24056678.977607299</v>
      </c>
      <c r="Q16" s="42">
        <f t="shared" si="4"/>
        <v>3.6226409308735517E-2</v>
      </c>
      <c r="R16" s="38">
        <f t="shared" si="7"/>
        <v>2176061.8122706525</v>
      </c>
      <c r="S16" s="46">
        <f t="shared" si="5"/>
        <v>9.9451573775440741E-2</v>
      </c>
      <c r="U16" s="206">
        <v>3385024.4251598995</v>
      </c>
      <c r="V16" s="429">
        <v>518186</v>
      </c>
      <c r="W16" s="400"/>
      <c r="Y16" s="6"/>
      <c r="Z16" s="11"/>
      <c r="AA16" s="6"/>
      <c r="AB16" s="11"/>
    </row>
    <row r="17" spans="1:28" ht="12.75" customHeight="1" x14ac:dyDescent="0.2">
      <c r="A17">
        <v>3</v>
      </c>
      <c r="B17" s="37" t="s">
        <v>118</v>
      </c>
      <c r="C17" s="3" t="s">
        <v>303</v>
      </c>
      <c r="D17" s="470">
        <v>2635</v>
      </c>
      <c r="E17" s="90">
        <f>Instruction!M19</f>
        <v>10227822.5</v>
      </c>
      <c r="F17" s="90">
        <f>'Student&amp;Institutional Support'!S20</f>
        <v>8030011.2931785937</v>
      </c>
      <c r="G17" s="90">
        <f>Facilities!H20</f>
        <v>2974817.4636868569</v>
      </c>
      <c r="H17" s="90">
        <f>'Student Success'!E18</f>
        <v>550042.5840102646</v>
      </c>
      <c r="I17" s="90">
        <f>Research!H20</f>
        <v>227365.32089014133</v>
      </c>
      <c r="J17" s="8">
        <f>SUM(E17:I17)</f>
        <v>22010059.161765859</v>
      </c>
      <c r="K17" s="9">
        <f t="shared" si="1"/>
        <v>2.9205353680305482E-2</v>
      </c>
      <c r="L17" s="68">
        <v>17748836.884814024</v>
      </c>
      <c r="M17" s="50">
        <v>2.9518977962286343E-2</v>
      </c>
      <c r="N17" s="18">
        <f t="shared" si="2"/>
        <v>9801255.3567453437</v>
      </c>
      <c r="O17" s="53">
        <f t="shared" si="3"/>
        <v>9697121.9522047956</v>
      </c>
      <c r="P17" s="63">
        <f>N17+O17</f>
        <v>19498377.308950141</v>
      </c>
      <c r="Q17" s="42">
        <f t="shared" si="4"/>
        <v>2.9362165821295905E-2</v>
      </c>
      <c r="R17" s="38">
        <f>P17-L17</f>
        <v>1749540.4241361171</v>
      </c>
      <c r="S17" s="46">
        <f>R17/L17</f>
        <v>9.8572116893644507E-2</v>
      </c>
      <c r="U17" s="206">
        <v>2215764.1710308441</v>
      </c>
      <c r="V17" s="429">
        <v>216700</v>
      </c>
      <c r="W17" s="400">
        <f>158333.33*6</f>
        <v>949999.98</v>
      </c>
      <c r="Y17" s="6"/>
      <c r="Z17" s="11"/>
      <c r="AA17" s="6"/>
      <c r="AB17" s="11"/>
    </row>
    <row r="18" spans="1:28" ht="12" customHeight="1" x14ac:dyDescent="0.2">
      <c r="A18">
        <v>1</v>
      </c>
      <c r="B18" s="37" t="s">
        <v>21</v>
      </c>
      <c r="C18" s="119" t="s">
        <v>176</v>
      </c>
      <c r="D18" s="469">
        <v>1069</v>
      </c>
      <c r="E18" s="90">
        <f>Instruction!M20</f>
        <v>4738022</v>
      </c>
      <c r="F18" s="90">
        <f>'Student&amp;Institutional Support'!S21</f>
        <v>4591051.9712326601</v>
      </c>
      <c r="G18" s="90">
        <f>Facilities!H21</f>
        <v>904333.51096423354</v>
      </c>
      <c r="H18" s="90">
        <f>'Student Success'!E19</f>
        <v>0</v>
      </c>
      <c r="I18" s="90">
        <f>Research!H21</f>
        <v>0</v>
      </c>
      <c r="J18" s="8">
        <f t="shared" si="0"/>
        <v>10233407.482196894</v>
      </c>
      <c r="K18" s="9">
        <f t="shared" si="1"/>
        <v>1.3578804249259748E-2</v>
      </c>
      <c r="L18" s="68">
        <v>7917537.7576821968</v>
      </c>
      <c r="M18" s="50">
        <v>1.3168052875879462E-2</v>
      </c>
      <c r="N18" s="18">
        <f t="shared" si="2"/>
        <v>4372219.4227900403</v>
      </c>
      <c r="O18" s="53">
        <f t="shared" si="3"/>
        <v>4508602.162862462</v>
      </c>
      <c r="P18" s="63">
        <f t="shared" si="6"/>
        <v>8880821.5856525023</v>
      </c>
      <c r="Q18" s="42">
        <f t="shared" si="4"/>
        <v>1.33734285625696E-2</v>
      </c>
      <c r="R18" s="38">
        <f t="shared" si="7"/>
        <v>963283.82797030546</v>
      </c>
      <c r="S18" s="46">
        <f t="shared" si="5"/>
        <v>0.12166457015448449</v>
      </c>
      <c r="U18" s="206">
        <v>942791.76409807452</v>
      </c>
      <c r="V18" s="429">
        <v>117472</v>
      </c>
      <c r="W18" s="400">
        <f>158333.33*2</f>
        <v>316666.65999999997</v>
      </c>
      <c r="Y18" s="6"/>
      <c r="Z18" s="11"/>
      <c r="AA18" s="6"/>
      <c r="AB18" s="11"/>
    </row>
    <row r="19" spans="1:28" ht="12" customHeight="1" x14ac:dyDescent="0.2">
      <c r="B19" s="37" t="s">
        <v>109</v>
      </c>
      <c r="C19" s="3" t="s">
        <v>141</v>
      </c>
      <c r="D19" s="469">
        <v>3204</v>
      </c>
      <c r="E19" s="90">
        <f>Instruction!M21</f>
        <v>12106254.5</v>
      </c>
      <c r="F19" s="90">
        <f>'Student&amp;Institutional Support'!S22</f>
        <v>8578899.1658645235</v>
      </c>
      <c r="G19" s="90">
        <f>Facilities!H22</f>
        <v>2146707.80055138</v>
      </c>
      <c r="H19" s="90">
        <f>'Student Success'!E20</f>
        <v>197559.61936288542</v>
      </c>
      <c r="I19" s="90">
        <f>Research!H22</f>
        <v>0</v>
      </c>
      <c r="J19" s="8">
        <f t="shared" si="0"/>
        <v>23029421.085778791</v>
      </c>
      <c r="K19" s="9">
        <f t="shared" si="1"/>
        <v>3.0557954566119996E-2</v>
      </c>
      <c r="L19" s="68">
        <v>18823693.478880189</v>
      </c>
      <c r="M19" s="50">
        <v>3.1306625700488526E-2</v>
      </c>
      <c r="N19" s="18">
        <f t="shared" si="2"/>
        <v>10394812.22014397</v>
      </c>
      <c r="O19" s="53">
        <f t="shared" si="3"/>
        <v>10146229.190760462</v>
      </c>
      <c r="P19" s="63">
        <f t="shared" si="6"/>
        <v>20541041.41090443</v>
      </c>
      <c r="Q19" s="42">
        <f t="shared" si="4"/>
        <v>3.0932290133304247E-2</v>
      </c>
      <c r="R19" s="38">
        <f t="shared" si="7"/>
        <v>1717347.9320242405</v>
      </c>
      <c r="S19" s="46">
        <f t="shared" si="5"/>
        <v>9.1233313693248927E-2</v>
      </c>
      <c r="U19" s="206">
        <v>2516714.6626175018</v>
      </c>
      <c r="V19" s="429">
        <v>302366</v>
      </c>
      <c r="W19" s="400">
        <f>158333.33*4</f>
        <v>633333.31999999995</v>
      </c>
      <c r="Y19" s="6"/>
      <c r="Z19" s="11"/>
      <c r="AA19" s="6"/>
      <c r="AB19" s="11"/>
    </row>
    <row r="20" spans="1:28" x14ac:dyDescent="0.2">
      <c r="A20">
        <v>4</v>
      </c>
      <c r="B20" s="37" t="s">
        <v>26</v>
      </c>
      <c r="C20" s="3" t="s">
        <v>62</v>
      </c>
      <c r="D20" s="469">
        <v>4495</v>
      </c>
      <c r="E20" s="90">
        <f>Instruction!M22</f>
        <v>18547597.5</v>
      </c>
      <c r="F20" s="90">
        <f>'Student&amp;Institutional Support'!S23</f>
        <v>10808837.403669076</v>
      </c>
      <c r="G20" s="90">
        <f>Facilities!H23</f>
        <v>2383143.8820468504</v>
      </c>
      <c r="H20" s="90">
        <f>'Student Success'!E21</f>
        <v>8000</v>
      </c>
      <c r="I20" s="90">
        <f>Research!H23</f>
        <v>171585.87810859896</v>
      </c>
      <c r="J20" s="8">
        <f t="shared" si="0"/>
        <v>31919164.663824521</v>
      </c>
      <c r="K20" s="9">
        <f t="shared" si="1"/>
        <v>4.2353838594230898E-2</v>
      </c>
      <c r="L20" s="68">
        <v>26434855.267251566</v>
      </c>
      <c r="M20" s="50">
        <v>4.3965129384781344E-2</v>
      </c>
      <c r="N20" s="18">
        <f t="shared" si="2"/>
        <v>14597844.831996839</v>
      </c>
      <c r="O20" s="53">
        <f t="shared" si="3"/>
        <v>14062844.178778633</v>
      </c>
      <c r="P20" s="63">
        <f t="shared" si="6"/>
        <v>28660689.010775473</v>
      </c>
      <c r="Q20" s="42">
        <f t="shared" si="4"/>
        <v>4.3159483989506107E-2</v>
      </c>
      <c r="R20" s="38">
        <f t="shared" si="7"/>
        <v>2225833.7435239069</v>
      </c>
      <c r="S20" s="46">
        <f t="shared" si="5"/>
        <v>8.4200716100812117E-2</v>
      </c>
      <c r="U20" s="206">
        <v>2739599.2902819989</v>
      </c>
      <c r="V20" s="429">
        <v>236125</v>
      </c>
      <c r="W20" s="400"/>
      <c r="Y20" s="6"/>
      <c r="Z20" s="11"/>
      <c r="AA20" s="6"/>
      <c r="AB20" s="11"/>
    </row>
    <row r="21" spans="1:28" x14ac:dyDescent="0.2">
      <c r="A21">
        <v>4</v>
      </c>
      <c r="B21" s="37" t="s">
        <v>22</v>
      </c>
      <c r="C21" s="3" t="s">
        <v>23</v>
      </c>
      <c r="D21" s="469">
        <v>13068</v>
      </c>
      <c r="E21" s="90">
        <f>Instruction!M23</f>
        <v>47074215.5</v>
      </c>
      <c r="F21" s="90">
        <f>'Student&amp;Institutional Support'!S24</f>
        <v>19466149.706522938</v>
      </c>
      <c r="G21" s="90">
        <f>Facilities!H24</f>
        <v>3042383.5954052722</v>
      </c>
      <c r="H21" s="90">
        <f>'Student Success'!E22</f>
        <v>0</v>
      </c>
      <c r="I21" s="90">
        <f>Research!H24</f>
        <v>853715.6830595053</v>
      </c>
      <c r="J21" s="8">
        <f t="shared" si="0"/>
        <v>70436464.484987706</v>
      </c>
      <c r="K21" s="9">
        <f t="shared" si="1"/>
        <v>9.3462804536564442E-2</v>
      </c>
      <c r="L21" s="68">
        <v>54425370.9201454</v>
      </c>
      <c r="M21" s="50">
        <v>9.05175553309428E-2</v>
      </c>
      <c r="N21" s="18">
        <f t="shared" si="2"/>
        <v>30054755.798129968</v>
      </c>
      <c r="O21" s="53">
        <f t="shared" si="3"/>
        <v>31032673.786700912</v>
      </c>
      <c r="P21" s="63">
        <f t="shared" si="6"/>
        <v>61087429.58483088</v>
      </c>
      <c r="Q21" s="42">
        <f t="shared" si="4"/>
        <v>9.1990179933753594E-2</v>
      </c>
      <c r="R21" s="38">
        <f t="shared" si="7"/>
        <v>6662058.6646854803</v>
      </c>
      <c r="S21" s="46">
        <f t="shared" si="5"/>
        <v>0.12240722574881961</v>
      </c>
      <c r="U21" s="206">
        <v>8251335.9492241163</v>
      </c>
      <c r="V21" s="429">
        <v>709215</v>
      </c>
      <c r="W21" s="400"/>
      <c r="Y21" s="6"/>
      <c r="Z21" s="11"/>
      <c r="AA21" s="6"/>
      <c r="AB21" s="11"/>
    </row>
    <row r="22" spans="1:28" x14ac:dyDescent="0.2">
      <c r="A22">
        <v>3</v>
      </c>
      <c r="B22" s="37" t="s">
        <v>24</v>
      </c>
      <c r="C22" s="3" t="s">
        <v>137</v>
      </c>
      <c r="D22" s="469">
        <v>1889</v>
      </c>
      <c r="E22" s="90">
        <f>Instruction!M24</f>
        <v>8024936.5</v>
      </c>
      <c r="F22" s="90">
        <f>'Student&amp;Institutional Support'!S25</f>
        <v>6246081.5140284449</v>
      </c>
      <c r="G22" s="90">
        <f>Facilities!H25</f>
        <v>1745708.8268864646</v>
      </c>
      <c r="H22" s="90">
        <f>'Student Success'!E23</f>
        <v>28000</v>
      </c>
      <c r="I22" s="90">
        <f>Research!H25</f>
        <v>251887.14221752665</v>
      </c>
      <c r="J22" s="8">
        <f t="shared" si="0"/>
        <v>16296613.983132435</v>
      </c>
      <c r="K22" s="9">
        <f t="shared" si="1"/>
        <v>2.1624129752253217E-2</v>
      </c>
      <c r="L22" s="68">
        <v>12406570.811853103</v>
      </c>
      <c r="M22" s="50">
        <v>2.0633988173950936E-2</v>
      </c>
      <c r="N22" s="18">
        <f t="shared" si="2"/>
        <v>6851151.3975632442</v>
      </c>
      <c r="O22" s="53">
        <f t="shared" si="3"/>
        <v>7179910.4237283859</v>
      </c>
      <c r="P22" s="63">
        <f t="shared" si="6"/>
        <v>14031061.821291629</v>
      </c>
      <c r="Q22" s="42">
        <f t="shared" si="4"/>
        <v>2.1129058963102066E-2</v>
      </c>
      <c r="R22" s="38">
        <f t="shared" si="7"/>
        <v>1624491.0094385259</v>
      </c>
      <c r="S22" s="46">
        <f t="shared" si="5"/>
        <v>0.13093795490100332</v>
      </c>
      <c r="U22" s="206">
        <v>1626219.2159888819</v>
      </c>
      <c r="V22" s="429">
        <v>198292</v>
      </c>
      <c r="W22" s="400">
        <f>158333.33*5</f>
        <v>791666.64999999991</v>
      </c>
      <c r="Y22" s="6"/>
      <c r="Z22" s="11"/>
      <c r="AA22" s="6"/>
      <c r="AB22" s="11"/>
    </row>
    <row r="23" spans="1:28" x14ac:dyDescent="0.2">
      <c r="A23">
        <v>2</v>
      </c>
      <c r="B23" s="37" t="s">
        <v>27</v>
      </c>
      <c r="C23" s="3" t="s">
        <v>132</v>
      </c>
      <c r="D23" s="469">
        <v>6012</v>
      </c>
      <c r="E23" s="90">
        <f>Instruction!M25</f>
        <v>19388623.5</v>
      </c>
      <c r="F23" s="90">
        <f>'Student&amp;Institutional Support'!S26</f>
        <v>11863022.524831034</v>
      </c>
      <c r="G23" s="90">
        <f>Facilities!H26</f>
        <v>1410732.7408987891</v>
      </c>
      <c r="H23" s="90">
        <f>'Student Success'!E24</f>
        <v>8000</v>
      </c>
      <c r="I23" s="90">
        <f>Research!H26</f>
        <v>69492.771327355265</v>
      </c>
      <c r="J23" s="8">
        <f t="shared" si="0"/>
        <v>32739871.537057176</v>
      </c>
      <c r="K23" s="9">
        <f t="shared" si="1"/>
        <v>4.3442842232269928E-2</v>
      </c>
      <c r="L23" s="68">
        <v>25167643.143109232</v>
      </c>
      <c r="M23" s="50">
        <v>4.1857565547845921E-2</v>
      </c>
      <c r="N23" s="18">
        <f t="shared" si="2"/>
        <v>13898065.477412229</v>
      </c>
      <c r="O23" s="53">
        <f t="shared" si="3"/>
        <v>14424428.606074249</v>
      </c>
      <c r="P23" s="63">
        <f t="shared" si="6"/>
        <v>28322494.083486479</v>
      </c>
      <c r="Q23" s="42">
        <f t="shared" si="4"/>
        <v>4.2650203890057907E-2</v>
      </c>
      <c r="R23" s="38">
        <f t="shared" si="7"/>
        <v>3154850.9403772466</v>
      </c>
      <c r="S23" s="46">
        <f t="shared" si="5"/>
        <v>0.12535345174905771</v>
      </c>
      <c r="U23" s="206">
        <v>5376064.3511835495</v>
      </c>
      <c r="V23" s="429">
        <v>698488</v>
      </c>
      <c r="W23" s="400"/>
      <c r="Y23" s="6"/>
      <c r="Z23" s="11"/>
      <c r="AA23" s="6"/>
      <c r="AB23" s="11"/>
    </row>
    <row r="24" spans="1:28" ht="14.25" customHeight="1" x14ac:dyDescent="0.2">
      <c r="A24">
        <v>2</v>
      </c>
      <c r="B24" s="37" t="s">
        <v>29</v>
      </c>
      <c r="C24" s="3" t="s">
        <v>133</v>
      </c>
      <c r="D24" s="469">
        <v>3089</v>
      </c>
      <c r="E24" s="90">
        <f>Instruction!M26</f>
        <v>11802267.5</v>
      </c>
      <c r="F24" s="90">
        <f>'Student&amp;Institutional Support'!S27</f>
        <v>8108673.0370592363</v>
      </c>
      <c r="G24" s="90">
        <f>Facilities!H27</f>
        <v>1327346.4249756648</v>
      </c>
      <c r="H24" s="90">
        <f>'Student Success'!E25</f>
        <v>184855.91873594225</v>
      </c>
      <c r="I24" s="90">
        <f>Research!H27</f>
        <v>405.73577014707178</v>
      </c>
      <c r="J24" s="8">
        <f t="shared" si="0"/>
        <v>21423548.616540991</v>
      </c>
      <c r="K24" s="9">
        <f t="shared" si="1"/>
        <v>2.8427107343726946E-2</v>
      </c>
      <c r="L24" s="68">
        <v>17262046.723615348</v>
      </c>
      <c r="M24" s="50">
        <v>2.8709372908505257E-2</v>
      </c>
      <c r="N24" s="18">
        <f t="shared" si="2"/>
        <v>9532440.2954529803</v>
      </c>
      <c r="O24" s="53">
        <f t="shared" si="3"/>
        <v>9438718.9991959501</v>
      </c>
      <c r="P24" s="63">
        <f t="shared" si="6"/>
        <v>18971159.29464893</v>
      </c>
      <c r="Q24" s="42">
        <f t="shared" si="4"/>
        <v>2.8568240126116095E-2</v>
      </c>
      <c r="R24" s="38">
        <f t="shared" si="7"/>
        <v>1709112.5710335821</v>
      </c>
      <c r="S24" s="46">
        <f t="shared" si="5"/>
        <v>9.9009845031610894E-2</v>
      </c>
      <c r="U24" s="206">
        <v>2840042.6194583643</v>
      </c>
      <c r="V24" s="429">
        <v>337607</v>
      </c>
      <c r="W24" s="400"/>
      <c r="Y24" s="6"/>
      <c r="Z24" s="11"/>
      <c r="AA24" s="6"/>
      <c r="AB24" s="11"/>
    </row>
    <row r="25" spans="1:28" x14ac:dyDescent="0.2">
      <c r="A25">
        <v>3</v>
      </c>
      <c r="B25" s="37" t="s">
        <v>110</v>
      </c>
      <c r="C25" s="3" t="s">
        <v>134</v>
      </c>
      <c r="D25" s="469">
        <v>1563</v>
      </c>
      <c r="E25" s="90">
        <f>Instruction!M27</f>
        <v>7457299</v>
      </c>
      <c r="F25" s="90">
        <f>'Student&amp;Institutional Support'!S28</f>
        <v>5567508.5862096222</v>
      </c>
      <c r="G25" s="90">
        <f>Facilities!H28</f>
        <v>1467040.0684055614</v>
      </c>
      <c r="H25" s="90">
        <f>'Student Success'!E26</f>
        <v>0</v>
      </c>
      <c r="I25" s="90">
        <f>Research!H28</f>
        <v>11874.805313469196</v>
      </c>
      <c r="J25" s="8">
        <f t="shared" si="0"/>
        <v>14503722.459928652</v>
      </c>
      <c r="K25" s="9">
        <f t="shared" si="1"/>
        <v>1.924512519525742E-2</v>
      </c>
      <c r="L25" s="68">
        <v>11675899.144454803</v>
      </c>
      <c r="M25" s="50">
        <v>1.9418771594545008E-2</v>
      </c>
      <c r="N25" s="18">
        <f t="shared" si="2"/>
        <v>6447660.191881082</v>
      </c>
      <c r="O25" s="53">
        <f t="shared" si="3"/>
        <v>6390003.9714194033</v>
      </c>
      <c r="P25" s="63">
        <f t="shared" si="6"/>
        <v>12837664.163300484</v>
      </c>
      <c r="Q25" s="42">
        <f t="shared" si="4"/>
        <v>1.9331948394901207E-2</v>
      </c>
      <c r="R25" s="38">
        <f t="shared" si="7"/>
        <v>1161765.0188456811</v>
      </c>
      <c r="S25" s="46">
        <f t="shared" si="5"/>
        <v>9.9501118027165755E-2</v>
      </c>
      <c r="U25" s="206">
        <v>1415259.4577579515</v>
      </c>
      <c r="V25" s="429">
        <v>138612</v>
      </c>
      <c r="W25" s="400">
        <f>158333.33*2</f>
        <v>316666.65999999997</v>
      </c>
      <c r="Y25" s="6"/>
      <c r="Z25" s="11"/>
      <c r="AA25" s="6"/>
      <c r="AB25" s="11"/>
    </row>
    <row r="26" spans="1:28" x14ac:dyDescent="0.2">
      <c r="A26">
        <v>1</v>
      </c>
      <c r="B26" s="37" t="s">
        <v>33</v>
      </c>
      <c r="C26" s="3" t="s">
        <v>130</v>
      </c>
      <c r="D26" s="469">
        <v>765</v>
      </c>
      <c r="E26" s="90">
        <f>Instruction!M28</f>
        <v>2853800</v>
      </c>
      <c r="F26" s="90">
        <f>'Student&amp;Institutional Support'!S29</f>
        <v>3989982.1926722713</v>
      </c>
      <c r="G26" s="90">
        <f>Facilities!H29</f>
        <v>354775.92030477669</v>
      </c>
      <c r="H26" s="90">
        <f>'Student Success'!E27</f>
        <v>119937.5404321566</v>
      </c>
      <c r="I26" s="90">
        <f>Research!H29</f>
        <v>0</v>
      </c>
      <c r="J26" s="8">
        <f t="shared" si="0"/>
        <v>7318495.6534092054</v>
      </c>
      <c r="K26" s="9">
        <f t="shared" si="1"/>
        <v>9.7109804382936506E-3</v>
      </c>
      <c r="L26" s="68">
        <v>5216607.6682270598</v>
      </c>
      <c r="M26" s="50">
        <v>8.6760010132293265E-3</v>
      </c>
      <c r="N26" s="18">
        <f t="shared" si="2"/>
        <v>2880712.9269409054</v>
      </c>
      <c r="O26" s="53">
        <f t="shared" si="3"/>
        <v>3224359.568331847</v>
      </c>
      <c r="P26" s="63">
        <f t="shared" si="6"/>
        <v>6105072.4952727519</v>
      </c>
      <c r="Q26" s="42">
        <f t="shared" si="4"/>
        <v>9.1934907257614842E-3</v>
      </c>
      <c r="R26" s="38">
        <f t="shared" si="7"/>
        <v>888464.82704569213</v>
      </c>
      <c r="S26" s="46">
        <f t="shared" si="5"/>
        <v>0.17031467259021416</v>
      </c>
      <c r="U26" s="206">
        <v>516758.51989935129</v>
      </c>
      <c r="V26" s="429">
        <v>103967</v>
      </c>
      <c r="W26" s="400">
        <f>158333.33</f>
        <v>158333.32999999999</v>
      </c>
      <c r="Y26" s="6"/>
      <c r="Z26" s="11"/>
      <c r="AA26" s="6"/>
      <c r="AB26" s="11"/>
    </row>
    <row r="27" spans="1:28" x14ac:dyDescent="0.2">
      <c r="A27">
        <v>3</v>
      </c>
      <c r="B27" s="37" t="s">
        <v>35</v>
      </c>
      <c r="C27" s="3" t="s">
        <v>36</v>
      </c>
      <c r="D27" s="469">
        <v>2155</v>
      </c>
      <c r="E27" s="90">
        <f>Instruction!M29</f>
        <v>9740551</v>
      </c>
      <c r="F27" s="90">
        <f>'Student&amp;Institutional Support'!S30</f>
        <v>6068099.9290249068</v>
      </c>
      <c r="G27" s="90">
        <f>Facilities!H30</f>
        <v>1947250.5571149895</v>
      </c>
      <c r="H27" s="90">
        <f>'Student Success'!E28</f>
        <v>79300.930377742057</v>
      </c>
      <c r="I27" s="90">
        <f>Research!H30</f>
        <v>0</v>
      </c>
      <c r="J27" s="8">
        <f t="shared" si="0"/>
        <v>17835202.416517638</v>
      </c>
      <c r="K27" s="9">
        <f t="shared" si="1"/>
        <v>2.36656971571923E-2</v>
      </c>
      <c r="L27" s="68">
        <v>14473647.814535793</v>
      </c>
      <c r="M27" s="50">
        <v>2.4071847279002852E-2</v>
      </c>
      <c r="N27" s="18">
        <f t="shared" si="2"/>
        <v>7992631.804241797</v>
      </c>
      <c r="O27" s="53">
        <f t="shared" si="3"/>
        <v>7857776.828499604</v>
      </c>
      <c r="P27" s="63">
        <f t="shared" si="6"/>
        <v>15850408.632741401</v>
      </c>
      <c r="Q27" s="42">
        <f t="shared" si="4"/>
        <v>2.3868772218097568E-2</v>
      </c>
      <c r="R27" s="38">
        <f t="shared" si="7"/>
        <v>1376760.8182056081</v>
      </c>
      <c r="S27" s="46">
        <f t="shared" si="5"/>
        <v>9.5121895727139069E-2</v>
      </c>
      <c r="U27" s="206">
        <v>1981175.7035027482</v>
      </c>
      <c r="V27" s="429">
        <v>199449</v>
      </c>
      <c r="W27" s="400">
        <f>158333.33*2</f>
        <v>316666.65999999997</v>
      </c>
      <c r="Y27" s="6"/>
      <c r="Z27" s="11"/>
      <c r="AA27" s="6"/>
      <c r="AB27" s="11"/>
    </row>
    <row r="28" spans="1:28" x14ac:dyDescent="0.2">
      <c r="A28">
        <v>3</v>
      </c>
      <c r="B28" s="37" t="s">
        <v>37</v>
      </c>
      <c r="C28" s="3" t="s">
        <v>131</v>
      </c>
      <c r="D28" s="469">
        <v>1997</v>
      </c>
      <c r="E28" s="90">
        <f>Instruction!M30</f>
        <v>7330841.75</v>
      </c>
      <c r="F28" s="90">
        <f>'Student&amp;Institutional Support'!S31</f>
        <v>5597031.4159218129</v>
      </c>
      <c r="G28" s="90">
        <f>Facilities!H31</f>
        <v>1453888.554235117</v>
      </c>
      <c r="H28" s="90">
        <f>'Student Success'!E29</f>
        <v>124405.62113382683</v>
      </c>
      <c r="I28" s="90">
        <f>Research!H31</f>
        <v>0</v>
      </c>
      <c r="J28" s="8">
        <f t="shared" si="0"/>
        <v>14506167.341290757</v>
      </c>
      <c r="K28" s="9">
        <f t="shared" si="1"/>
        <v>1.9248369331239149E-2</v>
      </c>
      <c r="L28" s="68">
        <v>11292195.840282239</v>
      </c>
      <c r="M28" s="50">
        <v>1.8780615446430459E-2</v>
      </c>
      <c r="N28" s="18">
        <f t="shared" si="2"/>
        <v>6235771.7120990651</v>
      </c>
      <c r="O28" s="53">
        <f t="shared" si="3"/>
        <v>6391081.1294839391</v>
      </c>
      <c r="P28" s="63">
        <f t="shared" si="6"/>
        <v>12626852.841583004</v>
      </c>
      <c r="Q28" s="42">
        <f t="shared" si="4"/>
        <v>1.9014492388834795E-2</v>
      </c>
      <c r="R28" s="38">
        <f t="shared" si="7"/>
        <v>1334657.0013007652</v>
      </c>
      <c r="S28" s="46">
        <f t="shared" si="5"/>
        <v>0.11819286701880355</v>
      </c>
      <c r="U28" s="206">
        <v>1617442.2223866936</v>
      </c>
      <c r="V28" s="429">
        <v>207953</v>
      </c>
      <c r="W28" s="400">
        <f>158333.33*3</f>
        <v>474999.99</v>
      </c>
      <c r="Y28" s="6"/>
      <c r="Z28" s="11"/>
      <c r="AA28" s="6"/>
      <c r="AB28" s="11"/>
    </row>
    <row r="29" spans="1:28" x14ac:dyDescent="0.2">
      <c r="A29">
        <v>3</v>
      </c>
      <c r="B29" s="37" t="s">
        <v>39</v>
      </c>
      <c r="C29" s="3" t="s">
        <v>135</v>
      </c>
      <c r="D29" s="469">
        <v>3053</v>
      </c>
      <c r="E29" s="90">
        <f>Instruction!M31</f>
        <v>11916005</v>
      </c>
      <c r="F29" s="90">
        <f>'Student&amp;Institutional Support'!S32</f>
        <v>7173553.7010173742</v>
      </c>
      <c r="G29" s="90">
        <f>Facilities!H32</f>
        <v>1558047.9168755752</v>
      </c>
      <c r="H29" s="90">
        <f>'Student Success'!E30</f>
        <v>0</v>
      </c>
      <c r="I29" s="90">
        <f>Research!H32</f>
        <v>308474.42484738113</v>
      </c>
      <c r="J29" s="8">
        <f t="shared" si="0"/>
        <v>20956081.042740326</v>
      </c>
      <c r="K29" s="9">
        <f t="shared" si="1"/>
        <v>2.7806820241062596E-2</v>
      </c>
      <c r="L29" s="68">
        <v>16457823.487232618</v>
      </c>
      <c r="M29" s="50">
        <v>2.7371829037568435E-2</v>
      </c>
      <c r="N29" s="18">
        <f t="shared" si="2"/>
        <v>9088332.4727956243</v>
      </c>
      <c r="O29" s="53">
        <f t="shared" si="3"/>
        <v>9232763.6204061974</v>
      </c>
      <c r="P29" s="63">
        <f t="shared" si="6"/>
        <v>18321096.093201824</v>
      </c>
      <c r="Q29" s="42">
        <f t="shared" si="4"/>
        <v>2.7589324639315509E-2</v>
      </c>
      <c r="R29" s="38">
        <f t="shared" si="7"/>
        <v>1863272.6059692055</v>
      </c>
      <c r="S29" s="46">
        <f t="shared" si="5"/>
        <v>0.11321500728299004</v>
      </c>
      <c r="U29" s="206">
        <v>2801929.2196416296</v>
      </c>
      <c r="V29" s="429">
        <v>294417</v>
      </c>
      <c r="W29" s="400">
        <f>158333.33</f>
        <v>158333.32999999999</v>
      </c>
      <c r="Y29" s="6"/>
      <c r="Z29" s="11"/>
      <c r="AA29" s="6"/>
      <c r="AB29" s="11"/>
    </row>
    <row r="30" spans="1:28" x14ac:dyDescent="0.2">
      <c r="A30">
        <v>1</v>
      </c>
      <c r="B30" s="37" t="s">
        <v>46</v>
      </c>
      <c r="C30" s="3" t="s">
        <v>70</v>
      </c>
      <c r="D30" s="469">
        <v>3394</v>
      </c>
      <c r="E30" s="90">
        <f>Instruction!M32</f>
        <v>13237585</v>
      </c>
      <c r="F30" s="90">
        <f>'Student&amp;Institutional Support'!S33</f>
        <v>8633532.4292411022</v>
      </c>
      <c r="G30" s="90">
        <f>Facilities!H33</f>
        <v>1511860.3247483305</v>
      </c>
      <c r="H30" s="90">
        <f>'Student Success'!E31</f>
        <v>0</v>
      </c>
      <c r="I30" s="90">
        <f>Research!H33</f>
        <v>0</v>
      </c>
      <c r="J30" s="8">
        <f t="shared" si="0"/>
        <v>23382977.753989432</v>
      </c>
      <c r="K30" s="9">
        <f t="shared" si="1"/>
        <v>3.1027092221100009E-2</v>
      </c>
      <c r="L30" s="68">
        <v>19185598.551730216</v>
      </c>
      <c r="M30" s="50">
        <v>3.1908528120305119E-2</v>
      </c>
      <c r="N30" s="18">
        <f t="shared" si="2"/>
        <v>10594663.289649239</v>
      </c>
      <c r="O30" s="53">
        <f t="shared" si="3"/>
        <v>10301998.064594725</v>
      </c>
      <c r="P30" s="63">
        <f t="shared" si="6"/>
        <v>20896661.354243964</v>
      </c>
      <c r="Q30" s="42">
        <f t="shared" si="4"/>
        <v>3.1467810170702555E-2</v>
      </c>
      <c r="R30" s="38">
        <f t="shared" si="7"/>
        <v>1711062.8025137484</v>
      </c>
      <c r="S30" s="46">
        <f t="shared" si="5"/>
        <v>8.918474958705104E-2</v>
      </c>
      <c r="U30" s="206">
        <v>3110929.8766535325</v>
      </c>
      <c r="V30" s="429">
        <v>463845</v>
      </c>
      <c r="W30" s="400"/>
      <c r="Y30" s="6"/>
      <c r="Z30" s="11"/>
      <c r="AA30" s="6"/>
      <c r="AB30" s="11"/>
    </row>
    <row r="31" spans="1:28" x14ac:dyDescent="0.2">
      <c r="A31">
        <v>4</v>
      </c>
      <c r="B31" s="37" t="s">
        <v>41</v>
      </c>
      <c r="C31" s="3" t="s">
        <v>117</v>
      </c>
      <c r="D31" s="469">
        <v>1785</v>
      </c>
      <c r="E31" s="90">
        <f>Instruction!M33</f>
        <v>8999152</v>
      </c>
      <c r="F31" s="90">
        <f>'Student&amp;Institutional Support'!S34</f>
        <v>5908363.2139273789</v>
      </c>
      <c r="G31" s="90">
        <f>Facilities!H34</f>
        <v>1244970.141533318</v>
      </c>
      <c r="H31" s="90">
        <f>'Student Success'!E32</f>
        <v>0</v>
      </c>
      <c r="I31" s="90">
        <f>Research!H34</f>
        <v>15891.054995482555</v>
      </c>
      <c r="J31" s="8">
        <f t="shared" si="0"/>
        <v>16168376.410456179</v>
      </c>
      <c r="K31" s="9">
        <f t="shared" si="1"/>
        <v>2.145397011580754E-2</v>
      </c>
      <c r="L31" s="68">
        <v>12556144.403544199</v>
      </c>
      <c r="M31" s="50">
        <v>2.0882751492106569E-2</v>
      </c>
      <c r="N31" s="18">
        <f t="shared" si="2"/>
        <v>6933748.8644453874</v>
      </c>
      <c r="O31" s="53">
        <f t="shared" si="3"/>
        <v>7123411.9212956186</v>
      </c>
      <c r="P31" s="63">
        <f t="shared" si="6"/>
        <v>14057160.785741005</v>
      </c>
      <c r="Q31" s="42">
        <f t="shared" si="4"/>
        <v>2.1168360803957047E-2</v>
      </c>
      <c r="R31" s="38">
        <f t="shared" si="7"/>
        <v>1501016.3821968064</v>
      </c>
      <c r="S31" s="46">
        <f t="shared" si="5"/>
        <v>0.11954437078416504</v>
      </c>
      <c r="U31" s="206">
        <v>1634680.5878395073</v>
      </c>
      <c r="V31" s="429">
        <v>195404</v>
      </c>
      <c r="W31" s="400">
        <f>158333.33*2</f>
        <v>316666.65999999997</v>
      </c>
      <c r="Y31" s="6"/>
      <c r="Z31" s="11"/>
      <c r="AA31" s="6"/>
      <c r="AB31" s="11"/>
    </row>
    <row r="32" spans="1:28" x14ac:dyDescent="0.2">
      <c r="A32">
        <v>4</v>
      </c>
      <c r="B32" s="37" t="s">
        <v>42</v>
      </c>
      <c r="C32" s="3" t="s">
        <v>69</v>
      </c>
      <c r="D32" s="469">
        <v>3366</v>
      </c>
      <c r="E32" s="90">
        <f>Instruction!M34</f>
        <v>10341600.5</v>
      </c>
      <c r="F32" s="90">
        <f>'Student&amp;Institutional Support'!S35</f>
        <v>11664376.96930735</v>
      </c>
      <c r="G32" s="90">
        <f>Facilities!H35</f>
        <v>1917752.4016106257</v>
      </c>
      <c r="H32" s="90">
        <f>'Student Success'!E33</f>
        <v>0</v>
      </c>
      <c r="I32" s="90">
        <f>Research!H35</f>
        <v>86264.882233624114</v>
      </c>
      <c r="J32" s="8">
        <f t="shared" si="0"/>
        <v>24009994.753151596</v>
      </c>
      <c r="K32" s="9">
        <f t="shared" si="1"/>
        <v>3.1859086950850914E-2</v>
      </c>
      <c r="L32" s="68">
        <v>18921062.956551403</v>
      </c>
      <c r="M32" s="50">
        <v>3.1468565746714042E-2</v>
      </c>
      <c r="N32" s="18">
        <f t="shared" si="2"/>
        <v>10448581.552793877</v>
      </c>
      <c r="O32" s="53">
        <f t="shared" si="3"/>
        <v>10578247.222413581</v>
      </c>
      <c r="P32" s="63">
        <f t="shared" si="6"/>
        <v>21026828.77520746</v>
      </c>
      <c r="Q32" s="42">
        <f t="shared" si="4"/>
        <v>3.1663826348782467E-2</v>
      </c>
      <c r="R32" s="38">
        <f>P32-L32</f>
        <v>2105765.8186560571</v>
      </c>
      <c r="S32" s="46">
        <f t="shared" si="5"/>
        <v>0.11129215221637098</v>
      </c>
      <c r="U32" s="206">
        <v>1344681.9424381102</v>
      </c>
      <c r="V32" s="429">
        <v>335593</v>
      </c>
      <c r="W32" s="400"/>
      <c r="Y32" s="6"/>
      <c r="Z32" s="11"/>
      <c r="AA32" s="6"/>
      <c r="AB32" s="11"/>
    </row>
    <row r="33" spans="1:28" x14ac:dyDescent="0.2">
      <c r="A33">
        <v>1</v>
      </c>
      <c r="B33" s="37" t="s">
        <v>43</v>
      </c>
      <c r="C33" s="3" t="s">
        <v>44</v>
      </c>
      <c r="D33" s="469">
        <v>7638</v>
      </c>
      <c r="E33" s="90">
        <f>Instruction!M35</f>
        <v>33723991</v>
      </c>
      <c r="F33" s="90">
        <f>'Student&amp;Institutional Support'!S36</f>
        <v>18296391.740826212</v>
      </c>
      <c r="G33" s="90">
        <f>Facilities!H36</f>
        <v>4614000.1652288279</v>
      </c>
      <c r="H33" s="90">
        <f>'Student Success'!E34</f>
        <v>0</v>
      </c>
      <c r="I33" s="90">
        <f>Research!H36</f>
        <v>1056547.8127254676</v>
      </c>
      <c r="J33" s="8">
        <f t="shared" si="0"/>
        <v>57690930.71878051</v>
      </c>
      <c r="K33" s="9">
        <f t="shared" si="1"/>
        <v>7.6550636388785037E-2</v>
      </c>
      <c r="L33" s="68">
        <v>49812777.726693675</v>
      </c>
      <c r="M33" s="50">
        <v>8.2846120987941335E-2</v>
      </c>
      <c r="N33" s="18">
        <f t="shared" si="2"/>
        <v>27507591.494395394</v>
      </c>
      <c r="O33" s="53">
        <f t="shared" si="3"/>
        <v>25417287.005208082</v>
      </c>
      <c r="P33" s="63">
        <f t="shared" si="6"/>
        <v>52924878.49960348</v>
      </c>
      <c r="Q33" s="42">
        <f t="shared" si="4"/>
        <v>7.9698378688363158E-2</v>
      </c>
      <c r="R33" s="38">
        <f t="shared" si="7"/>
        <v>3112100.7729098052</v>
      </c>
      <c r="S33" s="46">
        <f t="shared" si="5"/>
        <v>6.2475953258115384E-2</v>
      </c>
      <c r="U33" s="206">
        <v>4316309.8912433116</v>
      </c>
      <c r="V33" s="429">
        <v>505027</v>
      </c>
      <c r="W33" s="400"/>
      <c r="Y33" s="6"/>
      <c r="Z33" s="11"/>
      <c r="AA33" s="6"/>
      <c r="AB33" s="11"/>
    </row>
    <row r="34" spans="1:28" x14ac:dyDescent="0.2">
      <c r="A34">
        <v>1</v>
      </c>
      <c r="B34" s="37" t="s">
        <v>45</v>
      </c>
      <c r="C34" s="3" t="s">
        <v>136</v>
      </c>
      <c r="D34" s="469">
        <v>2568</v>
      </c>
      <c r="E34" s="90">
        <f>Instruction!M36</f>
        <v>10405032.5</v>
      </c>
      <c r="F34" s="90">
        <f>'Student&amp;Institutional Support'!S37</f>
        <v>6302073.5956234913</v>
      </c>
      <c r="G34" s="90">
        <f>Facilities!H37</f>
        <v>1311930.1488789641</v>
      </c>
      <c r="H34" s="90">
        <f>'Student Success'!E35</f>
        <v>24000</v>
      </c>
      <c r="I34" s="90">
        <f>Research!H37</f>
        <v>0</v>
      </c>
      <c r="J34" s="8">
        <f t="shared" si="0"/>
        <v>18043036.244502455</v>
      </c>
      <c r="K34" s="9">
        <f t="shared" si="1"/>
        <v>2.3941473810422404E-2</v>
      </c>
      <c r="L34" s="68">
        <v>14340123.068306893</v>
      </c>
      <c r="M34" s="50">
        <v>2.3849775598084811E-2</v>
      </c>
      <c r="N34" s="18">
        <f t="shared" si="2"/>
        <v>7918896.8241567751</v>
      </c>
      <c r="O34" s="53">
        <f t="shared" si="3"/>
        <v>7949343.5962647414</v>
      </c>
      <c r="P34" s="63">
        <f>N34+O34</f>
        <v>15868240.420421517</v>
      </c>
      <c r="Q34" s="42">
        <f t="shared" si="4"/>
        <v>2.3895624704253601E-2</v>
      </c>
      <c r="R34" s="38">
        <f t="shared" si="7"/>
        <v>1528117.3521146234</v>
      </c>
      <c r="S34" s="46">
        <f t="shared" si="5"/>
        <v>0.10656235966983545</v>
      </c>
      <c r="U34" s="206">
        <v>2354097.5074234516</v>
      </c>
      <c r="V34" s="429">
        <v>251298</v>
      </c>
      <c r="W34" s="400">
        <f>158333.33</f>
        <v>158333.32999999999</v>
      </c>
      <c r="Y34" s="6"/>
      <c r="Z34" s="11"/>
      <c r="AA34" s="6"/>
      <c r="AB34" s="11"/>
    </row>
    <row r="35" spans="1:28" x14ac:dyDescent="0.2">
      <c r="A35">
        <v>4</v>
      </c>
      <c r="B35" s="37" t="s">
        <v>47</v>
      </c>
      <c r="C35" s="3" t="s">
        <v>48</v>
      </c>
      <c r="D35" s="469">
        <v>6023</v>
      </c>
      <c r="E35" s="90">
        <f>Instruction!M37</f>
        <v>25397888</v>
      </c>
      <c r="F35" s="90">
        <f>'Student&amp;Institutional Support'!S38</f>
        <v>12735991.215719914</v>
      </c>
      <c r="G35" s="90">
        <f>Facilities!H38</f>
        <v>2592839.7778452644</v>
      </c>
      <c r="H35" s="90">
        <f>'Student Success'!E36</f>
        <v>0</v>
      </c>
      <c r="I35" s="90">
        <f>Research!H38</f>
        <v>107931.43266525197</v>
      </c>
      <c r="J35" s="8">
        <f t="shared" si="0"/>
        <v>40834650.426230431</v>
      </c>
      <c r="K35" s="9">
        <f t="shared" si="1"/>
        <v>5.4183880167908448E-2</v>
      </c>
      <c r="L35" s="68">
        <v>33405010.171455391</v>
      </c>
      <c r="M35" s="50">
        <v>5.5557542473379663E-2</v>
      </c>
      <c r="N35" s="18">
        <f t="shared" si="2"/>
        <v>18446900.887643181</v>
      </c>
      <c r="O35" s="53">
        <f t="shared" si="3"/>
        <v>17990800.576614115</v>
      </c>
      <c r="P35" s="63">
        <f>N35+O35</f>
        <v>36437701.4642573</v>
      </c>
      <c r="Q35" s="42">
        <f t="shared" si="4"/>
        <v>5.4870711320644042E-2</v>
      </c>
      <c r="R35" s="38">
        <f t="shared" si="7"/>
        <v>3032691.2928019091</v>
      </c>
      <c r="S35" s="46">
        <f t="shared" si="5"/>
        <v>9.0785522208681926E-2</v>
      </c>
      <c r="U35" s="206">
        <v>3930076.5238428824</v>
      </c>
      <c r="V35" s="429">
        <v>300757</v>
      </c>
      <c r="W35" s="400"/>
      <c r="Y35" s="6"/>
      <c r="Z35" s="11"/>
      <c r="AA35" s="6"/>
      <c r="AB35" s="11"/>
    </row>
    <row r="36" spans="1:28" x14ac:dyDescent="0.2">
      <c r="L36" s="70"/>
      <c r="M36" s="41"/>
      <c r="N36" s="17"/>
      <c r="O36" s="52"/>
      <c r="P36" s="55"/>
      <c r="R36" s="11"/>
      <c r="W36" s="174"/>
    </row>
    <row r="37" spans="1:28" x14ac:dyDescent="0.2">
      <c r="B37" s="4"/>
      <c r="C37" s="85" t="s">
        <v>49</v>
      </c>
      <c r="D37" s="179">
        <f t="shared" ref="D37:R37" si="9">SUM(D6:D36)</f>
        <v>108035</v>
      </c>
      <c r="E37" s="179"/>
      <c r="F37" s="179"/>
      <c r="G37" s="179"/>
      <c r="H37" s="179"/>
      <c r="I37" s="179"/>
      <c r="J37" s="12">
        <f t="shared" si="9"/>
        <v>753630974.74173915</v>
      </c>
      <c r="K37" s="7">
        <f t="shared" si="9"/>
        <v>1.0000000000000004</v>
      </c>
      <c r="L37" s="5">
        <f t="shared" si="9"/>
        <v>601268679.00000012</v>
      </c>
      <c r="M37" s="51">
        <v>2.3849775598084811E-2</v>
      </c>
      <c r="N37" s="5">
        <f t="shared" si="9"/>
        <v>332032341</v>
      </c>
      <c r="O37" s="56">
        <f t="shared" si="9"/>
        <v>332032341.00000012</v>
      </c>
      <c r="P37" s="56">
        <f t="shared" si="9"/>
        <v>664064682.00000024</v>
      </c>
      <c r="Q37" s="7">
        <f t="shared" si="9"/>
        <v>0.99999999999999967</v>
      </c>
      <c r="R37" s="5">
        <f t="shared" si="9"/>
        <v>62796003.000000037</v>
      </c>
      <c r="S37" s="205">
        <f>R37/L37</f>
        <v>0.10443917202612182</v>
      </c>
      <c r="U37" s="204">
        <f t="shared" ref="U37:W37" si="10">SUM(U6:U36)</f>
        <v>82151286.300000012</v>
      </c>
      <c r="V37" s="204">
        <f>SUM(V6:V36)</f>
        <v>9601009</v>
      </c>
      <c r="W37" s="204">
        <f t="shared" si="10"/>
        <v>5699999.8799999999</v>
      </c>
    </row>
    <row r="38" spans="1:28" ht="18.75" customHeight="1" x14ac:dyDescent="0.2">
      <c r="B38" s="16" t="s">
        <v>329</v>
      </c>
      <c r="C38" s="85"/>
      <c r="D38" s="179"/>
      <c r="E38" s="179"/>
      <c r="F38" s="179"/>
      <c r="G38" s="179"/>
      <c r="H38" s="472"/>
      <c r="I38" s="472"/>
      <c r="J38" s="12"/>
      <c r="K38" s="7"/>
      <c r="L38" s="474"/>
      <c r="M38" s="51"/>
      <c r="N38" s="5"/>
      <c r="O38" s="56"/>
      <c r="P38" s="56"/>
      <c r="Q38" s="7"/>
      <c r="R38" s="5"/>
    </row>
    <row r="39" spans="1:28" ht="21" hidden="1" customHeight="1" x14ac:dyDescent="0.2">
      <c r="B39" s="16"/>
      <c r="E39" s="207"/>
      <c r="F39" s="207"/>
      <c r="G39" s="207"/>
      <c r="H39" s="199"/>
      <c r="I39" s="199"/>
      <c r="N39" s="24"/>
      <c r="O39" s="102">
        <f>(O41)/2</f>
        <v>332032341</v>
      </c>
      <c r="P39" s="43"/>
      <c r="Q39" s="57"/>
      <c r="R39" s="24"/>
    </row>
    <row r="40" spans="1:28" ht="12" customHeight="1" x14ac:dyDescent="0.2">
      <c r="B40" s="499"/>
      <c r="C40" s="500"/>
      <c r="E40" s="198"/>
      <c r="F40" s="198"/>
      <c r="G40" s="198"/>
      <c r="H40" s="199"/>
      <c r="I40" s="199"/>
      <c r="J40" s="11"/>
      <c r="L40" s="85"/>
      <c r="N40" s="15"/>
      <c r="P40" s="43"/>
      <c r="Q40" s="54"/>
      <c r="R40" s="288"/>
      <c r="S40" s="396"/>
    </row>
    <row r="41" spans="1:28" x14ac:dyDescent="0.2">
      <c r="J41" s="190"/>
      <c r="N41" s="170" t="s">
        <v>127</v>
      </c>
      <c r="O41" s="456">
        <f>602564682+61500000</f>
        <v>664064682</v>
      </c>
      <c r="Q41" s="295"/>
      <c r="R41" s="11"/>
      <c r="S41" s="295"/>
    </row>
    <row r="42" spans="1:28" x14ac:dyDescent="0.2">
      <c r="M42" s="295"/>
      <c r="Q42" s="295"/>
      <c r="R42" s="11"/>
      <c r="S42" s="295"/>
    </row>
    <row r="43" spans="1:28" x14ac:dyDescent="0.2">
      <c r="J43" s="174"/>
      <c r="M43" s="295"/>
      <c r="N43" s="203"/>
      <c r="O43" s="57"/>
      <c r="Q43" s="471"/>
      <c r="R43" s="11"/>
      <c r="S43" s="455"/>
    </row>
    <row r="44" spans="1:28" x14ac:dyDescent="0.2">
      <c r="O44" s="52"/>
      <c r="P44" s="132"/>
      <c r="Q44" s="471"/>
      <c r="R44" s="11"/>
      <c r="S44" s="455"/>
    </row>
    <row r="45" spans="1:28" x14ac:dyDescent="0.2">
      <c r="M45" s="295"/>
      <c r="P45" s="132"/>
      <c r="Q45" s="471"/>
      <c r="R45" s="11"/>
      <c r="S45" s="11"/>
    </row>
    <row r="46" spans="1:28" x14ac:dyDescent="0.2">
      <c r="M46" s="295"/>
      <c r="O46" s="55"/>
      <c r="P46" s="132"/>
      <c r="Q46" s="295"/>
      <c r="R46" s="490"/>
      <c r="S46" s="455"/>
    </row>
    <row r="47" spans="1:28" x14ac:dyDescent="0.2">
      <c r="R47" s="11"/>
      <c r="S47" s="295"/>
    </row>
    <row r="48" spans="1:28" x14ac:dyDescent="0.2">
      <c r="P48" s="57"/>
    </row>
    <row r="49" spans="13:23" x14ac:dyDescent="0.2">
      <c r="M49" s="295"/>
      <c r="Q49" s="295"/>
      <c r="R49" s="11"/>
      <c r="S49" s="455"/>
    </row>
    <row r="50" spans="13:23" x14ac:dyDescent="0.2">
      <c r="M50" s="295"/>
      <c r="Q50" s="295"/>
      <c r="R50" s="11"/>
      <c r="S50" s="455"/>
    </row>
    <row r="51" spans="13:23" x14ac:dyDescent="0.2">
      <c r="P51" s="151"/>
    </row>
    <row r="52" spans="13:23" x14ac:dyDescent="0.2">
      <c r="S52" s="6"/>
    </row>
    <row r="53" spans="13:23" x14ac:dyDescent="0.2">
      <c r="M53" s="41"/>
      <c r="Q53" s="41"/>
      <c r="S53" s="6"/>
    </row>
    <row r="58" spans="13:23" x14ac:dyDescent="0.2">
      <c r="P58" s="57"/>
      <c r="Q58" s="24"/>
      <c r="R58" s="24"/>
      <c r="U58" s="174"/>
      <c r="W58" s="174"/>
    </row>
  </sheetData>
  <mergeCells count="1">
    <mergeCell ref="B40:C40"/>
  </mergeCells>
  <pageMargins left="0.3" right="0.08" top="0.82" bottom="0.13" header="0.18" footer="0.13"/>
  <pageSetup scale="80" orientation="landscape" copies="4" r:id="rId1"/>
  <headerFooter alignWithMargins="0">
    <oddHeader>&amp;C&amp;"Arial,Bold"Minnesota State
FY2024
COLLEGE/UNIVERSITY ALLOCATION
(BASED ON FY2022 DATA)
&amp;RSP-6</oddHeader>
  </headerFooter>
  <colBreaks count="2" manualBreakCount="2">
    <brk id="11" max="1048575" man="1"/>
    <brk id="19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9"/>
  <sheetViews>
    <sheetView zoomScale="90" zoomScaleNormal="90" workbookViewId="0">
      <selection activeCell="A10" sqref="A10:XFD10"/>
    </sheetView>
  </sheetViews>
  <sheetFormatPr defaultColWidth="9.140625" defaultRowHeight="15" customHeight="1" x14ac:dyDescent="0.2"/>
  <cols>
    <col min="1" max="1" width="7.28515625" style="64" customWidth="1"/>
    <col min="2" max="2" width="31.7109375" style="64" customWidth="1"/>
    <col min="3" max="3" width="16.140625" style="54" customWidth="1"/>
    <col min="4" max="5" width="12.7109375" style="55" customWidth="1"/>
    <col min="6" max="6" width="12.5703125" style="55" customWidth="1"/>
    <col min="7" max="7" width="13" style="55" customWidth="1"/>
    <col min="8" max="8" width="11" style="55" customWidth="1"/>
    <col min="9" max="9" width="10.42578125" style="55" customWidth="1"/>
    <col min="10" max="10" width="12.85546875" style="70" customWidth="1"/>
    <col min="11" max="12" width="15.85546875" style="54" customWidth="1"/>
    <col min="13" max="13" width="13.7109375" style="54" customWidth="1"/>
    <col min="14" max="16384" width="9.140625" style="64"/>
  </cols>
  <sheetData>
    <row r="1" spans="1:13" ht="15" customHeight="1" x14ac:dyDescent="0.25">
      <c r="A1" s="69" t="s">
        <v>72</v>
      </c>
      <c r="M1" s="85" t="s">
        <v>277</v>
      </c>
    </row>
    <row r="2" spans="1:13" ht="15" customHeight="1" x14ac:dyDescent="0.2">
      <c r="A2" s="71" t="s">
        <v>73</v>
      </c>
      <c r="H2" s="56"/>
    </row>
    <row r="3" spans="1:13" ht="15" customHeight="1" x14ac:dyDescent="0.2">
      <c r="A3" s="72" t="s">
        <v>320</v>
      </c>
    </row>
    <row r="4" spans="1:13" s="73" customFormat="1" ht="15" customHeight="1" x14ac:dyDescent="0.2">
      <c r="C4" s="101"/>
      <c r="D4" s="87" t="s">
        <v>74</v>
      </c>
      <c r="E4" s="87" t="s">
        <v>75</v>
      </c>
      <c r="F4" s="87" t="s">
        <v>76</v>
      </c>
      <c r="G4" s="87" t="s">
        <v>77</v>
      </c>
      <c r="H4" s="87" t="s">
        <v>78</v>
      </c>
      <c r="I4" s="87" t="s">
        <v>81</v>
      </c>
      <c r="J4" s="74" t="s">
        <v>293</v>
      </c>
      <c r="K4" s="101" t="s">
        <v>294</v>
      </c>
      <c r="L4" s="101"/>
      <c r="M4" s="101" t="s">
        <v>295</v>
      </c>
    </row>
    <row r="5" spans="1:13" ht="27.75" customHeight="1" x14ac:dyDescent="0.2">
      <c r="B5" s="75"/>
      <c r="C5" s="101" t="s">
        <v>79</v>
      </c>
      <c r="D5" s="438"/>
      <c r="E5" s="437" t="s">
        <v>121</v>
      </c>
      <c r="F5" s="180"/>
      <c r="G5" s="181" t="s">
        <v>80</v>
      </c>
      <c r="H5" s="180" t="s">
        <v>121</v>
      </c>
      <c r="I5" s="182" t="s">
        <v>121</v>
      </c>
      <c r="J5" s="74" t="s">
        <v>82</v>
      </c>
      <c r="K5" s="101" t="s">
        <v>111</v>
      </c>
      <c r="L5" s="101" t="s">
        <v>123</v>
      </c>
      <c r="M5" s="101" t="s">
        <v>99</v>
      </c>
    </row>
    <row r="6" spans="1:13" s="79" customFormat="1" ht="90" customHeight="1" x14ac:dyDescent="0.2">
      <c r="A6" s="76" t="s">
        <v>0</v>
      </c>
      <c r="B6" s="77" t="s">
        <v>83</v>
      </c>
      <c r="C6" s="134" t="s">
        <v>288</v>
      </c>
      <c r="D6" s="439" t="s">
        <v>289</v>
      </c>
      <c r="E6" s="103" t="s">
        <v>290</v>
      </c>
      <c r="F6" s="183" t="s">
        <v>84</v>
      </c>
      <c r="G6" s="183" t="s">
        <v>85</v>
      </c>
      <c r="H6" s="103" t="s">
        <v>291</v>
      </c>
      <c r="I6" s="103" t="s">
        <v>292</v>
      </c>
      <c r="J6" s="78" t="s">
        <v>86</v>
      </c>
      <c r="K6" s="383" t="s">
        <v>309</v>
      </c>
      <c r="L6" s="383" t="s">
        <v>298</v>
      </c>
      <c r="M6" s="383" t="s">
        <v>142</v>
      </c>
    </row>
    <row r="7" spans="1:13" ht="15" customHeight="1" x14ac:dyDescent="0.2">
      <c r="B7" s="80"/>
      <c r="C7" s="130"/>
      <c r="D7" s="440"/>
      <c r="E7" s="184"/>
      <c r="F7" s="185"/>
      <c r="G7" s="185"/>
    </row>
    <row r="8" spans="1:13" ht="15" customHeight="1" x14ac:dyDescent="0.2">
      <c r="A8" s="81" t="s">
        <v>2</v>
      </c>
      <c r="B8" s="3" t="s">
        <v>128</v>
      </c>
      <c r="C8" s="131">
        <f>172397+7716188</f>
        <v>7888585</v>
      </c>
      <c r="D8" s="436">
        <v>6769</v>
      </c>
      <c r="E8" s="90">
        <v>-317179</v>
      </c>
      <c r="F8" s="418"/>
      <c r="G8" s="129"/>
      <c r="H8" s="90"/>
      <c r="I8" s="90"/>
      <c r="J8" s="68">
        <f t="shared" ref="J8:J13" si="0">SUM(D8:I8)</f>
        <v>-310410</v>
      </c>
      <c r="K8" s="294">
        <f t="shared" ref="K8:K12" si="1">+C8+J8</f>
        <v>7578175</v>
      </c>
      <c r="L8" s="294">
        <v>6566240</v>
      </c>
      <c r="M8" s="294">
        <f>AVERAGE(K8:L8)</f>
        <v>7072207.5</v>
      </c>
    </row>
    <row r="9" spans="1:13" s="54" customFormat="1" ht="15" customHeight="1" x14ac:dyDescent="0.2">
      <c r="A9" s="10" t="s">
        <v>4</v>
      </c>
      <c r="B9" s="3" t="s">
        <v>124</v>
      </c>
      <c r="C9" s="131">
        <f>558332+20417514</f>
        <v>20975846</v>
      </c>
      <c r="D9" s="436">
        <v>144440</v>
      </c>
      <c r="E9" s="90">
        <v>-162326</v>
      </c>
      <c r="F9" s="418"/>
      <c r="G9" s="129"/>
      <c r="H9" s="129"/>
      <c r="I9" s="129"/>
      <c r="J9" s="68">
        <f t="shared" si="0"/>
        <v>-17886</v>
      </c>
      <c r="K9" s="294">
        <f t="shared" si="1"/>
        <v>20957960</v>
      </c>
      <c r="L9" s="294">
        <v>20584091</v>
      </c>
      <c r="M9" s="294">
        <f t="shared" ref="M9:M37" si="2">AVERAGE(K9:L9)</f>
        <v>20771025.5</v>
      </c>
    </row>
    <row r="10" spans="1:13" ht="15" customHeight="1" x14ac:dyDescent="0.2">
      <c r="A10" s="81" t="s">
        <v>5</v>
      </c>
      <c r="B10" s="119" t="s">
        <v>113</v>
      </c>
      <c r="C10" s="131">
        <f>127862+6382868+8059680+1354034</f>
        <v>15924444</v>
      </c>
      <c r="D10" s="436">
        <v>-4227</v>
      </c>
      <c r="E10" s="90">
        <v>431840</v>
      </c>
      <c r="F10" s="418"/>
      <c r="G10" s="186">
        <v>320883</v>
      </c>
      <c r="H10" s="186">
        <v>-352929</v>
      </c>
      <c r="I10" s="186">
        <v>-164440</v>
      </c>
      <c r="J10" s="68">
        <f t="shared" si="0"/>
        <v>231127</v>
      </c>
      <c r="K10" s="294">
        <f>+C10+J10</f>
        <v>16155571</v>
      </c>
      <c r="L10" s="294">
        <v>15659334</v>
      </c>
      <c r="M10" s="294">
        <f t="shared" si="2"/>
        <v>15907452.5</v>
      </c>
    </row>
    <row r="11" spans="1:13" ht="15" customHeight="1" x14ac:dyDescent="0.2">
      <c r="A11" s="81" t="s">
        <v>6</v>
      </c>
      <c r="B11" s="3" t="s">
        <v>7</v>
      </c>
      <c r="C11" s="131">
        <f>1122911+8484866</f>
        <v>9607777</v>
      </c>
      <c r="D11" s="436">
        <v>10346</v>
      </c>
      <c r="E11" s="90">
        <v>-626675</v>
      </c>
      <c r="F11" s="442">
        <f>9071+214064</f>
        <v>223135</v>
      </c>
      <c r="G11" s="129"/>
      <c r="H11" s="90"/>
      <c r="I11" s="90"/>
      <c r="J11" s="68">
        <f t="shared" si="0"/>
        <v>-393194</v>
      </c>
      <c r="K11" s="294">
        <f t="shared" si="1"/>
        <v>9214583</v>
      </c>
      <c r="L11" s="294">
        <v>9054081</v>
      </c>
      <c r="M11" s="294">
        <f t="shared" si="2"/>
        <v>9134332</v>
      </c>
    </row>
    <row r="12" spans="1:13" ht="15" customHeight="1" x14ac:dyDescent="0.2">
      <c r="A12" s="81" t="s">
        <v>8</v>
      </c>
      <c r="B12" s="3" t="s">
        <v>9</v>
      </c>
      <c r="C12" s="131">
        <f>86907+17471703</f>
        <v>17558610</v>
      </c>
      <c r="D12" s="436">
        <v>10604</v>
      </c>
      <c r="E12" s="90">
        <v>1286639</v>
      </c>
      <c r="F12" s="418"/>
      <c r="G12" s="129"/>
      <c r="H12" s="90"/>
      <c r="I12" s="90"/>
      <c r="J12" s="68">
        <f t="shared" si="0"/>
        <v>1297243</v>
      </c>
      <c r="K12" s="294">
        <f t="shared" si="1"/>
        <v>18855853</v>
      </c>
      <c r="L12" s="294">
        <v>18287312</v>
      </c>
      <c r="M12" s="294">
        <f t="shared" si="2"/>
        <v>18571582.5</v>
      </c>
    </row>
    <row r="13" spans="1:13" ht="15" customHeight="1" x14ac:dyDescent="0.2">
      <c r="A13" s="81" t="s">
        <v>10</v>
      </c>
      <c r="B13" s="3" t="s">
        <v>146</v>
      </c>
      <c r="C13" s="131">
        <f>210718+16897425</f>
        <v>17108143</v>
      </c>
      <c r="D13" s="436">
        <v>3228</v>
      </c>
      <c r="E13" s="90">
        <v>-558335</v>
      </c>
      <c r="F13" s="418"/>
      <c r="G13" s="129"/>
      <c r="H13" s="90"/>
      <c r="I13" s="90"/>
      <c r="J13" s="68">
        <f t="shared" si="0"/>
        <v>-555107</v>
      </c>
      <c r="K13" s="294">
        <f t="shared" ref="K13:K37" si="3">+C13+J13</f>
        <v>16553036</v>
      </c>
      <c r="L13" s="294">
        <v>15854340</v>
      </c>
      <c r="M13" s="294">
        <f t="shared" si="2"/>
        <v>16203688</v>
      </c>
    </row>
    <row r="14" spans="1:13" ht="15" customHeight="1" x14ac:dyDescent="0.2">
      <c r="A14" s="81" t="s">
        <v>12</v>
      </c>
      <c r="B14" s="3" t="s">
        <v>13</v>
      </c>
      <c r="C14" s="131">
        <f>675113+3283300</f>
        <v>3958413</v>
      </c>
      <c r="D14" s="436">
        <v>-131039</v>
      </c>
      <c r="E14" s="90">
        <v>-1590673</v>
      </c>
      <c r="F14" s="418"/>
      <c r="G14" s="129"/>
      <c r="H14" s="90"/>
      <c r="I14" s="90"/>
      <c r="J14" s="68">
        <f t="shared" ref="J14:J37" si="4">SUM(D14:I14)</f>
        <v>-1721712</v>
      </c>
      <c r="K14" s="294">
        <f t="shared" si="3"/>
        <v>2236701</v>
      </c>
      <c r="L14" s="294">
        <v>2181113</v>
      </c>
      <c r="M14" s="294">
        <f t="shared" si="2"/>
        <v>2208907</v>
      </c>
    </row>
    <row r="15" spans="1:13" ht="15" customHeight="1" x14ac:dyDescent="0.2">
      <c r="A15" s="81" t="s">
        <v>14</v>
      </c>
      <c r="B15" s="3" t="s">
        <v>139</v>
      </c>
      <c r="C15" s="131">
        <f>389973+13023760</f>
        <v>13413733</v>
      </c>
      <c r="D15" s="436">
        <v>-205423</v>
      </c>
      <c r="E15" s="90">
        <v>-698717</v>
      </c>
      <c r="F15" s="418"/>
      <c r="G15" s="129"/>
      <c r="H15" s="90"/>
      <c r="I15" s="90"/>
      <c r="J15" s="68">
        <f t="shared" ref="J15:J20" si="5">SUM(D15:I15)</f>
        <v>-904140</v>
      </c>
      <c r="K15" s="294">
        <f t="shared" si="3"/>
        <v>12509593</v>
      </c>
      <c r="L15" s="294">
        <v>12288803</v>
      </c>
      <c r="M15" s="294">
        <f t="shared" si="2"/>
        <v>12399198</v>
      </c>
    </row>
    <row r="16" spans="1:13" ht="15" customHeight="1" x14ac:dyDescent="0.2">
      <c r="A16" s="81" t="s">
        <v>16</v>
      </c>
      <c r="B16" s="3" t="s">
        <v>17</v>
      </c>
      <c r="C16" s="131">
        <f>292736+9762974</f>
        <v>10055710</v>
      </c>
      <c r="D16" s="436">
        <v>49567</v>
      </c>
      <c r="E16" s="90">
        <v>102717</v>
      </c>
      <c r="F16" s="418"/>
      <c r="G16" s="129"/>
      <c r="H16" s="90"/>
      <c r="I16" s="90"/>
      <c r="J16" s="68">
        <f t="shared" si="5"/>
        <v>152284</v>
      </c>
      <c r="K16" s="294">
        <f t="shared" si="3"/>
        <v>10207994</v>
      </c>
      <c r="L16" s="294">
        <v>9999432</v>
      </c>
      <c r="M16" s="294">
        <f t="shared" si="2"/>
        <v>10103713</v>
      </c>
    </row>
    <row r="17" spans="1:13" ht="15" customHeight="1" x14ac:dyDescent="0.2">
      <c r="A17" s="81" t="s">
        <v>18</v>
      </c>
      <c r="B17" s="3" t="s">
        <v>140</v>
      </c>
      <c r="C17" s="131">
        <f>7659+4223084+13873873+3196129+315770</f>
        <v>21616515</v>
      </c>
      <c r="D17" s="436">
        <v>-5442</v>
      </c>
      <c r="E17" s="90">
        <v>167715</v>
      </c>
      <c r="F17" s="418"/>
      <c r="G17" s="186">
        <v>222703</v>
      </c>
      <c r="H17" s="186">
        <v>202840</v>
      </c>
      <c r="I17" s="186">
        <v>-126930</v>
      </c>
      <c r="J17" s="68">
        <f t="shared" si="5"/>
        <v>460886</v>
      </c>
      <c r="K17" s="294">
        <f t="shared" si="3"/>
        <v>22077401</v>
      </c>
      <c r="L17" s="294">
        <v>21450380</v>
      </c>
      <c r="M17" s="294">
        <f t="shared" si="2"/>
        <v>21763890.5</v>
      </c>
    </row>
    <row r="18" spans="1:13" ht="15" customHeight="1" x14ac:dyDescent="0.2">
      <c r="A18" s="81" t="s">
        <v>19</v>
      </c>
      <c r="B18" s="3" t="s">
        <v>129</v>
      </c>
      <c r="C18" s="131">
        <f>150808+14519472</f>
        <v>14670280</v>
      </c>
      <c r="D18" s="436">
        <v>-36096</v>
      </c>
      <c r="E18" s="90">
        <v>-86590</v>
      </c>
      <c r="F18" s="418"/>
      <c r="G18" s="129"/>
      <c r="H18" s="129"/>
      <c r="I18" s="90"/>
      <c r="J18" s="68">
        <f t="shared" si="5"/>
        <v>-122686</v>
      </c>
      <c r="K18" s="294">
        <f t="shared" si="3"/>
        <v>14547594</v>
      </c>
      <c r="L18" s="294">
        <v>14651748</v>
      </c>
      <c r="M18" s="294">
        <f t="shared" si="2"/>
        <v>14599671</v>
      </c>
    </row>
    <row r="19" spans="1:13" ht="15" customHeight="1" x14ac:dyDescent="0.2">
      <c r="A19" s="82" t="s">
        <v>118</v>
      </c>
      <c r="B19" s="3" t="s">
        <v>303</v>
      </c>
      <c r="C19" s="131">
        <f>347603+10634796</f>
        <v>10982399</v>
      </c>
      <c r="D19" s="436">
        <v>-38684</v>
      </c>
      <c r="E19" s="90">
        <v>-684879</v>
      </c>
      <c r="F19" s="418"/>
      <c r="G19" s="129"/>
      <c r="H19" s="90"/>
      <c r="I19" s="90"/>
      <c r="J19" s="68">
        <f t="shared" si="5"/>
        <v>-723563</v>
      </c>
      <c r="K19" s="294">
        <f>+C19+J19</f>
        <v>10258836</v>
      </c>
      <c r="L19" s="294">
        <v>10196809</v>
      </c>
      <c r="M19" s="294">
        <f>AVERAGE(K19:L19)</f>
        <v>10227822.5</v>
      </c>
    </row>
    <row r="20" spans="1:13" ht="14.25" customHeight="1" x14ac:dyDescent="0.2">
      <c r="A20" s="81" t="s">
        <v>21</v>
      </c>
      <c r="B20" s="119" t="s">
        <v>176</v>
      </c>
      <c r="C20" s="133">
        <f>123686+5110023</f>
        <v>5233709</v>
      </c>
      <c r="D20" s="436">
        <v>1366</v>
      </c>
      <c r="E20" s="90">
        <v>-550633</v>
      </c>
      <c r="F20" s="418"/>
      <c r="G20" s="129"/>
      <c r="H20" s="90"/>
      <c r="I20" s="90"/>
      <c r="J20" s="68">
        <f t="shared" si="5"/>
        <v>-549267</v>
      </c>
      <c r="K20" s="294">
        <f t="shared" si="3"/>
        <v>4684442</v>
      </c>
      <c r="L20" s="294">
        <v>4791602</v>
      </c>
      <c r="M20" s="294">
        <f t="shared" si="2"/>
        <v>4738022</v>
      </c>
    </row>
    <row r="21" spans="1:13" ht="15" customHeight="1" x14ac:dyDescent="0.2">
      <c r="A21" s="82" t="s">
        <v>109</v>
      </c>
      <c r="B21" s="3" t="s">
        <v>141</v>
      </c>
      <c r="C21" s="131">
        <f>664083+12021271</f>
        <v>12685354</v>
      </c>
      <c r="D21" s="436">
        <v>9585</v>
      </c>
      <c r="E21" s="90">
        <v>-486022</v>
      </c>
      <c r="F21" s="418"/>
      <c r="G21" s="129"/>
      <c r="H21" s="90"/>
      <c r="I21" s="90"/>
      <c r="J21" s="68">
        <f t="shared" si="4"/>
        <v>-476437</v>
      </c>
      <c r="K21" s="294">
        <f t="shared" si="3"/>
        <v>12208917</v>
      </c>
      <c r="L21" s="294">
        <v>12003592</v>
      </c>
      <c r="M21" s="294">
        <f t="shared" si="2"/>
        <v>12106254.5</v>
      </c>
    </row>
    <row r="22" spans="1:13" ht="15" customHeight="1" x14ac:dyDescent="0.2">
      <c r="A22" s="81" t="s">
        <v>26</v>
      </c>
      <c r="B22" s="3" t="s">
        <v>62</v>
      </c>
      <c r="C22" s="131">
        <f>5886730+8644140+3230894+242199</f>
        <v>18003963</v>
      </c>
      <c r="D22" s="436"/>
      <c r="E22" s="90">
        <v>173717</v>
      </c>
      <c r="F22" s="418"/>
      <c r="G22" s="186">
        <v>418049</v>
      </c>
      <c r="H22" s="186">
        <v>-78524</v>
      </c>
      <c r="I22" s="186">
        <f>14260+7038</f>
        <v>21298</v>
      </c>
      <c r="J22" s="68">
        <f t="shared" si="4"/>
        <v>534540</v>
      </c>
      <c r="K22" s="294">
        <f t="shared" si="3"/>
        <v>18538503</v>
      </c>
      <c r="L22" s="294">
        <v>18556692</v>
      </c>
      <c r="M22" s="294">
        <f t="shared" si="2"/>
        <v>18547597.5</v>
      </c>
    </row>
    <row r="23" spans="1:13" ht="15" customHeight="1" x14ac:dyDescent="0.2">
      <c r="A23" s="81" t="s">
        <v>22</v>
      </c>
      <c r="B23" s="3" t="s">
        <v>23</v>
      </c>
      <c r="C23" s="131">
        <f>265716+16166660+17849877+5899829+375994</f>
        <v>40558076</v>
      </c>
      <c r="D23" s="436">
        <v>44806</v>
      </c>
      <c r="E23" s="90">
        <v>4857007</v>
      </c>
      <c r="F23" s="418"/>
      <c r="G23" s="186">
        <v>1061519</v>
      </c>
      <c r="H23" s="186">
        <v>1545038</v>
      </c>
      <c r="I23" s="186">
        <f>434503+34644</f>
        <v>469147</v>
      </c>
      <c r="J23" s="68">
        <f t="shared" si="4"/>
        <v>7977517</v>
      </c>
      <c r="K23" s="294">
        <f t="shared" si="3"/>
        <v>48535593</v>
      </c>
      <c r="L23" s="294">
        <v>45612838</v>
      </c>
      <c r="M23" s="294">
        <f t="shared" si="2"/>
        <v>47074215.5</v>
      </c>
    </row>
    <row r="24" spans="1:13" ht="15" customHeight="1" x14ac:dyDescent="0.2">
      <c r="A24" s="81" t="s">
        <v>24</v>
      </c>
      <c r="B24" s="3" t="s">
        <v>137</v>
      </c>
      <c r="C24" s="131">
        <f>553233+8424630</f>
        <v>8977863</v>
      </c>
      <c r="D24" s="436">
        <v>-211965</v>
      </c>
      <c r="E24" s="90">
        <v>-377266</v>
      </c>
      <c r="F24" s="419">
        <v>76743</v>
      </c>
      <c r="G24" s="129"/>
      <c r="H24" s="90"/>
      <c r="I24" s="90"/>
      <c r="J24" s="68">
        <f t="shared" si="4"/>
        <v>-512488</v>
      </c>
      <c r="K24" s="294">
        <f t="shared" si="3"/>
        <v>8465375</v>
      </c>
      <c r="L24" s="294">
        <v>7584498</v>
      </c>
      <c r="M24" s="294">
        <f t="shared" si="2"/>
        <v>8024936.5</v>
      </c>
    </row>
    <row r="25" spans="1:13" ht="15" customHeight="1" x14ac:dyDescent="0.2">
      <c r="A25" s="81" t="s">
        <v>27</v>
      </c>
      <c r="B25" s="3" t="s">
        <v>132</v>
      </c>
      <c r="C25" s="131">
        <f>260780+18414958</f>
        <v>18675738</v>
      </c>
      <c r="D25" s="436">
        <v>20308</v>
      </c>
      <c r="E25" s="90">
        <v>983083</v>
      </c>
      <c r="F25" s="418"/>
      <c r="G25" s="129"/>
      <c r="H25" s="129"/>
      <c r="I25" s="90"/>
      <c r="J25" s="68">
        <f t="shared" si="4"/>
        <v>1003391</v>
      </c>
      <c r="K25" s="294">
        <f t="shared" si="3"/>
        <v>19679129</v>
      </c>
      <c r="L25" s="294">
        <v>19098118</v>
      </c>
      <c r="M25" s="294">
        <f t="shared" si="2"/>
        <v>19388623.5</v>
      </c>
    </row>
    <row r="26" spans="1:13" ht="15" customHeight="1" x14ac:dyDescent="0.2">
      <c r="A26" s="81" t="s">
        <v>29</v>
      </c>
      <c r="B26" s="443" t="s">
        <v>133</v>
      </c>
      <c r="C26" s="131">
        <f>125802+12893532</f>
        <v>13019334</v>
      </c>
      <c r="D26" s="436">
        <v>5227</v>
      </c>
      <c r="E26" s="90">
        <v>-1066794</v>
      </c>
      <c r="F26" s="418"/>
      <c r="G26" s="129"/>
      <c r="H26" s="90"/>
      <c r="I26" s="90"/>
      <c r="J26" s="68">
        <f t="shared" si="4"/>
        <v>-1061567</v>
      </c>
      <c r="K26" s="294">
        <f t="shared" si="3"/>
        <v>11957767</v>
      </c>
      <c r="L26" s="294">
        <v>11646768</v>
      </c>
      <c r="M26" s="294">
        <f t="shared" si="2"/>
        <v>11802267.5</v>
      </c>
    </row>
    <row r="27" spans="1:13" ht="15" customHeight="1" x14ac:dyDescent="0.2">
      <c r="A27" s="81" t="s">
        <v>31</v>
      </c>
      <c r="B27" s="3" t="s">
        <v>134</v>
      </c>
      <c r="C27" s="131">
        <f>130390+8606979</f>
        <v>8737369</v>
      </c>
      <c r="D27" s="436">
        <v>-31987</v>
      </c>
      <c r="E27" s="90">
        <v>-1449912</v>
      </c>
      <c r="F27" s="419">
        <v>21028</v>
      </c>
      <c r="G27" s="129"/>
      <c r="H27" s="90"/>
      <c r="I27" s="90"/>
      <c r="J27" s="68">
        <f>SUM(D27:I27)</f>
        <v>-1460871</v>
      </c>
      <c r="K27" s="294">
        <f>+C27+J27</f>
        <v>7276498</v>
      </c>
      <c r="L27" s="294">
        <v>7638100</v>
      </c>
      <c r="M27" s="294">
        <f t="shared" si="2"/>
        <v>7457299</v>
      </c>
    </row>
    <row r="28" spans="1:13" ht="15" customHeight="1" x14ac:dyDescent="0.2">
      <c r="A28" s="81" t="s">
        <v>33</v>
      </c>
      <c r="B28" s="3" t="s">
        <v>130</v>
      </c>
      <c r="C28" s="131">
        <f>201665+2859614</f>
        <v>3061279</v>
      </c>
      <c r="D28" s="436">
        <v>63061</v>
      </c>
      <c r="E28" s="90">
        <v>-137740</v>
      </c>
      <c r="F28" s="418"/>
      <c r="G28" s="129"/>
      <c r="H28" s="90"/>
      <c r="I28" s="90"/>
      <c r="J28" s="68">
        <f>SUM(D28:I28)</f>
        <v>-74679</v>
      </c>
      <c r="K28" s="294">
        <f t="shared" si="3"/>
        <v>2986600</v>
      </c>
      <c r="L28" s="294">
        <v>2721000</v>
      </c>
      <c r="M28" s="294">
        <f t="shared" si="2"/>
        <v>2853800</v>
      </c>
    </row>
    <row r="29" spans="1:13" ht="15" customHeight="1" x14ac:dyDescent="0.2">
      <c r="A29" s="81" t="s">
        <v>35</v>
      </c>
      <c r="B29" s="3" t="s">
        <v>36</v>
      </c>
      <c r="C29" s="131">
        <f>26637+9574687</f>
        <v>9601324</v>
      </c>
      <c r="D29" s="436">
        <v>7285</v>
      </c>
      <c r="E29" s="90">
        <v>45430</v>
      </c>
      <c r="F29" s="419"/>
      <c r="G29" s="129"/>
      <c r="H29" s="90"/>
      <c r="I29" s="90"/>
      <c r="J29" s="68">
        <f t="shared" si="4"/>
        <v>52715</v>
      </c>
      <c r="K29" s="294">
        <f t="shared" si="3"/>
        <v>9654039</v>
      </c>
      <c r="L29" s="294">
        <v>9827063</v>
      </c>
      <c r="M29" s="294">
        <f t="shared" si="2"/>
        <v>9740551</v>
      </c>
    </row>
    <row r="30" spans="1:13" ht="15" customHeight="1" x14ac:dyDescent="0.2">
      <c r="A30" s="81" t="s">
        <v>37</v>
      </c>
      <c r="B30" s="3" t="s">
        <v>131</v>
      </c>
      <c r="C30" s="131">
        <f>337623+6867988</f>
        <v>7205611</v>
      </c>
      <c r="D30" s="436">
        <v>66223</v>
      </c>
      <c r="E30" s="90">
        <v>152165</v>
      </c>
      <c r="F30" s="420">
        <f>11992+172+(77257/2)</f>
        <v>50792.5</v>
      </c>
      <c r="G30" s="129"/>
      <c r="H30" s="90"/>
      <c r="I30" s="90"/>
      <c r="J30" s="68">
        <f t="shared" si="4"/>
        <v>269180.5</v>
      </c>
      <c r="K30" s="294">
        <f t="shared" si="3"/>
        <v>7474791.5</v>
      </c>
      <c r="L30" s="294">
        <v>7186892</v>
      </c>
      <c r="M30" s="294">
        <f t="shared" si="2"/>
        <v>7330841.75</v>
      </c>
    </row>
    <row r="31" spans="1:13" ht="15" customHeight="1" x14ac:dyDescent="0.2">
      <c r="A31" s="81" t="s">
        <v>39</v>
      </c>
      <c r="B31" s="3" t="s">
        <v>135</v>
      </c>
      <c r="C31" s="131">
        <f>124574+11541918</f>
        <v>11666492</v>
      </c>
      <c r="D31" s="436">
        <v>-10005</v>
      </c>
      <c r="E31" s="90">
        <v>116331</v>
      </c>
      <c r="F31" s="164"/>
      <c r="G31" s="129"/>
      <c r="H31" s="90"/>
      <c r="I31" s="90"/>
      <c r="J31" s="68">
        <f t="shared" si="4"/>
        <v>106326</v>
      </c>
      <c r="K31" s="294">
        <f t="shared" si="3"/>
        <v>11772818</v>
      </c>
      <c r="L31" s="294">
        <v>12059192</v>
      </c>
      <c r="M31" s="294">
        <f t="shared" si="2"/>
        <v>11916005</v>
      </c>
    </row>
    <row r="32" spans="1:13" ht="15" customHeight="1" x14ac:dyDescent="0.2">
      <c r="A32" s="81" t="s">
        <v>46</v>
      </c>
      <c r="B32" s="3" t="s">
        <v>70</v>
      </c>
      <c r="C32" s="131">
        <f>71739+13095079</f>
        <v>13166818</v>
      </c>
      <c r="D32" s="436">
        <v>21410</v>
      </c>
      <c r="E32" s="90">
        <v>-87007</v>
      </c>
      <c r="F32" s="420"/>
      <c r="G32" s="129"/>
      <c r="H32" s="129"/>
      <c r="I32" s="90"/>
      <c r="J32" s="68">
        <f t="shared" si="4"/>
        <v>-65597</v>
      </c>
      <c r="K32" s="294">
        <f t="shared" si="3"/>
        <v>13101221</v>
      </c>
      <c r="L32" s="294">
        <v>13373949</v>
      </c>
      <c r="M32" s="294">
        <f t="shared" si="2"/>
        <v>13237585</v>
      </c>
    </row>
    <row r="33" spans="1:13" ht="15" customHeight="1" x14ac:dyDescent="0.2">
      <c r="A33" s="81" t="s">
        <v>41</v>
      </c>
      <c r="B33" s="3" t="s">
        <v>117</v>
      </c>
      <c r="C33" s="131">
        <f>53991+9587906</f>
        <v>9641897</v>
      </c>
      <c r="D33" s="436">
        <v>3623</v>
      </c>
      <c r="E33" s="90">
        <v>-700284</v>
      </c>
      <c r="F33" s="419">
        <v>105630</v>
      </c>
      <c r="G33" s="129"/>
      <c r="H33" s="90"/>
      <c r="I33" s="90"/>
      <c r="J33" s="68">
        <f t="shared" si="4"/>
        <v>-591031</v>
      </c>
      <c r="K33" s="294">
        <f t="shared" si="3"/>
        <v>9050866</v>
      </c>
      <c r="L33" s="294">
        <v>8947438</v>
      </c>
      <c r="M33" s="294">
        <f t="shared" si="2"/>
        <v>8999152</v>
      </c>
    </row>
    <row r="34" spans="1:13" ht="15" customHeight="1" x14ac:dyDescent="0.2">
      <c r="A34" s="81" t="s">
        <v>42</v>
      </c>
      <c r="B34" s="3" t="s">
        <v>69</v>
      </c>
      <c r="C34" s="131">
        <f>1446376+3492690+3898831+1519941</f>
        <v>10357838</v>
      </c>
      <c r="D34" s="436">
        <v>115190</v>
      </c>
      <c r="E34" s="90">
        <v>-59226</v>
      </c>
      <c r="F34" s="420"/>
      <c r="G34" s="186">
        <v>308528</v>
      </c>
      <c r="H34" s="186">
        <v>-113362</v>
      </c>
      <c r="I34" s="186">
        <v>6671</v>
      </c>
      <c r="J34" s="68">
        <f t="shared" si="4"/>
        <v>257801</v>
      </c>
      <c r="K34" s="294">
        <f>+C34+J34</f>
        <v>10615639</v>
      </c>
      <c r="L34" s="294">
        <v>10067562</v>
      </c>
      <c r="M34" s="294">
        <f t="shared" si="2"/>
        <v>10341600.5</v>
      </c>
    </row>
    <row r="35" spans="1:13" ht="15" customHeight="1" x14ac:dyDescent="0.2">
      <c r="A35" s="81" t="s">
        <v>43</v>
      </c>
      <c r="B35" s="3" t="s">
        <v>44</v>
      </c>
      <c r="C35" s="131">
        <f>940937+14703447+14693839+6706079+478750</f>
        <v>37523052</v>
      </c>
      <c r="D35" s="436">
        <v>-184771</v>
      </c>
      <c r="E35" s="90">
        <v>-3532245</v>
      </c>
      <c r="F35" s="418"/>
      <c r="G35" s="186">
        <v>1205651</v>
      </c>
      <c r="H35" s="186">
        <v>-1334759</v>
      </c>
      <c r="I35" s="186">
        <v>-225906</v>
      </c>
      <c r="J35" s="68">
        <f t="shared" si="4"/>
        <v>-4072030</v>
      </c>
      <c r="K35" s="294">
        <f t="shared" si="3"/>
        <v>33451022</v>
      </c>
      <c r="L35" s="294">
        <v>33996960</v>
      </c>
      <c r="M35" s="294">
        <f t="shared" si="2"/>
        <v>33723991</v>
      </c>
    </row>
    <row r="36" spans="1:13" ht="15" customHeight="1" x14ac:dyDescent="0.2">
      <c r="A36" s="81" t="s">
        <v>45</v>
      </c>
      <c r="B36" s="3" t="s">
        <v>136</v>
      </c>
      <c r="C36" s="131">
        <f>61621+9981266</f>
        <v>10042887</v>
      </c>
      <c r="D36" s="436">
        <v>-19566</v>
      </c>
      <c r="E36" s="90">
        <v>336902</v>
      </c>
      <c r="F36" s="418"/>
      <c r="G36" s="129"/>
      <c r="H36" s="90"/>
      <c r="I36" s="90"/>
      <c r="J36" s="68">
        <f t="shared" si="4"/>
        <v>317336</v>
      </c>
      <c r="K36" s="294">
        <f t="shared" si="3"/>
        <v>10360223</v>
      </c>
      <c r="L36" s="294">
        <v>10449842</v>
      </c>
      <c r="M36" s="294">
        <f t="shared" si="2"/>
        <v>10405032.5</v>
      </c>
    </row>
    <row r="37" spans="1:13" ht="15" customHeight="1" x14ac:dyDescent="0.2">
      <c r="A37" s="81" t="s">
        <v>47</v>
      </c>
      <c r="B37" s="3" t="s">
        <v>48</v>
      </c>
      <c r="C37" s="131">
        <f>8433958+12719862+3355144+604649</f>
        <v>25113613</v>
      </c>
      <c r="D37" s="436"/>
      <c r="E37" s="90">
        <v>332184</v>
      </c>
      <c r="F37" s="418"/>
      <c r="G37" s="186">
        <v>658090</v>
      </c>
      <c r="H37" s="186">
        <v>-382169</v>
      </c>
      <c r="I37" s="186">
        <f>-88420-32498</f>
        <v>-120918</v>
      </c>
      <c r="J37" s="68">
        <f t="shared" si="4"/>
        <v>487187</v>
      </c>
      <c r="K37" s="294">
        <f t="shared" si="3"/>
        <v>25600800</v>
      </c>
      <c r="L37" s="294">
        <v>25194976</v>
      </c>
      <c r="M37" s="294">
        <f t="shared" si="2"/>
        <v>25397888</v>
      </c>
    </row>
    <row r="39" spans="1:13" ht="15" customHeight="1" x14ac:dyDescent="0.2">
      <c r="B39" s="64" t="s">
        <v>49</v>
      </c>
      <c r="C39" s="55">
        <f t="shared" ref="C39:M39" si="6">SUM(C8:C38)</f>
        <v>427032672</v>
      </c>
      <c r="D39" s="55">
        <f t="shared" si="6"/>
        <v>-296167</v>
      </c>
      <c r="E39" s="55">
        <f t="shared" si="6"/>
        <v>-4186773</v>
      </c>
      <c r="F39" s="55">
        <f t="shared" si="6"/>
        <v>477328.5</v>
      </c>
      <c r="G39" s="55">
        <f t="shared" si="6"/>
        <v>4195423</v>
      </c>
      <c r="H39" s="55">
        <f t="shared" si="6"/>
        <v>-513865</v>
      </c>
      <c r="I39" s="55">
        <f t="shared" si="6"/>
        <v>-141078</v>
      </c>
      <c r="J39" s="70">
        <f t="shared" si="6"/>
        <v>-465131.5</v>
      </c>
      <c r="K39" s="52">
        <f t="shared" si="6"/>
        <v>426567540.5</v>
      </c>
      <c r="L39" s="52">
        <f t="shared" si="6"/>
        <v>417530765</v>
      </c>
      <c r="M39" s="52">
        <f t="shared" si="6"/>
        <v>422049152.75</v>
      </c>
    </row>
    <row r="40" spans="1:13" ht="12" customHeight="1" x14ac:dyDescent="0.2">
      <c r="C40" s="55"/>
      <c r="K40" s="52"/>
      <c r="L40" s="52"/>
      <c r="M40" s="52"/>
    </row>
    <row r="41" spans="1:13" ht="12" customHeight="1" x14ac:dyDescent="0.2">
      <c r="A41" s="16" t="s">
        <v>314</v>
      </c>
    </row>
    <row r="42" spans="1:13" ht="12" customHeight="1" x14ac:dyDescent="0.2">
      <c r="A42" s="83" t="str">
        <f>'FY2015 Detail'!B40</f>
        <v>s:\finance\bargain\FY24 allocation\Summary of FY2024 Institutional Allocation Draft</v>
      </c>
      <c r="E42" s="187"/>
      <c r="F42" s="187"/>
      <c r="G42" s="187"/>
      <c r="H42" s="187"/>
    </row>
    <row r="43" spans="1:13" ht="12" customHeight="1" x14ac:dyDescent="0.2">
      <c r="A43" s="83"/>
      <c r="E43" s="187"/>
      <c r="F43" s="187"/>
      <c r="G43" s="187"/>
      <c r="H43" s="187"/>
    </row>
    <row r="44" spans="1:13" ht="15" customHeight="1" x14ac:dyDescent="0.2">
      <c r="C44" s="52"/>
      <c r="E44" s="52"/>
      <c r="H44" s="188"/>
      <c r="K44" s="52"/>
      <c r="L44" s="52"/>
      <c r="M44" s="294"/>
    </row>
    <row r="45" spans="1:13" ht="15" customHeight="1" x14ac:dyDescent="0.2">
      <c r="C45" s="57">
        <f>25262051+2017362+79740102+310481284+9531873</f>
        <v>427032672</v>
      </c>
    </row>
    <row r="47" spans="1:13" ht="15" customHeight="1" x14ac:dyDescent="0.2">
      <c r="E47" s="189"/>
      <c r="F47" s="189"/>
      <c r="G47" s="189"/>
    </row>
    <row r="49" spans="8:8" ht="15" customHeight="1" x14ac:dyDescent="0.2">
      <c r="H49" s="189"/>
    </row>
  </sheetData>
  <phoneticPr fontId="11" type="noConversion"/>
  <pageMargins left="0.31" right="0.13" top="0.56000000000000005" bottom="0.24" header="0.5" footer="0.21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44"/>
  <sheetViews>
    <sheetView zoomScale="80" workbookViewId="0">
      <selection activeCell="G25" sqref="G25"/>
    </sheetView>
  </sheetViews>
  <sheetFormatPr defaultColWidth="9.140625" defaultRowHeight="15" customHeight="1" x14ac:dyDescent="0.2"/>
  <cols>
    <col min="1" max="1" width="6.28515625" style="54" customWidth="1"/>
    <col min="2" max="2" width="32.28515625" style="54" customWidth="1"/>
    <col min="3" max="3" width="22.85546875" style="54" customWidth="1"/>
    <col min="4" max="4" width="17.42578125" style="54" customWidth="1"/>
    <col min="5" max="5" width="23.85546875" style="54" customWidth="1"/>
    <col min="6" max="6" width="10.28515625" style="52" customWidth="1"/>
    <col min="7" max="7" width="24.7109375" style="102" customWidth="1"/>
    <col min="8" max="16384" width="9.140625" style="54"/>
  </cols>
  <sheetData>
    <row r="1" spans="1:9" ht="15" customHeight="1" x14ac:dyDescent="0.25">
      <c r="A1" s="104" t="s">
        <v>72</v>
      </c>
      <c r="G1" s="428" t="s">
        <v>278</v>
      </c>
    </row>
    <row r="2" spans="1:9" ht="15" customHeight="1" x14ac:dyDescent="0.2">
      <c r="A2" s="85" t="s">
        <v>87</v>
      </c>
    </row>
    <row r="3" spans="1:9" ht="15" customHeight="1" x14ac:dyDescent="0.2">
      <c r="A3" s="85" t="s">
        <v>315</v>
      </c>
      <c r="I3" s="85"/>
    </row>
    <row r="4" spans="1:9" ht="15" customHeight="1" x14ac:dyDescent="0.2">
      <c r="A4" s="85" t="s">
        <v>175</v>
      </c>
      <c r="E4" s="101" t="s">
        <v>116</v>
      </c>
      <c r="G4" s="138" t="s">
        <v>88</v>
      </c>
    </row>
    <row r="5" spans="1:9" s="101" customFormat="1" ht="15" customHeight="1" x14ac:dyDescent="0.2">
      <c r="C5" s="101" t="s">
        <v>79</v>
      </c>
      <c r="D5" s="101" t="s">
        <v>74</v>
      </c>
      <c r="E5" s="101" t="s">
        <v>75</v>
      </c>
      <c r="F5" s="139" t="s">
        <v>76</v>
      </c>
      <c r="G5" s="138" t="s">
        <v>77</v>
      </c>
    </row>
    <row r="6" spans="1:9" ht="42" customHeight="1" x14ac:dyDescent="0.2">
      <c r="A6" s="140" t="s">
        <v>0</v>
      </c>
      <c r="B6" s="140" t="s">
        <v>1</v>
      </c>
      <c r="C6" s="141" t="s">
        <v>317</v>
      </c>
      <c r="D6" s="142" t="s">
        <v>119</v>
      </c>
      <c r="E6" s="141" t="s">
        <v>318</v>
      </c>
      <c r="F6" s="140" t="s">
        <v>319</v>
      </c>
      <c r="G6" s="143" t="s">
        <v>89</v>
      </c>
    </row>
    <row r="7" spans="1:9" ht="15" customHeight="1" x14ac:dyDescent="0.2">
      <c r="A7" s="144"/>
      <c r="B7" s="144"/>
      <c r="C7" s="145"/>
      <c r="D7" s="146"/>
      <c r="E7" s="146"/>
      <c r="F7" s="147"/>
    </row>
    <row r="8" spans="1:9" ht="15" customHeight="1" x14ac:dyDescent="0.2">
      <c r="A8" s="10" t="s">
        <v>2</v>
      </c>
      <c r="B8" s="3" t="s">
        <v>128</v>
      </c>
      <c r="C8" s="148">
        <v>2232315.37</v>
      </c>
      <c r="D8" s="149">
        <f>'Revenue Offset'!G8</f>
        <v>0.42994600299063729</v>
      </c>
      <c r="E8" s="150">
        <f t="shared" ref="E8:E13" si="0">C8*(1-D8)</f>
        <v>1272540.2992539345</v>
      </c>
      <c r="F8" s="53">
        <f>Summary!D6</f>
        <v>1696</v>
      </c>
      <c r="G8" s="462">
        <f>E8/F8</f>
        <v>750.31857267331043</v>
      </c>
      <c r="H8" s="156"/>
      <c r="I8" s="55"/>
    </row>
    <row r="9" spans="1:9" ht="15" customHeight="1" x14ac:dyDescent="0.2">
      <c r="A9" s="10" t="s">
        <v>4</v>
      </c>
      <c r="B9" s="3" t="s">
        <v>124</v>
      </c>
      <c r="C9" s="148">
        <v>7978064.9800000004</v>
      </c>
      <c r="D9" s="149">
        <f>'Revenue Offset'!G9</f>
        <v>0.46785978356806973</v>
      </c>
      <c r="E9" s="150">
        <f>C9*(1-D9)</f>
        <v>4245449.2251652032</v>
      </c>
      <c r="F9" s="53">
        <f>Summary!D7</f>
        <v>5861</v>
      </c>
      <c r="G9" s="462">
        <f t="shared" ref="G9:G37" si="1">E9/F9</f>
        <v>724.35577975860826</v>
      </c>
      <c r="H9" s="156"/>
      <c r="I9" s="55"/>
    </row>
    <row r="10" spans="1:9" ht="15" customHeight="1" x14ac:dyDescent="0.2">
      <c r="A10" s="10" t="s">
        <v>5</v>
      </c>
      <c r="B10" s="3" t="s">
        <v>113</v>
      </c>
      <c r="C10" s="171">
        <v>8155647.9100000001</v>
      </c>
      <c r="D10" s="149">
        <f>'Revenue Offset'!G10</f>
        <v>0.56619047727320571</v>
      </c>
      <c r="E10" s="150">
        <f t="shared" si="0"/>
        <v>3537997.7273648772</v>
      </c>
      <c r="F10" s="53">
        <f>Summary!D8</f>
        <v>3963</v>
      </c>
      <c r="G10" s="462">
        <f t="shared" si="1"/>
        <v>892.75743814405178</v>
      </c>
      <c r="H10" s="444"/>
      <c r="I10" s="55"/>
    </row>
    <row r="11" spans="1:9" ht="15" customHeight="1" x14ac:dyDescent="0.2">
      <c r="A11" s="10" t="s">
        <v>6</v>
      </c>
      <c r="B11" s="3" t="s">
        <v>7</v>
      </c>
      <c r="C11" s="171">
        <v>3622378.41</v>
      </c>
      <c r="D11" s="149">
        <f>'Revenue Offset'!G11</f>
        <v>0.42283932087747</v>
      </c>
      <c r="E11" s="150">
        <f t="shared" si="0"/>
        <v>2090694.3831543904</v>
      </c>
      <c r="F11" s="53">
        <f>Summary!D9</f>
        <v>2464</v>
      </c>
      <c r="G11" s="462">
        <f t="shared" si="1"/>
        <v>848.49609705941168</v>
      </c>
      <c r="H11" s="444"/>
      <c r="I11" s="55"/>
    </row>
    <row r="12" spans="1:9" ht="15" customHeight="1" x14ac:dyDescent="0.2">
      <c r="A12" s="10" t="s">
        <v>8</v>
      </c>
      <c r="B12" s="3" t="s">
        <v>9</v>
      </c>
      <c r="C12" s="148">
        <v>6328797.5</v>
      </c>
      <c r="D12" s="149">
        <f>'Revenue Offset'!G12</f>
        <v>0.48062341301981409</v>
      </c>
      <c r="E12" s="150">
        <f t="shared" si="0"/>
        <v>3287029.2452387325</v>
      </c>
      <c r="F12" s="53">
        <f>Summary!D10</f>
        <v>5140</v>
      </c>
      <c r="G12" s="462">
        <f t="shared" si="1"/>
        <v>639.49985315928643</v>
      </c>
      <c r="H12" s="444"/>
      <c r="I12" s="55"/>
    </row>
    <row r="13" spans="1:9" ht="15" customHeight="1" x14ac:dyDescent="0.2">
      <c r="A13" s="10" t="s">
        <v>10</v>
      </c>
      <c r="B13" s="3" t="s">
        <v>146</v>
      </c>
      <c r="C13" s="148">
        <v>7016561.1299999999</v>
      </c>
      <c r="D13" s="149">
        <f>'Revenue Offset'!G13</f>
        <v>0.43171641281087125</v>
      </c>
      <c r="E13" s="150">
        <f t="shared" si="0"/>
        <v>3987396.5286882068</v>
      </c>
      <c r="F13" s="53">
        <f>Summary!D11</f>
        <v>4159</v>
      </c>
      <c r="G13" s="462">
        <f t="shared" si="1"/>
        <v>958.73924709983328</v>
      </c>
      <c r="H13" s="444"/>
      <c r="I13" s="55"/>
    </row>
    <row r="14" spans="1:9" ht="15" customHeight="1" x14ac:dyDescent="0.2">
      <c r="A14" s="10" t="s">
        <v>12</v>
      </c>
      <c r="B14" s="3" t="s">
        <v>13</v>
      </c>
      <c r="C14" s="148">
        <v>1351517.81</v>
      </c>
      <c r="D14" s="149">
        <f>'Revenue Offset'!G14</f>
        <v>0.29974574275056504</v>
      </c>
      <c r="E14" s="150">
        <f t="shared" ref="E14:E37" si="2">C14*(1-D14)</f>
        <v>946406.10020093306</v>
      </c>
      <c r="F14" s="53">
        <f>Summary!D12</f>
        <v>706</v>
      </c>
      <c r="G14" s="462">
        <f t="shared" si="1"/>
        <v>1340.5185555254009</v>
      </c>
      <c r="H14" s="444"/>
      <c r="I14" s="55"/>
    </row>
    <row r="15" spans="1:9" ht="15" customHeight="1" x14ac:dyDescent="0.2">
      <c r="A15" s="10" t="s">
        <v>14</v>
      </c>
      <c r="B15" s="3" t="s">
        <v>139</v>
      </c>
      <c r="C15" s="148">
        <v>4491719.92</v>
      </c>
      <c r="D15" s="149">
        <f>'Revenue Offset'!G15</f>
        <v>0.38889350360047492</v>
      </c>
      <c r="E15" s="150">
        <f t="shared" si="2"/>
        <v>2744919.223119155</v>
      </c>
      <c r="F15" s="53">
        <f>Summary!D13</f>
        <v>2625</v>
      </c>
      <c r="G15" s="462">
        <f t="shared" si="1"/>
        <v>1045.683513569202</v>
      </c>
      <c r="H15" s="444"/>
      <c r="I15" s="55"/>
    </row>
    <row r="16" spans="1:9" ht="15" customHeight="1" x14ac:dyDescent="0.2">
      <c r="A16" s="10" t="s">
        <v>16</v>
      </c>
      <c r="B16" s="3" t="s">
        <v>17</v>
      </c>
      <c r="C16" s="148">
        <v>3174972.03</v>
      </c>
      <c r="D16" s="149">
        <f>'Revenue Offset'!G16</f>
        <v>0.41972966468364403</v>
      </c>
      <c r="E16" s="150">
        <f t="shared" si="2"/>
        <v>1842342.0844681512</v>
      </c>
      <c r="F16" s="53">
        <f>Summary!D14</f>
        <v>2551</v>
      </c>
      <c r="G16" s="462">
        <f t="shared" si="1"/>
        <v>722.20387474251322</v>
      </c>
      <c r="H16" s="444"/>
      <c r="I16" s="55"/>
    </row>
    <row r="17" spans="1:9" ht="15" customHeight="1" x14ac:dyDescent="0.2">
      <c r="A17" s="10" t="s">
        <v>18</v>
      </c>
      <c r="B17" s="3" t="s">
        <v>140</v>
      </c>
      <c r="C17" s="148">
        <v>23614324.219999999</v>
      </c>
      <c r="D17" s="149">
        <f>'Revenue Offset'!G17</f>
        <v>0.5815153753931428</v>
      </c>
      <c r="E17" s="150">
        <f t="shared" si="2"/>
        <v>9882231.6065513156</v>
      </c>
      <c r="F17" s="53">
        <f>Summary!D15</f>
        <v>5283</v>
      </c>
      <c r="G17" s="462">
        <f t="shared" si="1"/>
        <v>1870.5719489970311</v>
      </c>
      <c r="H17" s="444"/>
      <c r="I17" s="55"/>
    </row>
    <row r="18" spans="1:9" ht="14.25" customHeight="1" x14ac:dyDescent="0.2">
      <c r="A18" s="10" t="s">
        <v>19</v>
      </c>
      <c r="B18" s="3" t="s">
        <v>129</v>
      </c>
      <c r="C18" s="171">
        <v>6936504.8300000001</v>
      </c>
      <c r="D18" s="149">
        <f>'Revenue Offset'!G18</f>
        <v>0.45444345651098822</v>
      </c>
      <c r="E18" s="150">
        <f t="shared" si="2"/>
        <v>3784255.5989496349</v>
      </c>
      <c r="F18" s="53">
        <f>Summary!D16</f>
        <v>3819</v>
      </c>
      <c r="G18" s="462">
        <f t="shared" si="1"/>
        <v>990.90222543850086</v>
      </c>
      <c r="H18" s="444"/>
      <c r="I18" s="55"/>
    </row>
    <row r="19" spans="1:9" ht="15" customHeight="1" x14ac:dyDescent="0.2">
      <c r="A19" s="37" t="s">
        <v>118</v>
      </c>
      <c r="B19" s="3" t="s">
        <v>303</v>
      </c>
      <c r="C19" s="171">
        <v>3278811.35</v>
      </c>
      <c r="D19" s="149">
        <f>'Revenue Offset'!G19</f>
        <v>0.40402274996031112</v>
      </c>
      <c r="E19" s="150">
        <f>C19*(1-D19)</f>
        <v>1954096.9717719201</v>
      </c>
      <c r="F19" s="53">
        <f>Summary!D17</f>
        <v>2635</v>
      </c>
      <c r="G19" s="462">
        <f>E19/F19</f>
        <v>741.59277866107027</v>
      </c>
      <c r="H19" s="444"/>
      <c r="I19" s="55"/>
    </row>
    <row r="20" spans="1:9" ht="15" customHeight="1" x14ac:dyDescent="0.2">
      <c r="A20" s="10" t="s">
        <v>21</v>
      </c>
      <c r="B20" s="119" t="s">
        <v>176</v>
      </c>
      <c r="C20" s="148">
        <v>2085497.59</v>
      </c>
      <c r="D20" s="149">
        <f>'Revenue Offset'!G20</f>
        <v>0.3849305676995205</v>
      </c>
      <c r="E20" s="150">
        <f t="shared" si="2"/>
        <v>1282725.8187453181</v>
      </c>
      <c r="F20" s="53">
        <f>Summary!D18</f>
        <v>1069</v>
      </c>
      <c r="G20" s="462">
        <f t="shared" si="1"/>
        <v>1199.9306068712049</v>
      </c>
      <c r="H20" s="444"/>
      <c r="I20" s="55"/>
    </row>
    <row r="21" spans="1:9" ht="15" customHeight="1" x14ac:dyDescent="0.2">
      <c r="A21" s="37" t="s">
        <v>109</v>
      </c>
      <c r="B21" s="3" t="s">
        <v>141</v>
      </c>
      <c r="C21" s="148">
        <v>4628431.33</v>
      </c>
      <c r="D21" s="149">
        <f>'Revenue Offset'!G21</f>
        <v>0.43210891645511013</v>
      </c>
      <c r="E21" s="150">
        <f t="shared" si="2"/>
        <v>2628444.8831068156</v>
      </c>
      <c r="F21" s="53">
        <f>Summary!D19</f>
        <v>3204</v>
      </c>
      <c r="G21" s="462">
        <f t="shared" si="1"/>
        <v>820.36357150649678</v>
      </c>
      <c r="H21" s="444"/>
      <c r="I21" s="55"/>
    </row>
    <row r="22" spans="1:9" ht="15" customHeight="1" x14ac:dyDescent="0.2">
      <c r="A22" s="10" t="s">
        <v>26</v>
      </c>
      <c r="B22" s="3" t="s">
        <v>62</v>
      </c>
      <c r="C22" s="148">
        <v>13655294.119999999</v>
      </c>
      <c r="D22" s="149">
        <f>'Revenue Offset'!G22</f>
        <v>0.58500105666895075</v>
      </c>
      <c r="E22" s="150">
        <f t="shared" si="2"/>
        <v>5666932.63067469</v>
      </c>
      <c r="F22" s="53">
        <f>Summary!D20</f>
        <v>4495</v>
      </c>
      <c r="G22" s="462">
        <f t="shared" si="1"/>
        <v>1260.7191614404205</v>
      </c>
      <c r="H22" s="444"/>
      <c r="I22" s="55"/>
    </row>
    <row r="23" spans="1:9" ht="15" customHeight="1" x14ac:dyDescent="0.2">
      <c r="A23" s="10" t="s">
        <v>22</v>
      </c>
      <c r="B23" s="3" t="s">
        <v>23</v>
      </c>
      <c r="C23" s="148">
        <v>33872183.439999998</v>
      </c>
      <c r="D23" s="149">
        <f>'Revenue Offset'!G23</f>
        <v>0.66370517721450217</v>
      </c>
      <c r="E23" s="150">
        <f t="shared" si="2"/>
        <v>11391039.927312674</v>
      </c>
      <c r="F23" s="53">
        <f>Summary!D21</f>
        <v>13068</v>
      </c>
      <c r="G23" s="462">
        <f t="shared" si="1"/>
        <v>871.67431338480822</v>
      </c>
      <c r="H23" s="444"/>
      <c r="I23" s="55"/>
    </row>
    <row r="24" spans="1:9" ht="15" customHeight="1" x14ac:dyDescent="0.2">
      <c r="A24" s="10" t="s">
        <v>24</v>
      </c>
      <c r="B24" s="3" t="s">
        <v>137</v>
      </c>
      <c r="C24" s="148">
        <v>2384884.7599999998</v>
      </c>
      <c r="D24" s="149">
        <f>'Revenue Offset'!G24</f>
        <v>0.41265333301265078</v>
      </c>
      <c r="E24" s="150">
        <f t="shared" si="2"/>
        <v>1400754.1149349243</v>
      </c>
      <c r="F24" s="53">
        <f>Summary!D22</f>
        <v>1889</v>
      </c>
      <c r="G24" s="462">
        <f t="shared" si="1"/>
        <v>741.53208837211446</v>
      </c>
      <c r="H24" s="444"/>
      <c r="I24" s="55"/>
    </row>
    <row r="25" spans="1:9" ht="15" customHeight="1" x14ac:dyDescent="0.2">
      <c r="A25" s="10" t="s">
        <v>27</v>
      </c>
      <c r="B25" s="3" t="s">
        <v>132</v>
      </c>
      <c r="C25" s="148">
        <v>12169078.51</v>
      </c>
      <c r="D25" s="149">
        <f>'Revenue Offset'!G25</f>
        <v>0.51667289381447168</v>
      </c>
      <c r="E25" s="150">
        <f t="shared" si="2"/>
        <v>5881645.5011828011</v>
      </c>
      <c r="F25" s="53">
        <f>Summary!D23</f>
        <v>6012</v>
      </c>
      <c r="G25" s="462">
        <f t="shared" si="1"/>
        <v>978.31761496719912</v>
      </c>
      <c r="H25" s="444"/>
      <c r="I25" s="55"/>
    </row>
    <row r="26" spans="1:9" ht="15" customHeight="1" x14ac:dyDescent="0.2">
      <c r="A26" s="10" t="s">
        <v>29</v>
      </c>
      <c r="B26" s="3" t="s">
        <v>133</v>
      </c>
      <c r="C26" s="148">
        <v>7295957.7199999997</v>
      </c>
      <c r="D26" s="149">
        <f>'Revenue Offset'!G26</f>
        <v>0.45829670207333539</v>
      </c>
      <c r="E26" s="150">
        <f t="shared" si="2"/>
        <v>3952244.3584575085</v>
      </c>
      <c r="F26" s="53">
        <f>Summary!D24</f>
        <v>3089</v>
      </c>
      <c r="G26" s="462">
        <f t="shared" si="1"/>
        <v>1279.4575456320842</v>
      </c>
      <c r="H26" s="444"/>
      <c r="I26" s="55"/>
    </row>
    <row r="27" spans="1:9" ht="15" customHeight="1" x14ac:dyDescent="0.2">
      <c r="A27" s="10" t="s">
        <v>31</v>
      </c>
      <c r="B27" s="3" t="s">
        <v>134</v>
      </c>
      <c r="C27" s="148">
        <v>3127769.64</v>
      </c>
      <c r="D27" s="149">
        <f>'Revenue Offset'!G27</f>
        <v>0.41468822390234633</v>
      </c>
      <c r="E27" s="150">
        <f t="shared" si="2"/>
        <v>1830720.4032127187</v>
      </c>
      <c r="F27" s="53">
        <f>Summary!D25</f>
        <v>1563</v>
      </c>
      <c r="G27" s="462">
        <f t="shared" si="1"/>
        <v>1171.2862464572736</v>
      </c>
      <c r="H27" s="444"/>
      <c r="I27" s="55"/>
    </row>
    <row r="28" spans="1:9" ht="15" customHeight="1" x14ac:dyDescent="0.2">
      <c r="A28" s="10" t="s">
        <v>33</v>
      </c>
      <c r="B28" s="3" t="s">
        <v>130</v>
      </c>
      <c r="C28" s="148">
        <v>898690.14</v>
      </c>
      <c r="D28" s="149">
        <f>'Revenue Offset'!G28</f>
        <v>0.36799515399523164</v>
      </c>
      <c r="E28" s="150">
        <f t="shared" si="2"/>
        <v>567976.52353670378</v>
      </c>
      <c r="F28" s="53">
        <f>Summary!D26</f>
        <v>765</v>
      </c>
      <c r="G28" s="462">
        <f t="shared" si="1"/>
        <v>742.45297194340367</v>
      </c>
      <c r="H28" s="444"/>
      <c r="I28" s="55"/>
    </row>
    <row r="29" spans="1:9" ht="15" customHeight="1" x14ac:dyDescent="0.2">
      <c r="A29" s="10" t="s">
        <v>35</v>
      </c>
      <c r="B29" s="3" t="s">
        <v>36</v>
      </c>
      <c r="C29" s="148">
        <v>2684661.92</v>
      </c>
      <c r="D29" s="149">
        <f>'Revenue Offset'!G29</f>
        <v>0.42956518155480178</v>
      </c>
      <c r="E29" s="150">
        <f>C29*(1-D29)</f>
        <v>1531424.634921937</v>
      </c>
      <c r="F29" s="53">
        <f>Summary!D27</f>
        <v>2155</v>
      </c>
      <c r="G29" s="462">
        <f t="shared" si="1"/>
        <v>710.63788163430957</v>
      </c>
      <c r="H29" s="444"/>
      <c r="I29" s="55"/>
    </row>
    <row r="30" spans="1:9" ht="15" customHeight="1" x14ac:dyDescent="0.2">
      <c r="A30" s="10" t="s">
        <v>37</v>
      </c>
      <c r="B30" s="3" t="s">
        <v>131</v>
      </c>
      <c r="C30" s="148">
        <v>2772460.17</v>
      </c>
      <c r="D30" s="149">
        <f>'Revenue Offset'!G30</f>
        <v>0.46809474264819967</v>
      </c>
      <c r="E30" s="150">
        <f>C30*(1-D30)</f>
        <v>1474686.1402214663</v>
      </c>
      <c r="F30" s="53">
        <f>Summary!D28</f>
        <v>1997</v>
      </c>
      <c r="G30" s="462">
        <f t="shared" si="1"/>
        <v>738.45074623007827</v>
      </c>
      <c r="H30" s="444"/>
      <c r="I30" s="55"/>
    </row>
    <row r="31" spans="1:9" ht="15" customHeight="1" x14ac:dyDescent="0.2">
      <c r="A31" s="10" t="s">
        <v>39</v>
      </c>
      <c r="B31" s="3" t="s">
        <v>135</v>
      </c>
      <c r="C31" s="148">
        <v>6242626.7400000002</v>
      </c>
      <c r="D31" s="149">
        <f>'Revenue Offset'!G31</f>
        <v>0.49449233670850162</v>
      </c>
      <c r="E31" s="150">
        <f t="shared" si="2"/>
        <v>3155695.6561384238</v>
      </c>
      <c r="F31" s="53">
        <f>Summary!D29</f>
        <v>3053</v>
      </c>
      <c r="G31" s="462">
        <f t="shared" si="1"/>
        <v>1033.6376207462902</v>
      </c>
      <c r="H31" s="444"/>
      <c r="I31" s="55"/>
    </row>
    <row r="32" spans="1:9" ht="15" customHeight="1" x14ac:dyDescent="0.2">
      <c r="A32" s="10" t="s">
        <v>46</v>
      </c>
      <c r="B32" s="3" t="s">
        <v>70</v>
      </c>
      <c r="C32" s="148">
        <v>4477982.5599999996</v>
      </c>
      <c r="D32" s="149">
        <f>'Revenue Offset'!G32</f>
        <v>0.4572878669125619</v>
      </c>
      <c r="E32" s="150">
        <f t="shared" si="2"/>
        <v>2430255.4670659462</v>
      </c>
      <c r="F32" s="53">
        <f>Summary!D30</f>
        <v>3394</v>
      </c>
      <c r="G32" s="462">
        <f t="shared" si="1"/>
        <v>716.04462789214676</v>
      </c>
      <c r="H32" s="444"/>
      <c r="I32" s="55"/>
    </row>
    <row r="33" spans="1:9" ht="15" customHeight="1" x14ac:dyDescent="0.2">
      <c r="A33" s="10" t="s">
        <v>41</v>
      </c>
      <c r="B33" s="3" t="s">
        <v>117</v>
      </c>
      <c r="C33" s="148">
        <v>3969700.72</v>
      </c>
      <c r="D33" s="149">
        <f>'Revenue Offset'!G33</f>
        <v>0.41091877982345221</v>
      </c>
      <c r="E33" s="150">
        <f>C33*(1-D33)</f>
        <v>2338476.1438733204</v>
      </c>
      <c r="F33" s="53">
        <f>Summary!D31</f>
        <v>1785</v>
      </c>
      <c r="G33" s="462">
        <f>E33/F33</f>
        <v>1310.070668836594</v>
      </c>
      <c r="H33" s="444"/>
      <c r="I33" s="55"/>
    </row>
    <row r="34" spans="1:9" ht="15" customHeight="1" x14ac:dyDescent="0.2">
      <c r="A34" s="10" t="s">
        <v>42</v>
      </c>
      <c r="B34" s="3" t="s">
        <v>69</v>
      </c>
      <c r="C34" s="148">
        <v>4905062.87</v>
      </c>
      <c r="D34" s="149">
        <f>'Revenue Offset'!G34</f>
        <v>0.52129850152811719</v>
      </c>
      <c r="E34" s="150">
        <f t="shared" si="2"/>
        <v>2348060.9459677944</v>
      </c>
      <c r="F34" s="53">
        <f>Summary!D32</f>
        <v>3366</v>
      </c>
      <c r="G34" s="462">
        <f t="shared" si="1"/>
        <v>697.58198038258899</v>
      </c>
      <c r="H34" s="444"/>
      <c r="I34" s="55"/>
    </row>
    <row r="35" spans="1:9" ht="15" customHeight="1" x14ac:dyDescent="0.2">
      <c r="A35" s="10" t="s">
        <v>43</v>
      </c>
      <c r="B35" s="3" t="s">
        <v>44</v>
      </c>
      <c r="C35" s="148">
        <v>21196674.52</v>
      </c>
      <c r="D35" s="149">
        <f>'Revenue Offset'!G35</f>
        <v>0.55849930289694605</v>
      </c>
      <c r="E35" s="150">
        <f t="shared" si="2"/>
        <v>9358346.5768465418</v>
      </c>
      <c r="F35" s="53">
        <f>Summary!D33</f>
        <v>7638</v>
      </c>
      <c r="G35" s="462">
        <f t="shared" si="1"/>
        <v>1225.2352156122731</v>
      </c>
      <c r="H35" s="444"/>
      <c r="I35" s="55"/>
    </row>
    <row r="36" spans="1:9" ht="15" customHeight="1" x14ac:dyDescent="0.2">
      <c r="A36" s="10" t="s">
        <v>45</v>
      </c>
      <c r="B36" s="3" t="s">
        <v>136</v>
      </c>
      <c r="C36" s="148">
        <v>3522182.13</v>
      </c>
      <c r="D36" s="149">
        <f>'Revenue Offset'!G36</f>
        <v>0.4780402595300664</v>
      </c>
      <c r="E36" s="150">
        <f t="shared" si="2"/>
        <v>1838437.270462638</v>
      </c>
      <c r="F36" s="53">
        <f>Summary!D34</f>
        <v>2568</v>
      </c>
      <c r="G36" s="462">
        <f t="shared" si="1"/>
        <v>715.90236388732012</v>
      </c>
      <c r="H36" s="444"/>
      <c r="I36" s="55"/>
    </row>
    <row r="37" spans="1:9" ht="15" customHeight="1" x14ac:dyDescent="0.2">
      <c r="A37" s="10" t="s">
        <v>47</v>
      </c>
      <c r="B37" s="3" t="s">
        <v>48</v>
      </c>
      <c r="C37" s="148">
        <v>14103654.91</v>
      </c>
      <c r="D37" s="149">
        <f>'Revenue Offset'!G37</f>
        <v>0.59061211016021042</v>
      </c>
      <c r="E37" s="150">
        <f t="shared" si="2"/>
        <v>5773865.5226334874</v>
      </c>
      <c r="F37" s="53">
        <f>Summary!D35</f>
        <v>6023</v>
      </c>
      <c r="G37" s="462">
        <f t="shared" si="1"/>
        <v>958.63614853619254</v>
      </c>
      <c r="H37" s="444"/>
      <c r="I37" s="55"/>
    </row>
    <row r="38" spans="1:9" ht="15" customHeight="1" x14ac:dyDescent="0.2">
      <c r="G38" s="444"/>
      <c r="H38" s="156"/>
    </row>
    <row r="39" spans="1:9" ht="15" customHeight="1" x14ac:dyDescent="0.2">
      <c r="B39" s="54" t="s">
        <v>49</v>
      </c>
      <c r="C39" s="52">
        <f>SUM(C8:C38)</f>
        <v>222174409.24999994</v>
      </c>
      <c r="D39" s="151">
        <f>'Revenue Offset'!G39</f>
        <v>0.51439411132700485</v>
      </c>
      <c r="E39" s="52">
        <f>SUM(E8:E38)</f>
        <v>104427091.51322213</v>
      </c>
      <c r="F39" s="52">
        <f>SUM(F8:F38)</f>
        <v>108035</v>
      </c>
      <c r="G39" s="444">
        <f>+E39/F39</f>
        <v>966.60426262990813</v>
      </c>
      <c r="H39" s="156"/>
    </row>
    <row r="40" spans="1:9" ht="12" customHeight="1" x14ac:dyDescent="0.2">
      <c r="C40" s="152"/>
    </row>
    <row r="41" spans="1:9" ht="15" customHeight="1" x14ac:dyDescent="0.2">
      <c r="A41" s="16" t="s">
        <v>314</v>
      </c>
      <c r="E41" s="153"/>
    </row>
    <row r="42" spans="1:9" ht="15" customHeight="1" x14ac:dyDescent="0.2">
      <c r="A42" s="127" t="str">
        <f>'FY2015 Detail'!B40</f>
        <v>s:\finance\bargain\FY24 allocation\Summary of FY2024 Institutional Allocation Draft</v>
      </c>
    </row>
    <row r="43" spans="1:9" ht="15" customHeight="1" x14ac:dyDescent="0.2">
      <c r="A43" s="127"/>
    </row>
    <row r="44" spans="1:9" ht="15" customHeight="1" x14ac:dyDescent="0.2">
      <c r="C44" s="55"/>
      <c r="D44" s="132"/>
      <c r="E44" s="55"/>
      <c r="F44" s="55"/>
    </row>
  </sheetData>
  <phoneticPr fontId="11" type="noConversion"/>
  <pageMargins left="0.75" right="0.4" top="0.64" bottom="0.28000000000000003" header="0.5" footer="0.24"/>
  <pageSetup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47"/>
  <sheetViews>
    <sheetView zoomScale="80" zoomScaleNormal="80" workbookViewId="0">
      <selection activeCell="L11" sqref="L11"/>
    </sheetView>
  </sheetViews>
  <sheetFormatPr defaultColWidth="9.140625" defaultRowHeight="12.75" x14ac:dyDescent="0.2"/>
  <cols>
    <col min="1" max="1" width="7.7109375" style="54" customWidth="1"/>
    <col min="2" max="2" width="30.7109375" style="155" customWidth="1"/>
    <col min="3" max="3" width="8.5703125" style="55" customWidth="1"/>
    <col min="4" max="4" width="12.7109375" style="55" customWidth="1"/>
    <col min="5" max="5" width="9.28515625" style="55" customWidth="1"/>
    <col min="6" max="6" width="12.7109375" style="55" bestFit="1" customWidth="1"/>
    <col min="7" max="7" width="11.42578125" style="55" customWidth="1"/>
    <col min="8" max="9" width="12" style="55" customWidth="1"/>
    <col min="10" max="10" width="16.140625" style="55" customWidth="1"/>
    <col min="11" max="11" width="12.28515625" style="55" customWidth="1"/>
    <col min="12" max="12" width="10.5703125" style="85" customWidth="1"/>
    <col min="13" max="13" width="14" style="156" customWidth="1"/>
    <col min="14" max="14" width="7.7109375" style="54" customWidth="1"/>
    <col min="15" max="15" width="30.7109375" style="155" customWidth="1"/>
    <col min="16" max="16" width="12.28515625" style="52" customWidth="1"/>
    <col min="17" max="18" width="16.42578125" style="85" customWidth="1"/>
    <col min="19" max="19" width="16.28515625" style="54" bestFit="1" customWidth="1"/>
    <col min="20" max="20" width="3.42578125" style="54" customWidth="1"/>
    <col min="21" max="16384" width="9.140625" style="54"/>
  </cols>
  <sheetData>
    <row r="1" spans="1:19" ht="15.75" x14ac:dyDescent="0.25">
      <c r="A1" s="154" t="s">
        <v>72</v>
      </c>
      <c r="H1" s="56"/>
      <c r="I1" s="477"/>
      <c r="J1" s="477"/>
      <c r="K1" s="477"/>
      <c r="M1" s="85"/>
      <c r="N1" s="154" t="s">
        <v>72</v>
      </c>
      <c r="R1" s="261"/>
      <c r="S1" s="85" t="s">
        <v>279</v>
      </c>
    </row>
    <row r="2" spans="1:19" x14ac:dyDescent="0.2">
      <c r="A2" s="106" t="s">
        <v>126</v>
      </c>
      <c r="H2" s="56"/>
      <c r="N2" s="106" t="s">
        <v>126</v>
      </c>
      <c r="R2" s="169"/>
    </row>
    <row r="3" spans="1:19" x14ac:dyDescent="0.2">
      <c r="A3" s="85" t="s">
        <v>322</v>
      </c>
      <c r="G3" s="444"/>
      <c r="K3" s="85" t="s">
        <v>279</v>
      </c>
      <c r="N3" s="85" t="s">
        <v>322</v>
      </c>
      <c r="R3" s="261"/>
    </row>
    <row r="4" spans="1:19" s="157" customFormat="1" ht="13.5" x14ac:dyDescent="0.25">
      <c r="A4" s="262" t="s">
        <v>160</v>
      </c>
      <c r="B4" s="158"/>
      <c r="N4" s="262" t="s">
        <v>161</v>
      </c>
      <c r="O4" s="158"/>
    </row>
    <row r="5" spans="1:19" s="263" customFormat="1" ht="12.75" customHeight="1" x14ac:dyDescent="0.2">
      <c r="B5" s="264"/>
      <c r="C5" s="159"/>
      <c r="D5" s="159"/>
      <c r="E5" s="159"/>
      <c r="F5" s="88" t="s">
        <v>97</v>
      </c>
      <c r="G5" s="159"/>
      <c r="H5" s="159"/>
      <c r="I5" s="159"/>
      <c r="J5" s="88" t="s">
        <v>162</v>
      </c>
      <c r="K5" s="88" t="s">
        <v>163</v>
      </c>
      <c r="L5" s="89"/>
      <c r="M5" s="160" t="s">
        <v>164</v>
      </c>
      <c r="O5" s="264"/>
      <c r="P5" s="160" t="s">
        <v>98</v>
      </c>
      <c r="Q5" s="89" t="s">
        <v>165</v>
      </c>
      <c r="R5" s="89"/>
    </row>
    <row r="6" spans="1:19" s="101" customFormat="1" x14ac:dyDescent="0.2">
      <c r="B6" s="89"/>
      <c r="C6" s="88" t="s">
        <v>79</v>
      </c>
      <c r="D6" s="88" t="s">
        <v>74</v>
      </c>
      <c r="E6" s="88" t="s">
        <v>75</v>
      </c>
      <c r="F6" s="88" t="s">
        <v>76</v>
      </c>
      <c r="G6" s="88" t="s">
        <v>77</v>
      </c>
      <c r="H6" s="88" t="s">
        <v>78</v>
      </c>
      <c r="I6" s="88" t="s">
        <v>81</v>
      </c>
      <c r="J6" s="88" t="s">
        <v>82</v>
      </c>
      <c r="K6" s="89" t="s">
        <v>111</v>
      </c>
      <c r="L6" s="89" t="s">
        <v>123</v>
      </c>
      <c r="M6" s="89" t="s">
        <v>99</v>
      </c>
      <c r="O6" s="89"/>
      <c r="P6" s="89" t="s">
        <v>166</v>
      </c>
      <c r="Q6" s="89" t="s">
        <v>167</v>
      </c>
      <c r="R6" s="89" t="s">
        <v>168</v>
      </c>
    </row>
    <row r="7" spans="1:19" s="161" customFormat="1" ht="76.5" x14ac:dyDescent="0.2">
      <c r="A7" s="265" t="s">
        <v>0</v>
      </c>
      <c r="B7" s="266" t="s">
        <v>1</v>
      </c>
      <c r="C7" s="267" t="s">
        <v>319</v>
      </c>
      <c r="D7" s="268" t="s">
        <v>169</v>
      </c>
      <c r="E7" s="268" t="s">
        <v>100</v>
      </c>
      <c r="F7" s="268" t="s">
        <v>101</v>
      </c>
      <c r="G7" s="430" t="s">
        <v>321</v>
      </c>
      <c r="H7" s="269" t="s">
        <v>170</v>
      </c>
      <c r="I7" s="269" t="s">
        <v>171</v>
      </c>
      <c r="J7" s="269" t="s">
        <v>172</v>
      </c>
      <c r="K7" s="242" t="s">
        <v>173</v>
      </c>
      <c r="L7" s="270" t="s">
        <v>119</v>
      </c>
      <c r="M7" s="242" t="s">
        <v>102</v>
      </c>
      <c r="N7" s="265" t="s">
        <v>0</v>
      </c>
      <c r="O7" s="266" t="s">
        <v>1</v>
      </c>
      <c r="P7" s="271" t="s">
        <v>103</v>
      </c>
      <c r="Q7" s="242" t="s">
        <v>310</v>
      </c>
      <c r="R7" s="242" t="s">
        <v>299</v>
      </c>
      <c r="S7" s="265" t="s">
        <v>174</v>
      </c>
    </row>
    <row r="8" spans="1:19" s="163" customFormat="1" x14ac:dyDescent="0.2">
      <c r="A8" s="54"/>
      <c r="B8" s="272"/>
      <c r="C8" s="273"/>
      <c r="D8" s="274"/>
      <c r="E8" s="274"/>
      <c r="F8" s="274"/>
      <c r="G8" s="431"/>
      <c r="H8" s="275"/>
      <c r="I8" s="275"/>
      <c r="J8" s="275"/>
      <c r="K8" s="276"/>
      <c r="L8" s="162"/>
      <c r="M8" s="276"/>
      <c r="N8" s="54"/>
      <c r="O8" s="272"/>
      <c r="P8" s="277"/>
      <c r="Q8" s="276"/>
      <c r="R8" s="162"/>
    </row>
    <row r="9" spans="1:19" x14ac:dyDescent="0.2">
      <c r="A9" s="278" t="s">
        <v>2</v>
      </c>
      <c r="B9" s="246" t="s">
        <v>128</v>
      </c>
      <c r="C9" s="279">
        <f>Summary!D6</f>
        <v>1696</v>
      </c>
      <c r="D9" s="280">
        <v>2353607</v>
      </c>
      <c r="E9" s="280">
        <v>2118</v>
      </c>
      <c r="F9" s="280">
        <f>+C9*E9</f>
        <v>3592128</v>
      </c>
      <c r="G9" s="432">
        <f>'Weighted differ concurrent'!L6</f>
        <v>3664.45</v>
      </c>
      <c r="H9" s="281">
        <v>1718297</v>
      </c>
      <c r="I9" s="281">
        <v>598</v>
      </c>
      <c r="J9" s="281">
        <f t="shared" ref="J9:J38" si="0">+G9*I9</f>
        <v>2191341.1</v>
      </c>
      <c r="K9" s="282">
        <f t="shared" ref="K9:K38" si="1">+H9+J9+D9+F9</f>
        <v>9855373.0999999996</v>
      </c>
      <c r="L9" s="283">
        <f>'Revenue Offset'!G8</f>
        <v>0.42994600299063729</v>
      </c>
      <c r="M9" s="284">
        <f t="shared" ref="M9:M38" si="2">K9*(1-L9)</f>
        <v>5618094.8276735544</v>
      </c>
      <c r="N9" s="278" t="s">
        <v>2</v>
      </c>
      <c r="O9" s="246" t="s">
        <v>128</v>
      </c>
      <c r="P9" s="285"/>
      <c r="Q9" s="284">
        <f t="shared" ref="Q9:Q15" si="3">+M9+P9</f>
        <v>5618094.8276735544</v>
      </c>
      <c r="R9" s="284">
        <v>4477308.8914244147</v>
      </c>
      <c r="S9" s="286">
        <f t="shared" ref="S9:S38" si="4">AVERAGE(Q9:R9)</f>
        <v>5047701.8595489841</v>
      </c>
    </row>
    <row r="10" spans="1:19" x14ac:dyDescent="0.2">
      <c r="A10" s="278" t="s">
        <v>4</v>
      </c>
      <c r="B10" s="246" t="s">
        <v>124</v>
      </c>
      <c r="C10" s="279">
        <f>Summary!D7</f>
        <v>5861</v>
      </c>
      <c r="D10" s="280">
        <v>2353607</v>
      </c>
      <c r="E10" s="280">
        <v>2118</v>
      </c>
      <c r="F10" s="280">
        <f t="shared" ref="F10:F38" si="5">+C10*E10</f>
        <v>12413598</v>
      </c>
      <c r="G10" s="432">
        <f>'Weighted differ concurrent'!L7+'Weighted differ concurrent'!L8</f>
        <v>13091.7</v>
      </c>
      <c r="H10" s="281">
        <v>1718297</v>
      </c>
      <c r="I10" s="281">
        <v>598</v>
      </c>
      <c r="J10" s="281">
        <f t="shared" si="0"/>
        <v>7828836.6000000006</v>
      </c>
      <c r="K10" s="282">
        <f>+H10+J10+D10+F10</f>
        <v>24314338.600000001</v>
      </c>
      <c r="L10" s="283">
        <f>'Revenue Offset'!G9</f>
        <v>0.46785978356806973</v>
      </c>
      <c r="M10" s="284">
        <f>K10*(1-L10)</f>
        <v>12938637.405003237</v>
      </c>
      <c r="N10" s="278" t="s">
        <v>4</v>
      </c>
      <c r="O10" s="246" t="s">
        <v>124</v>
      </c>
      <c r="P10" s="285">
        <f>200000*2</f>
        <v>400000</v>
      </c>
      <c r="Q10" s="284">
        <f t="shared" si="3"/>
        <v>13338637.405003237</v>
      </c>
      <c r="R10" s="284">
        <v>12462086.012361348</v>
      </c>
      <c r="S10" s="286">
        <f t="shared" si="4"/>
        <v>12900361.708682291</v>
      </c>
    </row>
    <row r="11" spans="1:19" ht="15" customHeight="1" x14ac:dyDescent="0.2">
      <c r="A11" s="278" t="s">
        <v>5</v>
      </c>
      <c r="B11" s="246" t="s">
        <v>113</v>
      </c>
      <c r="C11" s="279">
        <f>Summary!D8</f>
        <v>3963</v>
      </c>
      <c r="D11" s="280">
        <v>7062794</v>
      </c>
      <c r="E11" s="280">
        <v>1865</v>
      </c>
      <c r="F11" s="280">
        <f t="shared" si="5"/>
        <v>7390995</v>
      </c>
      <c r="G11" s="432">
        <f>'Weighted differ concurrent'!L29+'Weighted differ concurrent'!L40</f>
        <v>6972.9</v>
      </c>
      <c r="H11" s="281">
        <v>1435456</v>
      </c>
      <c r="I11" s="281">
        <v>1360</v>
      </c>
      <c r="J11" s="281">
        <f t="shared" si="0"/>
        <v>9483144</v>
      </c>
      <c r="K11" s="282">
        <f t="shared" si="1"/>
        <v>25372389</v>
      </c>
      <c r="L11" s="283">
        <f>'Revenue Offset'!G10</f>
        <v>0.56619047727320571</v>
      </c>
      <c r="M11" s="284">
        <f t="shared" si="2"/>
        <v>11006783.962528566</v>
      </c>
      <c r="N11" s="278" t="s">
        <v>5</v>
      </c>
      <c r="O11" s="246" t="s">
        <v>113</v>
      </c>
      <c r="P11" s="285">
        <v>200000</v>
      </c>
      <c r="Q11" s="284">
        <f t="shared" si="3"/>
        <v>11206783.962528566</v>
      </c>
      <c r="R11" s="284">
        <v>11091691.183357082</v>
      </c>
      <c r="S11" s="286">
        <f t="shared" si="4"/>
        <v>11149237.572942823</v>
      </c>
    </row>
    <row r="12" spans="1:19" x14ac:dyDescent="0.2">
      <c r="A12" s="278" t="s">
        <v>6</v>
      </c>
      <c r="B12" s="246" t="s">
        <v>7</v>
      </c>
      <c r="C12" s="279">
        <f>Summary!D9</f>
        <v>2464</v>
      </c>
      <c r="D12" s="280">
        <v>2353607</v>
      </c>
      <c r="E12" s="280">
        <v>2118</v>
      </c>
      <c r="F12" s="280">
        <f t="shared" si="5"/>
        <v>5218752</v>
      </c>
      <c r="G12" s="432">
        <f>'Weighted differ concurrent'!L9</f>
        <v>5063.95</v>
      </c>
      <c r="H12" s="281">
        <v>1718297</v>
      </c>
      <c r="I12" s="281">
        <v>598</v>
      </c>
      <c r="J12" s="281">
        <f t="shared" si="0"/>
        <v>3028242.1</v>
      </c>
      <c r="K12" s="282">
        <f t="shared" si="1"/>
        <v>12318898.1</v>
      </c>
      <c r="L12" s="283">
        <f>'Revenue Offset'!G11</f>
        <v>0.42283932087747</v>
      </c>
      <c r="M12" s="284">
        <f t="shared" si="2"/>
        <v>7109983.5934372442</v>
      </c>
      <c r="N12" s="278" t="s">
        <v>6</v>
      </c>
      <c r="O12" s="246" t="s">
        <v>7</v>
      </c>
      <c r="P12" s="285">
        <f>318*500</f>
        <v>159000</v>
      </c>
      <c r="Q12" s="284">
        <f t="shared" si="3"/>
        <v>7268983.5934372442</v>
      </c>
      <c r="R12" s="284">
        <v>6451331.8174783755</v>
      </c>
      <c r="S12" s="286">
        <f t="shared" si="4"/>
        <v>6860157.7054578103</v>
      </c>
    </row>
    <row r="13" spans="1:19" x14ac:dyDescent="0.2">
      <c r="A13" s="278" t="s">
        <v>8</v>
      </c>
      <c r="B13" s="246" t="s">
        <v>9</v>
      </c>
      <c r="C13" s="279">
        <f>Summary!D10</f>
        <v>5140</v>
      </c>
      <c r="D13" s="280">
        <v>2353607</v>
      </c>
      <c r="E13" s="280">
        <v>2118</v>
      </c>
      <c r="F13" s="280">
        <f t="shared" si="5"/>
        <v>10886520</v>
      </c>
      <c r="G13" s="432">
        <f>'Weighted differ concurrent'!L10</f>
        <v>11921.1</v>
      </c>
      <c r="H13" s="281">
        <v>1718297</v>
      </c>
      <c r="I13" s="281">
        <v>598</v>
      </c>
      <c r="J13" s="281">
        <f t="shared" si="0"/>
        <v>7128817.7999999998</v>
      </c>
      <c r="K13" s="282">
        <f t="shared" si="1"/>
        <v>22087241.800000001</v>
      </c>
      <c r="L13" s="283">
        <f>'Revenue Offset'!G12</f>
        <v>0.48062341301981409</v>
      </c>
      <c r="M13" s="284">
        <f t="shared" si="2"/>
        <v>11471596.261890097</v>
      </c>
      <c r="N13" s="278" t="s">
        <v>8</v>
      </c>
      <c r="O13" s="246" t="s">
        <v>9</v>
      </c>
      <c r="P13" s="285"/>
      <c r="Q13" s="284">
        <f t="shared" si="3"/>
        <v>11471596.261890097</v>
      </c>
      <c r="R13" s="284">
        <v>10909993.534220735</v>
      </c>
      <c r="S13" s="286">
        <f t="shared" si="4"/>
        <v>11190794.898055416</v>
      </c>
    </row>
    <row r="14" spans="1:19" x14ac:dyDescent="0.2">
      <c r="A14" s="278" t="s">
        <v>10</v>
      </c>
      <c r="B14" s="3" t="s">
        <v>146</v>
      </c>
      <c r="C14" s="279">
        <f>Summary!D11</f>
        <v>4159</v>
      </c>
      <c r="D14" s="280">
        <v>2353607</v>
      </c>
      <c r="E14" s="280">
        <v>2118</v>
      </c>
      <c r="F14" s="280">
        <f t="shared" si="5"/>
        <v>8808762</v>
      </c>
      <c r="G14" s="432">
        <f>'Weighted differ concurrent'!L11+'Weighted differ concurrent'!L14</f>
        <v>9304.5499999999993</v>
      </c>
      <c r="H14" s="281">
        <v>1718297</v>
      </c>
      <c r="I14" s="281">
        <v>598</v>
      </c>
      <c r="J14" s="281">
        <f t="shared" si="0"/>
        <v>5564120.8999999994</v>
      </c>
      <c r="K14" s="282">
        <f>+H14+J14+D14+F14</f>
        <v>18444786.899999999</v>
      </c>
      <c r="L14" s="283">
        <f>'Revenue Offset'!G13</f>
        <v>0.43171641281087125</v>
      </c>
      <c r="M14" s="284">
        <f t="shared" si="2"/>
        <v>10481869.664471049</v>
      </c>
      <c r="N14" s="278" t="s">
        <v>10</v>
      </c>
      <c r="O14" s="3" t="s">
        <v>146</v>
      </c>
      <c r="P14" s="285">
        <v>200000</v>
      </c>
      <c r="Q14" s="284">
        <f t="shared" si="3"/>
        <v>10681869.664471049</v>
      </c>
      <c r="R14" s="284">
        <v>9252580.403598994</v>
      </c>
      <c r="S14" s="286">
        <f t="shared" si="4"/>
        <v>9967225.0340350214</v>
      </c>
    </row>
    <row r="15" spans="1:19" x14ac:dyDescent="0.2">
      <c r="A15" s="278" t="s">
        <v>12</v>
      </c>
      <c r="B15" s="246" t="s">
        <v>13</v>
      </c>
      <c r="C15" s="279">
        <f>Summary!D12</f>
        <v>706</v>
      </c>
      <c r="D15" s="280">
        <v>2353607</v>
      </c>
      <c r="E15" s="280">
        <v>2118</v>
      </c>
      <c r="F15" s="280">
        <f t="shared" si="5"/>
        <v>1495308</v>
      </c>
      <c r="G15" s="432">
        <f>'Weighted differ concurrent'!L12</f>
        <v>1656.6</v>
      </c>
      <c r="H15" s="281">
        <v>1718297</v>
      </c>
      <c r="I15" s="281">
        <v>598</v>
      </c>
      <c r="J15" s="281">
        <f t="shared" si="0"/>
        <v>990646.79999999993</v>
      </c>
      <c r="K15" s="282">
        <f t="shared" si="1"/>
        <v>6557858.7999999998</v>
      </c>
      <c r="L15" s="283">
        <f>'Revenue Offset'!G14</f>
        <v>0.29974574275056504</v>
      </c>
      <c r="M15" s="284">
        <f t="shared" si="2"/>
        <v>4592168.5431406712</v>
      </c>
      <c r="N15" s="278" t="s">
        <v>12</v>
      </c>
      <c r="O15" s="246" t="s">
        <v>13</v>
      </c>
      <c r="P15" s="285"/>
      <c r="Q15" s="284">
        <f t="shared" si="3"/>
        <v>4592168.5431406712</v>
      </c>
      <c r="R15" s="284">
        <v>3572343.4211310288</v>
      </c>
      <c r="S15" s="286">
        <f t="shared" si="4"/>
        <v>4082255.98213585</v>
      </c>
    </row>
    <row r="16" spans="1:19" x14ac:dyDescent="0.2">
      <c r="A16" s="278" t="s">
        <v>14</v>
      </c>
      <c r="B16" s="246" t="s">
        <v>139</v>
      </c>
      <c r="C16" s="279">
        <f>Summary!D13</f>
        <v>2625</v>
      </c>
      <c r="D16" s="280">
        <v>2353607</v>
      </c>
      <c r="E16" s="280">
        <v>2118</v>
      </c>
      <c r="F16" s="280">
        <f t="shared" si="5"/>
        <v>5559750</v>
      </c>
      <c r="G16" s="432">
        <f>'Weighted differ concurrent'!L13</f>
        <v>6756.65</v>
      </c>
      <c r="H16" s="281">
        <v>1718297</v>
      </c>
      <c r="I16" s="281">
        <v>598</v>
      </c>
      <c r="J16" s="281">
        <f t="shared" si="0"/>
        <v>4040476.6999999997</v>
      </c>
      <c r="K16" s="282">
        <f t="shared" si="1"/>
        <v>13672130.699999999</v>
      </c>
      <c r="L16" s="283">
        <f>'Revenue Offset'!G15</f>
        <v>0.38889350360047492</v>
      </c>
      <c r="M16" s="284">
        <f t="shared" si="2"/>
        <v>8355127.8903933857</v>
      </c>
      <c r="N16" s="278" t="s">
        <v>14</v>
      </c>
      <c r="O16" s="246" t="s">
        <v>139</v>
      </c>
      <c r="P16" s="285">
        <v>200000</v>
      </c>
      <c r="Q16" s="284">
        <f t="shared" ref="Q16:Q38" si="6">+M16+P16</f>
        <v>8555127.8903933857</v>
      </c>
      <c r="R16" s="284">
        <v>7368609.1275825854</v>
      </c>
      <c r="S16" s="286">
        <f t="shared" si="4"/>
        <v>7961868.5089879856</v>
      </c>
    </row>
    <row r="17" spans="1:19" x14ac:dyDescent="0.2">
      <c r="A17" s="278" t="s">
        <v>16</v>
      </c>
      <c r="B17" s="246" t="s">
        <v>17</v>
      </c>
      <c r="C17" s="279">
        <f>Summary!D14</f>
        <v>2551</v>
      </c>
      <c r="D17" s="280">
        <v>2353607</v>
      </c>
      <c r="E17" s="280">
        <v>2118</v>
      </c>
      <c r="F17" s="280">
        <f t="shared" si="5"/>
        <v>5403018</v>
      </c>
      <c r="G17" s="432">
        <f>'Weighted differ concurrent'!L15</f>
        <v>5935.3</v>
      </c>
      <c r="H17" s="281">
        <v>1718297</v>
      </c>
      <c r="I17" s="281">
        <v>598</v>
      </c>
      <c r="J17" s="281">
        <f t="shared" si="0"/>
        <v>3549309.4</v>
      </c>
      <c r="K17" s="282">
        <f t="shared" si="1"/>
        <v>13024231.4</v>
      </c>
      <c r="L17" s="283">
        <f>'Revenue Offset'!G16</f>
        <v>0.41972966468364403</v>
      </c>
      <c r="M17" s="284">
        <f t="shared" si="2"/>
        <v>7557575.1217158129</v>
      </c>
      <c r="N17" s="278" t="s">
        <v>16</v>
      </c>
      <c r="O17" s="246" t="s">
        <v>17</v>
      </c>
      <c r="P17" s="285"/>
      <c r="Q17" s="284">
        <f t="shared" si="6"/>
        <v>7557575.1217158129</v>
      </c>
      <c r="R17" s="284">
        <v>6986497.2445478179</v>
      </c>
      <c r="S17" s="286">
        <f t="shared" si="4"/>
        <v>7272036.1831318159</v>
      </c>
    </row>
    <row r="18" spans="1:19" x14ac:dyDescent="0.2">
      <c r="A18" s="278" t="s">
        <v>18</v>
      </c>
      <c r="B18" s="246" t="s">
        <v>140</v>
      </c>
      <c r="C18" s="279">
        <f>Summary!D15</f>
        <v>5283</v>
      </c>
      <c r="D18" s="280">
        <v>7062794</v>
      </c>
      <c r="E18" s="280">
        <v>1865</v>
      </c>
      <c r="F18" s="280">
        <f t="shared" si="5"/>
        <v>9852795</v>
      </c>
      <c r="G18" s="432">
        <f>'Weighted differ concurrent'!L41</f>
        <v>10289.450000000001</v>
      </c>
      <c r="H18" s="281">
        <v>1435456</v>
      </c>
      <c r="I18" s="281">
        <v>1360</v>
      </c>
      <c r="J18" s="281">
        <f t="shared" si="0"/>
        <v>13993652.000000002</v>
      </c>
      <c r="K18" s="282">
        <f t="shared" si="1"/>
        <v>32344697</v>
      </c>
      <c r="L18" s="283">
        <f>'Revenue Offset'!G17</f>
        <v>0.5815153753931428</v>
      </c>
      <c r="M18" s="284">
        <f t="shared" si="2"/>
        <v>13535758.382067541</v>
      </c>
      <c r="N18" s="278" t="s">
        <v>18</v>
      </c>
      <c r="O18" s="246" t="s">
        <v>140</v>
      </c>
      <c r="P18" s="285"/>
      <c r="Q18" s="284">
        <f t="shared" si="6"/>
        <v>13535758.382067541</v>
      </c>
      <c r="R18" s="284">
        <v>13244050.917011861</v>
      </c>
      <c r="S18" s="286">
        <f t="shared" si="4"/>
        <v>13389904.649539702</v>
      </c>
    </row>
    <row r="19" spans="1:19" x14ac:dyDescent="0.2">
      <c r="A19" s="278" t="s">
        <v>19</v>
      </c>
      <c r="B19" s="246" t="s">
        <v>129</v>
      </c>
      <c r="C19" s="279">
        <f>Summary!D16</f>
        <v>3819</v>
      </c>
      <c r="D19" s="280">
        <v>2353607</v>
      </c>
      <c r="E19" s="280">
        <v>2118</v>
      </c>
      <c r="F19" s="280">
        <f t="shared" si="5"/>
        <v>8088642</v>
      </c>
      <c r="G19" s="432">
        <f>'Weighted differ concurrent'!L16</f>
        <v>9914.4500000000007</v>
      </c>
      <c r="H19" s="281">
        <v>1718297</v>
      </c>
      <c r="I19" s="281">
        <v>598</v>
      </c>
      <c r="J19" s="281">
        <f t="shared" si="0"/>
        <v>5928841.1000000006</v>
      </c>
      <c r="K19" s="282">
        <f t="shared" si="1"/>
        <v>18089387.100000001</v>
      </c>
      <c r="L19" s="283">
        <f>'Revenue Offset'!G18</f>
        <v>0.45444345651098822</v>
      </c>
      <c r="M19" s="284">
        <f t="shared" si="2"/>
        <v>9868783.5001107194</v>
      </c>
      <c r="N19" s="278" t="s">
        <v>19</v>
      </c>
      <c r="O19" s="246" t="s">
        <v>129</v>
      </c>
      <c r="P19" s="285"/>
      <c r="Q19" s="284">
        <f t="shared" si="6"/>
        <v>9868783.5001107194</v>
      </c>
      <c r="R19" s="284">
        <v>9680034.0573891345</v>
      </c>
      <c r="S19" s="286">
        <f t="shared" si="4"/>
        <v>9774408.7787499279</v>
      </c>
    </row>
    <row r="20" spans="1:19" ht="14.25" customHeight="1" x14ac:dyDescent="0.2">
      <c r="A20" s="252" t="s">
        <v>118</v>
      </c>
      <c r="B20" s="246" t="s">
        <v>303</v>
      </c>
      <c r="C20" s="279">
        <f>Summary!D17</f>
        <v>2635</v>
      </c>
      <c r="D20" s="280">
        <v>2353607</v>
      </c>
      <c r="E20" s="280">
        <v>2118</v>
      </c>
      <c r="F20" s="280">
        <f>+C20*E20</f>
        <v>5580930</v>
      </c>
      <c r="G20" s="432">
        <f>'Weighted differ concurrent'!L17</f>
        <v>5020.1000000000004</v>
      </c>
      <c r="H20" s="281">
        <v>1718297</v>
      </c>
      <c r="I20" s="281">
        <v>598</v>
      </c>
      <c r="J20" s="281">
        <f>+G20*I20</f>
        <v>3002019.8000000003</v>
      </c>
      <c r="K20" s="282">
        <f>+H20+J20+D20+F20</f>
        <v>12654853.800000001</v>
      </c>
      <c r="L20" s="283">
        <f>'Revenue Offset'!G19</f>
        <v>0.40402274996031112</v>
      </c>
      <c r="M20" s="284">
        <f>K20*(1-L20)</f>
        <v>7542004.9673783081</v>
      </c>
      <c r="N20" s="252" t="s">
        <v>118</v>
      </c>
      <c r="O20" s="246" t="s">
        <v>63</v>
      </c>
      <c r="P20" s="165">
        <f>(200000*3)+(205*500)+(153*500)</f>
        <v>779000</v>
      </c>
      <c r="Q20" s="284">
        <f>+M20+P20</f>
        <v>8321004.9673783081</v>
      </c>
      <c r="R20" s="284">
        <v>7739017.6189788803</v>
      </c>
      <c r="S20" s="286">
        <f>AVERAGE(Q20:R20)</f>
        <v>8030011.2931785937</v>
      </c>
    </row>
    <row r="21" spans="1:19" x14ac:dyDescent="0.2">
      <c r="A21" s="278" t="s">
        <v>21</v>
      </c>
      <c r="B21" s="251" t="s">
        <v>176</v>
      </c>
      <c r="C21" s="279">
        <f>Summary!D18</f>
        <v>1069</v>
      </c>
      <c r="D21" s="280">
        <v>2353607</v>
      </c>
      <c r="E21" s="280">
        <v>2118</v>
      </c>
      <c r="F21" s="280">
        <f t="shared" si="5"/>
        <v>2264142</v>
      </c>
      <c r="G21" s="432">
        <f>'Weighted differ concurrent'!L23</f>
        <v>2519.6999999999998</v>
      </c>
      <c r="H21" s="281">
        <v>1718297</v>
      </c>
      <c r="I21" s="281">
        <v>598</v>
      </c>
      <c r="J21" s="281">
        <f t="shared" si="0"/>
        <v>1506780.5999999999</v>
      </c>
      <c r="K21" s="282">
        <f t="shared" si="1"/>
        <v>7842826.5999999996</v>
      </c>
      <c r="L21" s="283">
        <f>'Revenue Offset'!G20</f>
        <v>0.3849305676995205</v>
      </c>
      <c r="M21" s="284">
        <f t="shared" si="2"/>
        <v>4823882.9044931</v>
      </c>
      <c r="N21" s="278" t="s">
        <v>21</v>
      </c>
      <c r="O21" s="251" t="s">
        <v>71</v>
      </c>
      <c r="P21" s="285">
        <f>374*500</f>
        <v>187000</v>
      </c>
      <c r="Q21" s="284">
        <f t="shared" si="6"/>
        <v>5010882.9044931</v>
      </c>
      <c r="R21" s="284">
        <v>4171221.0379722198</v>
      </c>
      <c r="S21" s="286">
        <f t="shared" si="4"/>
        <v>4591051.9712326601</v>
      </c>
    </row>
    <row r="22" spans="1:19" x14ac:dyDescent="0.2">
      <c r="A22" s="252" t="s">
        <v>109</v>
      </c>
      <c r="B22" s="246" t="s">
        <v>141</v>
      </c>
      <c r="C22" s="279">
        <f>Summary!D19</f>
        <v>3204</v>
      </c>
      <c r="D22" s="280">
        <v>2353607</v>
      </c>
      <c r="E22" s="280">
        <v>2118</v>
      </c>
      <c r="F22" s="280">
        <f>+C22*E22</f>
        <v>6786072</v>
      </c>
      <c r="G22" s="432">
        <f>'Weighted differ concurrent'!L24</f>
        <v>6573.3</v>
      </c>
      <c r="H22" s="281">
        <v>1718297</v>
      </c>
      <c r="I22" s="281">
        <v>598</v>
      </c>
      <c r="J22" s="281">
        <f t="shared" si="0"/>
        <v>3930833.4</v>
      </c>
      <c r="K22" s="282">
        <f t="shared" si="1"/>
        <v>14788809.4</v>
      </c>
      <c r="L22" s="283">
        <f>'Revenue Offset'!G21</f>
        <v>0.43210891645511013</v>
      </c>
      <c r="M22" s="284">
        <f t="shared" si="2"/>
        <v>8398432.9945048522</v>
      </c>
      <c r="N22" s="252" t="s">
        <v>109</v>
      </c>
      <c r="O22" s="246" t="s">
        <v>141</v>
      </c>
      <c r="P22" s="285">
        <f>(200000*2)+(259*500)</f>
        <v>529500</v>
      </c>
      <c r="Q22" s="284">
        <f>+M22+P22</f>
        <v>8927932.9945048522</v>
      </c>
      <c r="R22" s="284">
        <v>8229865.3372241938</v>
      </c>
      <c r="S22" s="286">
        <f t="shared" si="4"/>
        <v>8578899.1658645235</v>
      </c>
    </row>
    <row r="23" spans="1:19" x14ac:dyDescent="0.2">
      <c r="A23" s="278" t="s">
        <v>26</v>
      </c>
      <c r="B23" s="246" t="s">
        <v>62</v>
      </c>
      <c r="C23" s="279">
        <f>Summary!D20</f>
        <v>4495</v>
      </c>
      <c r="D23" s="280">
        <v>7062794</v>
      </c>
      <c r="E23" s="280">
        <v>1865</v>
      </c>
      <c r="F23" s="280">
        <f>+C23*E23</f>
        <v>8383175</v>
      </c>
      <c r="G23" s="432">
        <f>'Weighted differ concurrent'!L43</f>
        <v>6752.4</v>
      </c>
      <c r="H23" s="281">
        <v>1435456</v>
      </c>
      <c r="I23" s="281">
        <v>1360</v>
      </c>
      <c r="J23" s="281">
        <f t="shared" si="0"/>
        <v>9183264</v>
      </c>
      <c r="K23" s="282">
        <f t="shared" si="1"/>
        <v>26064689</v>
      </c>
      <c r="L23" s="283">
        <f>'Revenue Offset'!G22</f>
        <v>0.58500105666895075</v>
      </c>
      <c r="M23" s="284">
        <f t="shared" si="2"/>
        <v>10816818.393252423</v>
      </c>
      <c r="N23" s="278" t="s">
        <v>26</v>
      </c>
      <c r="O23" s="246" t="s">
        <v>62</v>
      </c>
      <c r="P23" s="285"/>
      <c r="Q23" s="284">
        <f t="shared" si="6"/>
        <v>10816818.393252423</v>
      </c>
      <c r="R23" s="284">
        <v>10800856.414085729</v>
      </c>
      <c r="S23" s="286">
        <f t="shared" si="4"/>
        <v>10808837.403669076</v>
      </c>
    </row>
    <row r="24" spans="1:19" x14ac:dyDescent="0.2">
      <c r="A24" s="278" t="s">
        <v>22</v>
      </c>
      <c r="B24" s="246" t="s">
        <v>23</v>
      </c>
      <c r="C24" s="279">
        <f>Summary!D21</f>
        <v>13068</v>
      </c>
      <c r="D24" s="280">
        <v>7062794</v>
      </c>
      <c r="E24" s="280">
        <v>1865</v>
      </c>
      <c r="F24" s="280">
        <f>+C24*E24</f>
        <v>24371820</v>
      </c>
      <c r="G24" s="432">
        <f>'Weighted differ concurrent'!L42</f>
        <v>18279.400000000001</v>
      </c>
      <c r="H24" s="281">
        <v>1435456</v>
      </c>
      <c r="I24" s="281">
        <v>1360</v>
      </c>
      <c r="J24" s="281">
        <f t="shared" si="0"/>
        <v>24859984.000000004</v>
      </c>
      <c r="K24" s="282">
        <f t="shared" si="1"/>
        <v>57730054</v>
      </c>
      <c r="L24" s="283">
        <f>'Revenue Offset'!G23</f>
        <v>0.66370517721450217</v>
      </c>
      <c r="M24" s="284">
        <f t="shared" si="2"/>
        <v>19414318.279327221</v>
      </c>
      <c r="N24" s="278" t="s">
        <v>22</v>
      </c>
      <c r="O24" s="246" t="s">
        <v>23</v>
      </c>
      <c r="P24" s="285"/>
      <c r="Q24" s="284">
        <f t="shared" si="6"/>
        <v>19414318.279327221</v>
      </c>
      <c r="R24" s="284">
        <v>19517981.133718655</v>
      </c>
      <c r="S24" s="286">
        <f t="shared" si="4"/>
        <v>19466149.706522938</v>
      </c>
    </row>
    <row r="25" spans="1:19" x14ac:dyDescent="0.2">
      <c r="A25" s="278" t="s">
        <v>24</v>
      </c>
      <c r="B25" s="246" t="s">
        <v>137</v>
      </c>
      <c r="C25" s="279">
        <f>Summary!D22</f>
        <v>1889</v>
      </c>
      <c r="D25" s="280">
        <v>2353607</v>
      </c>
      <c r="E25" s="280">
        <v>2118</v>
      </c>
      <c r="F25" s="280">
        <f t="shared" si="5"/>
        <v>4000902</v>
      </c>
      <c r="G25" s="432">
        <f>'Weighted differ concurrent'!L25</f>
        <v>4845.1000000000004</v>
      </c>
      <c r="H25" s="281">
        <v>1718297</v>
      </c>
      <c r="I25" s="281">
        <v>598</v>
      </c>
      <c r="J25" s="281">
        <f t="shared" si="0"/>
        <v>2897369.8000000003</v>
      </c>
      <c r="K25" s="282">
        <f t="shared" si="1"/>
        <v>10970175.800000001</v>
      </c>
      <c r="L25" s="283">
        <f>'Revenue Offset'!G24</f>
        <v>0.41265333301265078</v>
      </c>
      <c r="M25" s="284">
        <f t="shared" si="2"/>
        <v>6443296.1923952783</v>
      </c>
      <c r="N25" s="278" t="s">
        <v>24</v>
      </c>
      <c r="O25" s="246" t="s">
        <v>137</v>
      </c>
      <c r="P25" s="285">
        <f>(200000)+((103+87+248)*500)</f>
        <v>419000</v>
      </c>
      <c r="Q25" s="284">
        <f t="shared" si="6"/>
        <v>6862296.1923952783</v>
      </c>
      <c r="R25" s="284">
        <v>5629866.8356616115</v>
      </c>
      <c r="S25" s="286">
        <f t="shared" si="4"/>
        <v>6246081.5140284449</v>
      </c>
    </row>
    <row r="26" spans="1:19" x14ac:dyDescent="0.2">
      <c r="A26" s="278" t="s">
        <v>27</v>
      </c>
      <c r="B26" s="246" t="s">
        <v>132</v>
      </c>
      <c r="C26" s="279">
        <f>Summary!D23</f>
        <v>6012</v>
      </c>
      <c r="D26" s="280">
        <v>2353607</v>
      </c>
      <c r="E26" s="280">
        <v>2118</v>
      </c>
      <c r="F26" s="280">
        <f t="shared" si="5"/>
        <v>12733416</v>
      </c>
      <c r="G26" s="432">
        <f>'Weighted differ concurrent'!L26</f>
        <v>14647.65</v>
      </c>
      <c r="H26" s="281">
        <v>1718297</v>
      </c>
      <c r="I26" s="281">
        <v>598</v>
      </c>
      <c r="J26" s="281">
        <f t="shared" si="0"/>
        <v>8759294.6999999993</v>
      </c>
      <c r="K26" s="282">
        <f t="shared" si="1"/>
        <v>25564614.699999999</v>
      </c>
      <c r="L26" s="283">
        <f>'Revenue Offset'!G25</f>
        <v>0.51667289381447168</v>
      </c>
      <c r="M26" s="284">
        <f t="shared" si="2"/>
        <v>12356071.243699018</v>
      </c>
      <c r="N26" s="278" t="s">
        <v>27</v>
      </c>
      <c r="O26" s="246" t="s">
        <v>132</v>
      </c>
      <c r="P26" s="285"/>
      <c r="Q26" s="284">
        <f t="shared" si="6"/>
        <v>12356071.243699018</v>
      </c>
      <c r="R26" s="284">
        <v>11369973.805963052</v>
      </c>
      <c r="S26" s="286">
        <f t="shared" si="4"/>
        <v>11863022.524831034</v>
      </c>
    </row>
    <row r="27" spans="1:19" ht="14.25" customHeight="1" x14ac:dyDescent="0.2">
      <c r="A27" s="278" t="s">
        <v>29</v>
      </c>
      <c r="B27" s="246" t="s">
        <v>133</v>
      </c>
      <c r="C27" s="279">
        <f>Summary!D24</f>
        <v>3089</v>
      </c>
      <c r="D27" s="280">
        <v>2353607</v>
      </c>
      <c r="E27" s="280">
        <v>2118</v>
      </c>
      <c r="F27" s="280">
        <f t="shared" si="5"/>
        <v>6542502</v>
      </c>
      <c r="G27" s="432">
        <f>'Weighted differ concurrent'!L27</f>
        <v>8149.1</v>
      </c>
      <c r="H27" s="281">
        <v>1718297</v>
      </c>
      <c r="I27" s="281">
        <v>598</v>
      </c>
      <c r="J27" s="281">
        <f t="shared" si="0"/>
        <v>4873161.8</v>
      </c>
      <c r="K27" s="282">
        <f t="shared" si="1"/>
        <v>15487567.800000001</v>
      </c>
      <c r="L27" s="283">
        <f>'Revenue Offset'!G26</f>
        <v>0.45829670207333539</v>
      </c>
      <c r="M27" s="284">
        <f t="shared" si="2"/>
        <v>8389666.5541228186</v>
      </c>
      <c r="N27" s="278" t="s">
        <v>29</v>
      </c>
      <c r="O27" s="246" t="s">
        <v>133</v>
      </c>
      <c r="P27" s="285"/>
      <c r="Q27" s="284">
        <f t="shared" si="6"/>
        <v>8389666.5541228186</v>
      </c>
      <c r="R27" s="284">
        <v>7827679.5199956549</v>
      </c>
      <c r="S27" s="286">
        <f t="shared" si="4"/>
        <v>8108673.0370592363</v>
      </c>
    </row>
    <row r="28" spans="1:19" x14ac:dyDescent="0.2">
      <c r="A28" s="278" t="s">
        <v>31</v>
      </c>
      <c r="B28" s="246" t="s">
        <v>134</v>
      </c>
      <c r="C28" s="279">
        <f>Summary!D25</f>
        <v>1563</v>
      </c>
      <c r="D28" s="280">
        <v>2353607</v>
      </c>
      <c r="E28" s="280">
        <v>2118</v>
      </c>
      <c r="F28" s="280">
        <f t="shared" si="5"/>
        <v>3310434</v>
      </c>
      <c r="G28" s="432">
        <f>'Weighted differ concurrent'!L28</f>
        <v>3748.3</v>
      </c>
      <c r="H28" s="281">
        <v>1718297</v>
      </c>
      <c r="I28" s="281">
        <v>598</v>
      </c>
      <c r="J28" s="281">
        <f t="shared" si="0"/>
        <v>2241483.4</v>
      </c>
      <c r="K28" s="282">
        <f t="shared" si="1"/>
        <v>9623821.4000000004</v>
      </c>
      <c r="L28" s="283">
        <f>'Revenue Offset'!G27</f>
        <v>0.41468822390234633</v>
      </c>
      <c r="M28" s="284">
        <f t="shared" si="2"/>
        <v>5632935.9964806074</v>
      </c>
      <c r="N28" s="278" t="s">
        <v>31</v>
      </c>
      <c r="O28" s="246" t="s">
        <v>134</v>
      </c>
      <c r="P28" s="285">
        <v>200000</v>
      </c>
      <c r="Q28" s="284">
        <f t="shared" si="6"/>
        <v>5832935.9964806074</v>
      </c>
      <c r="R28" s="284">
        <v>5302081.175938637</v>
      </c>
      <c r="S28" s="286">
        <f t="shared" si="4"/>
        <v>5567508.5862096222</v>
      </c>
    </row>
    <row r="29" spans="1:19" x14ac:dyDescent="0.2">
      <c r="A29" s="278" t="s">
        <v>33</v>
      </c>
      <c r="B29" s="246" t="s">
        <v>130</v>
      </c>
      <c r="C29" s="279">
        <f>Summary!D26</f>
        <v>765</v>
      </c>
      <c r="D29" s="280">
        <v>2353607</v>
      </c>
      <c r="E29" s="280">
        <v>2118</v>
      </c>
      <c r="F29" s="280">
        <f t="shared" si="5"/>
        <v>1620270</v>
      </c>
      <c r="G29" s="432">
        <f>'Weighted differ concurrent'!L30</f>
        <v>2258.0500000000002</v>
      </c>
      <c r="H29" s="281">
        <v>1718297</v>
      </c>
      <c r="I29" s="281">
        <v>598</v>
      </c>
      <c r="J29" s="281">
        <f t="shared" si="0"/>
        <v>1350313.9000000001</v>
      </c>
      <c r="K29" s="282">
        <f t="shared" si="1"/>
        <v>7042487.9000000004</v>
      </c>
      <c r="L29" s="283">
        <f>'Revenue Offset'!G28</f>
        <v>0.36799515399523164</v>
      </c>
      <c r="M29" s="284">
        <f t="shared" si="2"/>
        <v>4450886.480729945</v>
      </c>
      <c r="N29" s="278" t="s">
        <v>33</v>
      </c>
      <c r="O29" s="246" t="s">
        <v>130</v>
      </c>
      <c r="P29" s="285"/>
      <c r="Q29" s="284">
        <f t="shared" si="6"/>
        <v>4450886.480729945</v>
      </c>
      <c r="R29" s="284">
        <v>3529077.9046145971</v>
      </c>
      <c r="S29" s="286">
        <f t="shared" si="4"/>
        <v>3989982.1926722713</v>
      </c>
    </row>
    <row r="30" spans="1:19" x14ac:dyDescent="0.2">
      <c r="A30" s="278" t="s">
        <v>35</v>
      </c>
      <c r="B30" s="246" t="s">
        <v>36</v>
      </c>
      <c r="C30" s="279">
        <f>Summary!D27</f>
        <v>2155</v>
      </c>
      <c r="D30" s="280">
        <v>2353607</v>
      </c>
      <c r="E30" s="280">
        <v>2118</v>
      </c>
      <c r="F30" s="280">
        <f t="shared" si="5"/>
        <v>4564290</v>
      </c>
      <c r="G30" s="432">
        <f>'Weighted differ concurrent'!L31</f>
        <v>3808.8</v>
      </c>
      <c r="H30" s="281">
        <v>1718297</v>
      </c>
      <c r="I30" s="281">
        <v>598</v>
      </c>
      <c r="J30" s="281">
        <f t="shared" si="0"/>
        <v>2277662.4</v>
      </c>
      <c r="K30" s="282">
        <f t="shared" si="1"/>
        <v>10913856.4</v>
      </c>
      <c r="L30" s="283">
        <f>'Revenue Offset'!G29</f>
        <v>0.42956518155480178</v>
      </c>
      <c r="M30" s="284">
        <f t="shared" si="2"/>
        <v>6225643.6940709641</v>
      </c>
      <c r="N30" s="278" t="s">
        <v>35</v>
      </c>
      <c r="O30" s="246" t="s">
        <v>36</v>
      </c>
      <c r="P30" s="285">
        <v>200000</v>
      </c>
      <c r="Q30" s="284">
        <f t="shared" si="6"/>
        <v>6425643.6940709641</v>
      </c>
      <c r="R30" s="284">
        <v>5710556.1639788505</v>
      </c>
      <c r="S30" s="286">
        <f t="shared" si="4"/>
        <v>6068099.9290249068</v>
      </c>
    </row>
    <row r="31" spans="1:19" x14ac:dyDescent="0.2">
      <c r="A31" s="278" t="s">
        <v>37</v>
      </c>
      <c r="B31" s="246" t="s">
        <v>131</v>
      </c>
      <c r="C31" s="279">
        <f>Summary!D28</f>
        <v>1997</v>
      </c>
      <c r="D31" s="280">
        <v>2353607</v>
      </c>
      <c r="E31" s="280">
        <v>2118</v>
      </c>
      <c r="F31" s="280">
        <f t="shared" si="5"/>
        <v>4229646</v>
      </c>
      <c r="G31" s="432">
        <f>'Weighted differ concurrent'!L32</f>
        <v>4321.5</v>
      </c>
      <c r="H31" s="281">
        <v>1718297</v>
      </c>
      <c r="I31" s="281">
        <v>598</v>
      </c>
      <c r="J31" s="281">
        <f t="shared" si="0"/>
        <v>2584257</v>
      </c>
      <c r="K31" s="282">
        <f t="shared" si="1"/>
        <v>10885807</v>
      </c>
      <c r="L31" s="283">
        <f>'Revenue Offset'!G30</f>
        <v>0.46809474264819967</v>
      </c>
      <c r="M31" s="284">
        <f t="shared" si="2"/>
        <v>5790217.97381703</v>
      </c>
      <c r="N31" s="278" t="s">
        <v>37</v>
      </c>
      <c r="O31" s="246" t="s">
        <v>131</v>
      </c>
      <c r="P31" s="285">
        <f>200000+(83*500)</f>
        <v>241500</v>
      </c>
      <c r="Q31" s="284">
        <f t="shared" si="6"/>
        <v>6031717.97381703</v>
      </c>
      <c r="R31" s="284">
        <v>5162344.8580265967</v>
      </c>
      <c r="S31" s="286">
        <f t="shared" si="4"/>
        <v>5597031.4159218129</v>
      </c>
    </row>
    <row r="32" spans="1:19" x14ac:dyDescent="0.2">
      <c r="A32" s="278" t="s">
        <v>39</v>
      </c>
      <c r="B32" s="246" t="s">
        <v>135</v>
      </c>
      <c r="C32" s="279">
        <f>Summary!D29</f>
        <v>3053</v>
      </c>
      <c r="D32" s="280">
        <v>2353607</v>
      </c>
      <c r="E32" s="280">
        <v>2118</v>
      </c>
      <c r="F32" s="280">
        <f t="shared" si="5"/>
        <v>6466254</v>
      </c>
      <c r="G32" s="432">
        <f>'Weighted differ concurrent'!L33</f>
        <v>6604.5</v>
      </c>
      <c r="H32" s="281">
        <v>1718297</v>
      </c>
      <c r="I32" s="281">
        <v>598</v>
      </c>
      <c r="J32" s="281">
        <f t="shared" si="0"/>
        <v>3949491</v>
      </c>
      <c r="K32" s="282">
        <f t="shared" si="1"/>
        <v>14487649</v>
      </c>
      <c r="L32" s="283">
        <f>'Revenue Offset'!G31</f>
        <v>0.49449233670850162</v>
      </c>
      <c r="M32" s="284">
        <f t="shared" si="2"/>
        <v>7323617.5925774127</v>
      </c>
      <c r="N32" s="278" t="s">
        <v>39</v>
      </c>
      <c r="O32" s="246" t="s">
        <v>135</v>
      </c>
      <c r="P32" s="285"/>
      <c r="Q32" s="284">
        <f t="shared" si="6"/>
        <v>7323617.5925774127</v>
      </c>
      <c r="R32" s="284">
        <v>7023489.8094573366</v>
      </c>
      <c r="S32" s="286">
        <f t="shared" si="4"/>
        <v>7173553.7010173742</v>
      </c>
    </row>
    <row r="33" spans="1:19" x14ac:dyDescent="0.2">
      <c r="A33" s="278" t="s">
        <v>46</v>
      </c>
      <c r="B33" s="246" t="s">
        <v>70</v>
      </c>
      <c r="C33" s="279">
        <f>Summary!D30</f>
        <v>3394</v>
      </c>
      <c r="D33" s="280">
        <v>2353607</v>
      </c>
      <c r="E33" s="280">
        <v>2118</v>
      </c>
      <c r="F33" s="280">
        <f t="shared" si="5"/>
        <v>7188492</v>
      </c>
      <c r="G33" s="432">
        <f>'Weighted differ concurrent'!L35</f>
        <v>8553.65</v>
      </c>
      <c r="H33" s="281">
        <v>1718297</v>
      </c>
      <c r="I33" s="281">
        <v>598</v>
      </c>
      <c r="J33" s="281">
        <f t="shared" si="0"/>
        <v>5115082.7</v>
      </c>
      <c r="K33" s="282">
        <f t="shared" si="1"/>
        <v>16375478.699999999</v>
      </c>
      <c r="L33" s="283">
        <f>'Revenue Offset'!G32</f>
        <v>0.4572878669125619</v>
      </c>
      <c r="M33" s="284">
        <f t="shared" si="2"/>
        <v>8887170.9756049067</v>
      </c>
      <c r="N33" s="278" t="s">
        <v>46</v>
      </c>
      <c r="O33" s="246" t="s">
        <v>70</v>
      </c>
      <c r="P33" s="285"/>
      <c r="Q33" s="284">
        <f t="shared" si="6"/>
        <v>8887170.9756049067</v>
      </c>
      <c r="R33" s="284">
        <v>8379893.8828772996</v>
      </c>
      <c r="S33" s="286">
        <f t="shared" si="4"/>
        <v>8633532.4292411022</v>
      </c>
    </row>
    <row r="34" spans="1:19" x14ac:dyDescent="0.2">
      <c r="A34" s="278" t="s">
        <v>41</v>
      </c>
      <c r="B34" s="246" t="s">
        <v>117</v>
      </c>
      <c r="C34" s="279">
        <f>Summary!D31</f>
        <v>1785</v>
      </c>
      <c r="D34" s="280">
        <v>2353607</v>
      </c>
      <c r="E34" s="280">
        <v>2118</v>
      </c>
      <c r="F34" s="280">
        <f t="shared" si="5"/>
        <v>3780630</v>
      </c>
      <c r="G34" s="432">
        <f>'Weighted differ concurrent'!L36</f>
        <v>4558.2</v>
      </c>
      <c r="H34" s="281">
        <v>1718297</v>
      </c>
      <c r="I34" s="281">
        <v>598</v>
      </c>
      <c r="J34" s="281">
        <f t="shared" si="0"/>
        <v>2725803.6</v>
      </c>
      <c r="K34" s="282">
        <f t="shared" si="1"/>
        <v>10578337.6</v>
      </c>
      <c r="L34" s="283">
        <f>'Revenue Offset'!G33</f>
        <v>0.41091877982345221</v>
      </c>
      <c r="M34" s="284">
        <f t="shared" si="2"/>
        <v>6231500.0208474547</v>
      </c>
      <c r="N34" s="278" t="s">
        <v>41</v>
      </c>
      <c r="O34" s="246" t="s">
        <v>117</v>
      </c>
      <c r="P34" s="285">
        <f>285*500</f>
        <v>142500</v>
      </c>
      <c r="Q34" s="284">
        <f t="shared" si="6"/>
        <v>6374000.0208474547</v>
      </c>
      <c r="R34" s="284">
        <v>5442726.4070073022</v>
      </c>
      <c r="S34" s="286">
        <f t="shared" si="4"/>
        <v>5908363.2139273789</v>
      </c>
    </row>
    <row r="35" spans="1:19" x14ac:dyDescent="0.2">
      <c r="A35" s="278" t="s">
        <v>42</v>
      </c>
      <c r="B35" s="246" t="s">
        <v>69</v>
      </c>
      <c r="C35" s="279">
        <f>Summary!D32</f>
        <v>3366</v>
      </c>
      <c r="D35" s="280">
        <v>7062794</v>
      </c>
      <c r="E35" s="280">
        <v>1865</v>
      </c>
      <c r="F35" s="280">
        <f t="shared" si="5"/>
        <v>6277590</v>
      </c>
      <c r="G35" s="432">
        <f>'Weighted differ concurrent'!L45</f>
        <v>7321.8</v>
      </c>
      <c r="H35" s="281">
        <v>1435456</v>
      </c>
      <c r="I35" s="281">
        <v>1360</v>
      </c>
      <c r="J35" s="281">
        <f t="shared" si="0"/>
        <v>9957648</v>
      </c>
      <c r="K35" s="282">
        <f t="shared" si="1"/>
        <v>24733488</v>
      </c>
      <c r="L35" s="283">
        <f>'Revenue Offset'!G34</f>
        <v>0.52129850152811719</v>
      </c>
      <c r="M35" s="284">
        <f t="shared" si="2"/>
        <v>11839957.768036332</v>
      </c>
      <c r="N35" s="278" t="s">
        <v>42</v>
      </c>
      <c r="O35" s="246" t="s">
        <v>69</v>
      </c>
      <c r="P35" s="285"/>
      <c r="Q35" s="284">
        <f t="shared" si="6"/>
        <v>11839957.768036332</v>
      </c>
      <c r="R35" s="284">
        <v>11488796.170578368</v>
      </c>
      <c r="S35" s="286">
        <f t="shared" si="4"/>
        <v>11664376.96930735</v>
      </c>
    </row>
    <row r="36" spans="1:19" x14ac:dyDescent="0.2">
      <c r="A36" s="278" t="s">
        <v>43</v>
      </c>
      <c r="B36" s="246" t="s">
        <v>44</v>
      </c>
      <c r="C36" s="279">
        <f>Summary!D33</f>
        <v>7638</v>
      </c>
      <c r="D36" s="280">
        <v>7062794</v>
      </c>
      <c r="E36" s="280">
        <v>1865</v>
      </c>
      <c r="F36" s="280">
        <f>+C36*E36</f>
        <v>14244870</v>
      </c>
      <c r="G36" s="432">
        <f>'Weighted differ concurrent'!L44</f>
        <v>13047.3</v>
      </c>
      <c r="H36" s="281">
        <v>1435456</v>
      </c>
      <c r="I36" s="281">
        <v>1360</v>
      </c>
      <c r="J36" s="281">
        <f t="shared" si="0"/>
        <v>17744328</v>
      </c>
      <c r="K36" s="282">
        <f t="shared" si="1"/>
        <v>40487448</v>
      </c>
      <c r="L36" s="283">
        <f>'Revenue Offset'!G35</f>
        <v>0.55849930289694605</v>
      </c>
      <c r="M36" s="284">
        <f t="shared" si="2"/>
        <v>17875236.515923649</v>
      </c>
      <c r="N36" s="278" t="s">
        <v>43</v>
      </c>
      <c r="O36" s="246" t="s">
        <v>44</v>
      </c>
      <c r="P36" s="285"/>
      <c r="Q36" s="284">
        <f>+M36+P36</f>
        <v>17875236.515923649</v>
      </c>
      <c r="R36" s="284">
        <v>18717546.965728771</v>
      </c>
      <c r="S36" s="286">
        <f t="shared" si="4"/>
        <v>18296391.740826212</v>
      </c>
    </row>
    <row r="37" spans="1:19" x14ac:dyDescent="0.2">
      <c r="A37" s="278" t="s">
        <v>45</v>
      </c>
      <c r="B37" s="246" t="s">
        <v>136</v>
      </c>
      <c r="C37" s="279">
        <f>Summary!D34</f>
        <v>2568</v>
      </c>
      <c r="D37" s="280">
        <v>2353607</v>
      </c>
      <c r="E37" s="280">
        <v>2118</v>
      </c>
      <c r="F37" s="280">
        <f t="shared" si="5"/>
        <v>5439024</v>
      </c>
      <c r="G37" s="432">
        <f>'Weighted differ concurrent'!L34</f>
        <v>5213.25</v>
      </c>
      <c r="H37" s="281">
        <v>1718297</v>
      </c>
      <c r="I37" s="281">
        <v>598</v>
      </c>
      <c r="J37" s="281">
        <f t="shared" si="0"/>
        <v>3117523.5</v>
      </c>
      <c r="K37" s="282">
        <f t="shared" si="1"/>
        <v>12628451.5</v>
      </c>
      <c r="L37" s="283">
        <f>'Revenue Offset'!G36</f>
        <v>0.4780402595300664</v>
      </c>
      <c r="M37" s="284">
        <f t="shared" si="2"/>
        <v>6591543.2674771445</v>
      </c>
      <c r="N37" s="278" t="s">
        <v>45</v>
      </c>
      <c r="O37" s="246" t="s">
        <v>136</v>
      </c>
      <c r="P37" s="285"/>
      <c r="Q37" s="284">
        <f t="shared" si="6"/>
        <v>6591543.2674771445</v>
      </c>
      <c r="R37" s="284">
        <v>6012603.9237698372</v>
      </c>
      <c r="S37" s="286">
        <f t="shared" si="4"/>
        <v>6302073.5956234913</v>
      </c>
    </row>
    <row r="38" spans="1:19" x14ac:dyDescent="0.2">
      <c r="A38" s="278" t="s">
        <v>47</v>
      </c>
      <c r="B38" s="246" t="s">
        <v>48</v>
      </c>
      <c r="C38" s="279">
        <f>Summary!D35</f>
        <v>6023</v>
      </c>
      <c r="D38" s="280">
        <v>7062794</v>
      </c>
      <c r="E38" s="280">
        <v>1865</v>
      </c>
      <c r="F38" s="280">
        <f t="shared" si="5"/>
        <v>11232895</v>
      </c>
      <c r="G38" s="432">
        <f>'Weighted differ concurrent'!L46</f>
        <v>7828</v>
      </c>
      <c r="H38" s="281">
        <v>1435456</v>
      </c>
      <c r="I38" s="281">
        <v>1360</v>
      </c>
      <c r="J38" s="281">
        <f t="shared" si="0"/>
        <v>10646080</v>
      </c>
      <c r="K38" s="282">
        <f t="shared" si="1"/>
        <v>30377225</v>
      </c>
      <c r="L38" s="283">
        <f>'Revenue Offset'!G37</f>
        <v>0.59061211016021042</v>
      </c>
      <c r="M38" s="284">
        <f t="shared" si="2"/>
        <v>12436068.041938502</v>
      </c>
      <c r="N38" s="278" t="s">
        <v>47</v>
      </c>
      <c r="O38" s="246" t="s">
        <v>48</v>
      </c>
      <c r="P38" s="285">
        <v>200000</v>
      </c>
      <c r="Q38" s="284">
        <f t="shared" si="6"/>
        <v>12636068.041938502</v>
      </c>
      <c r="R38" s="284">
        <v>12835914.389501326</v>
      </c>
      <c r="S38" s="286">
        <f t="shared" si="4"/>
        <v>12735991.215719914</v>
      </c>
    </row>
    <row r="39" spans="1:19" x14ac:dyDescent="0.2">
      <c r="B39" s="166"/>
      <c r="K39" s="56"/>
      <c r="L39" s="125"/>
      <c r="M39" s="56"/>
      <c r="O39" s="166"/>
      <c r="P39" s="56"/>
      <c r="Q39" s="208"/>
      <c r="R39" s="208"/>
    </row>
    <row r="40" spans="1:19" x14ac:dyDescent="0.2">
      <c r="B40" s="155" t="s">
        <v>49</v>
      </c>
      <c r="C40" s="55">
        <f>SUM(C9:C39)</f>
        <v>108035</v>
      </c>
      <c r="D40" s="55">
        <f>SUM(D9:D39)</f>
        <v>103572519</v>
      </c>
      <c r="F40" s="55">
        <f>SUM(F9:F39)</f>
        <v>217727622</v>
      </c>
      <c r="G40" s="55">
        <f>SUM(G9:G39)</f>
        <v>218621.19999999995</v>
      </c>
      <c r="H40" s="55">
        <f>SUM(H9:H39)</f>
        <v>49569023</v>
      </c>
      <c r="J40" s="55">
        <f>SUM(J9:J39)</f>
        <v>184449810.09999999</v>
      </c>
      <c r="K40" s="55">
        <f>SUM(K9:K39)</f>
        <v>555318974.0999999</v>
      </c>
      <c r="L40" s="100">
        <f>'Revenue Offset'!G39</f>
        <v>0.51439411132700485</v>
      </c>
      <c r="M40" s="55">
        <f t="shared" ref="M40:S40" si="7">SUM(M9:M39)</f>
        <v>274005649.00910878</v>
      </c>
      <c r="O40" s="155" t="s">
        <v>49</v>
      </c>
      <c r="P40" s="55">
        <f t="shared" si="7"/>
        <v>4057500</v>
      </c>
      <c r="Q40" s="55">
        <f t="shared" si="7"/>
        <v>278063149.00910878</v>
      </c>
      <c r="R40" s="55">
        <f t="shared" si="7"/>
        <v>260388019.96518227</v>
      </c>
      <c r="S40" s="55">
        <f t="shared" si="7"/>
        <v>269225584.4871456</v>
      </c>
    </row>
    <row r="41" spans="1:19" x14ac:dyDescent="0.2">
      <c r="B41" s="166"/>
      <c r="L41" s="167"/>
      <c r="O41" s="166"/>
      <c r="Q41" s="167"/>
      <c r="R41" s="167"/>
    </row>
    <row r="42" spans="1:19" x14ac:dyDescent="0.2">
      <c r="A42" s="16" t="s">
        <v>314</v>
      </c>
      <c r="B42" s="168"/>
      <c r="M42" s="169"/>
      <c r="N42" s="127"/>
      <c r="O42" s="168"/>
    </row>
    <row r="43" spans="1:19" x14ac:dyDescent="0.2">
      <c r="A43" s="127"/>
      <c r="B43" s="168"/>
      <c r="N43" s="127"/>
      <c r="O43" s="168"/>
    </row>
    <row r="44" spans="1:19" x14ac:dyDescent="0.2">
      <c r="A44" s="127"/>
      <c r="B44" s="168"/>
      <c r="N44" s="127"/>
      <c r="O44" s="168"/>
    </row>
    <row r="45" spans="1:19" x14ac:dyDescent="0.2">
      <c r="J45" s="198"/>
    </row>
    <row r="46" spans="1:19" x14ac:dyDescent="0.2">
      <c r="E46" s="198"/>
      <c r="I46" s="198"/>
      <c r="L46" s="287"/>
      <c r="M46" s="200"/>
      <c r="P46" s="199"/>
    </row>
    <row r="47" spans="1:19" x14ac:dyDescent="0.2">
      <c r="E47" s="198"/>
      <c r="I47" s="198"/>
      <c r="L47" s="287"/>
      <c r="M47" s="200"/>
      <c r="P47" s="199"/>
    </row>
  </sheetData>
  <pageMargins left="0.7" right="0.7" top="0.75" bottom="0.75" header="0.3" footer="0.3"/>
  <pageSetup scale="16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5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46.28515625" style="299" bestFit="1" customWidth="1"/>
    <col min="2" max="2" width="10" style="299" customWidth="1"/>
    <col min="3" max="3" width="11.85546875" style="299" customWidth="1"/>
    <col min="4" max="4" width="11.28515625" style="381" customWidth="1"/>
    <col min="5" max="6" width="10" style="381" customWidth="1"/>
    <col min="7" max="7" width="11.85546875" style="381" customWidth="1"/>
    <col min="8" max="8" width="11.28515625" style="381" customWidth="1"/>
    <col min="9" max="9" width="8" style="299" customWidth="1"/>
    <col min="10" max="10" width="17.28515625" style="299" customWidth="1"/>
    <col min="11" max="11" width="11.5703125" style="299" customWidth="1"/>
    <col min="12" max="12" width="11.28515625" style="299" customWidth="1"/>
    <col min="13" max="13" width="11.5703125" style="299" customWidth="1"/>
    <col min="14" max="14" width="1.5703125" style="299" customWidth="1"/>
    <col min="15" max="15" width="11.42578125" style="299" customWidth="1"/>
    <col min="16" max="16384" width="9.140625" style="299"/>
  </cols>
  <sheetData>
    <row r="1" spans="1:16" x14ac:dyDescent="0.2">
      <c r="A1" s="501" t="s">
        <v>251</v>
      </c>
      <c r="B1" s="501"/>
      <c r="C1" s="501"/>
      <c r="D1" s="501"/>
      <c r="E1" s="501"/>
      <c r="F1" s="501"/>
      <c r="G1" s="501"/>
      <c r="H1" s="501"/>
      <c r="I1" s="501"/>
      <c r="J1" s="298"/>
      <c r="K1" s="422" t="s">
        <v>280</v>
      </c>
      <c r="L1" s="298" t="s">
        <v>205</v>
      </c>
      <c r="M1" s="298" t="s">
        <v>212</v>
      </c>
    </row>
    <row r="2" spans="1:16" x14ac:dyDescent="0.2">
      <c r="A2" s="296" t="s">
        <v>228</v>
      </c>
      <c r="B2" s="296"/>
      <c r="C2" s="296"/>
      <c r="D2" s="297"/>
      <c r="E2" s="297"/>
      <c r="F2" s="297"/>
      <c r="G2" s="297"/>
      <c r="H2" s="297"/>
      <c r="I2" s="296"/>
      <c r="J2" s="299" t="s">
        <v>229</v>
      </c>
      <c r="L2" s="300">
        <v>0.1</v>
      </c>
      <c r="M2" s="300">
        <v>0.1</v>
      </c>
    </row>
    <row r="3" spans="1:16" x14ac:dyDescent="0.2">
      <c r="A3" s="502" t="s">
        <v>331</v>
      </c>
      <c r="B3" s="502"/>
      <c r="C3" s="502"/>
      <c r="D3" s="502"/>
      <c r="E3" s="502"/>
      <c r="F3" s="502"/>
      <c r="G3" s="502"/>
      <c r="H3" s="502"/>
      <c r="I3" s="502"/>
      <c r="J3" s="299" t="s">
        <v>230</v>
      </c>
      <c r="L3" s="300">
        <v>0.75</v>
      </c>
      <c r="M3" s="300">
        <v>0.75</v>
      </c>
    </row>
    <row r="4" spans="1:16" ht="15.6" customHeight="1" thickBot="1" x14ac:dyDescent="0.25">
      <c r="B4" s="301" t="s">
        <v>79</v>
      </c>
      <c r="C4" s="301" t="s">
        <v>74</v>
      </c>
      <c r="D4" s="301" t="s">
        <v>75</v>
      </c>
      <c r="E4" s="301" t="s">
        <v>76</v>
      </c>
      <c r="F4" s="301" t="s">
        <v>77</v>
      </c>
      <c r="G4" s="301" t="s">
        <v>78</v>
      </c>
      <c r="H4" s="301" t="s">
        <v>231</v>
      </c>
      <c r="I4" s="302"/>
      <c r="J4" s="303" t="s">
        <v>232</v>
      </c>
      <c r="K4" s="303" t="s">
        <v>111</v>
      </c>
      <c r="L4" s="303" t="s">
        <v>233</v>
      </c>
      <c r="M4" s="303" t="s">
        <v>234</v>
      </c>
    </row>
    <row r="5" spans="1:16" s="313" customFormat="1" ht="77.25" thickBot="1" x14ac:dyDescent="0.25">
      <c r="A5" s="304" t="s">
        <v>205</v>
      </c>
      <c r="B5" s="305" t="s">
        <v>235</v>
      </c>
      <c r="C5" s="306" t="s">
        <v>236</v>
      </c>
      <c r="D5" s="307" t="s">
        <v>237</v>
      </c>
      <c r="E5" s="307" t="s">
        <v>238</v>
      </c>
      <c r="F5" s="307" t="s">
        <v>239</v>
      </c>
      <c r="G5" s="308" t="s">
        <v>240</v>
      </c>
      <c r="H5" s="307" t="s">
        <v>241</v>
      </c>
      <c r="I5" s="309" t="s">
        <v>242</v>
      </c>
      <c r="J5" s="310" t="s">
        <v>243</v>
      </c>
      <c r="K5" s="311" t="s">
        <v>244</v>
      </c>
      <c r="L5" s="310" t="s">
        <v>245</v>
      </c>
      <c r="M5" s="312" t="s">
        <v>246</v>
      </c>
    </row>
    <row r="6" spans="1:16" s="324" customFormat="1" ht="12.75" customHeight="1" x14ac:dyDescent="0.2">
      <c r="A6" s="314" t="s">
        <v>187</v>
      </c>
      <c r="B6" s="315">
        <v>3655</v>
      </c>
      <c r="C6" s="316">
        <v>479</v>
      </c>
      <c r="D6" s="317">
        <v>412</v>
      </c>
      <c r="E6" s="317">
        <v>604</v>
      </c>
      <c r="F6" s="364">
        <v>328</v>
      </c>
      <c r="G6" s="365">
        <v>52</v>
      </c>
      <c r="H6" s="318">
        <f>SUM(D6:F6)-G6</f>
        <v>1292</v>
      </c>
      <c r="I6" s="319">
        <f t="shared" ref="I6:I16" si="0">H6/H$48</f>
        <v>8.6238544357449421E-3</v>
      </c>
      <c r="J6" s="320">
        <f t="shared" ref="J6:J36" si="1">H6*$L$2</f>
        <v>129.20000000000002</v>
      </c>
      <c r="K6" s="321">
        <f>C6*L3</f>
        <v>359.25</v>
      </c>
      <c r="L6" s="322">
        <f t="shared" ref="L6:L36" si="2">(B6-C6)+J6+K6</f>
        <v>3664.45</v>
      </c>
      <c r="M6" s="323">
        <f t="shared" ref="M6:M36" si="3">(L6+-B6)/B6</f>
        <v>2.5854993160054221E-3</v>
      </c>
    </row>
    <row r="7" spans="1:16" s="324" customFormat="1" x14ac:dyDescent="0.2">
      <c r="A7" s="325" t="s">
        <v>188</v>
      </c>
      <c r="B7" s="315">
        <v>10524</v>
      </c>
      <c r="C7" s="316">
        <v>2341</v>
      </c>
      <c r="D7" s="317">
        <v>1662</v>
      </c>
      <c r="E7" s="317">
        <v>2431</v>
      </c>
      <c r="F7" s="326">
        <v>3070</v>
      </c>
      <c r="G7" s="327">
        <v>703</v>
      </c>
      <c r="H7" s="328">
        <f>SUM(D7:F7)-G7</f>
        <v>6460</v>
      </c>
      <c r="I7" s="323">
        <f t="shared" si="0"/>
        <v>4.3119272178724709E-2</v>
      </c>
      <c r="J7" s="329">
        <f t="shared" si="1"/>
        <v>646</v>
      </c>
      <c r="K7" s="330">
        <f t="shared" ref="K7:K36" si="4">C7*$L$3</f>
        <v>1755.75</v>
      </c>
      <c r="L7" s="331">
        <f t="shared" si="2"/>
        <v>10584.75</v>
      </c>
      <c r="M7" s="323">
        <f t="shared" si="3"/>
        <v>5.7725199543899658E-3</v>
      </c>
      <c r="P7" s="473"/>
    </row>
    <row r="8" spans="1:16" s="324" customFormat="1" x14ac:dyDescent="0.2">
      <c r="A8" s="325" t="s">
        <v>189</v>
      </c>
      <c r="B8" s="315">
        <v>2342</v>
      </c>
      <c r="C8" s="316">
        <v>95</v>
      </c>
      <c r="D8" s="317">
        <v>455</v>
      </c>
      <c r="E8" s="317">
        <v>773</v>
      </c>
      <c r="F8" s="326">
        <v>692</v>
      </c>
      <c r="G8" s="327">
        <v>33</v>
      </c>
      <c r="H8" s="328">
        <f t="shared" ref="H8:H35" si="5">SUM(D8:F8)-G8</f>
        <v>1887</v>
      </c>
      <c r="I8" s="323">
        <f t="shared" si="0"/>
        <v>1.2595366346943271E-2</v>
      </c>
      <c r="J8" s="329">
        <f t="shared" si="1"/>
        <v>188.70000000000002</v>
      </c>
      <c r="K8" s="330">
        <f t="shared" si="4"/>
        <v>71.25</v>
      </c>
      <c r="L8" s="331">
        <f t="shared" si="2"/>
        <v>2506.9499999999998</v>
      </c>
      <c r="M8" s="323">
        <f t="shared" si="3"/>
        <v>7.0431255337318449E-2</v>
      </c>
    </row>
    <row r="9" spans="1:16" s="324" customFormat="1" x14ac:dyDescent="0.2">
      <c r="A9" s="325" t="s">
        <v>7</v>
      </c>
      <c r="B9" s="315">
        <v>5555</v>
      </c>
      <c r="C9" s="316">
        <v>2735</v>
      </c>
      <c r="D9" s="317">
        <v>791</v>
      </c>
      <c r="E9" s="317">
        <v>1018</v>
      </c>
      <c r="F9" s="326">
        <v>582</v>
      </c>
      <c r="G9" s="327">
        <v>464</v>
      </c>
      <c r="H9" s="328">
        <f t="shared" si="5"/>
        <v>1927</v>
      </c>
      <c r="I9" s="323">
        <f t="shared" si="0"/>
        <v>1.2862358744334754E-2</v>
      </c>
      <c r="J9" s="329">
        <f t="shared" si="1"/>
        <v>192.70000000000002</v>
      </c>
      <c r="K9" s="330">
        <f t="shared" si="4"/>
        <v>2051.25</v>
      </c>
      <c r="L9" s="331">
        <f t="shared" si="2"/>
        <v>5063.95</v>
      </c>
      <c r="M9" s="323">
        <f t="shared" si="3"/>
        <v>-8.839783978397843E-2</v>
      </c>
    </row>
    <row r="10" spans="1:16" s="324" customFormat="1" x14ac:dyDescent="0.2">
      <c r="A10" s="325" t="s">
        <v>9</v>
      </c>
      <c r="B10" s="315">
        <v>10991</v>
      </c>
      <c r="C10" s="316">
        <v>538</v>
      </c>
      <c r="D10" s="317">
        <v>2353</v>
      </c>
      <c r="E10" s="317">
        <v>3728</v>
      </c>
      <c r="F10" s="326">
        <v>4681</v>
      </c>
      <c r="G10" s="327">
        <v>116</v>
      </c>
      <c r="H10" s="328">
        <f t="shared" si="5"/>
        <v>10646</v>
      </c>
      <c r="I10" s="323">
        <f t="shared" si="0"/>
        <v>7.1060026565743534E-2</v>
      </c>
      <c r="J10" s="329">
        <f t="shared" si="1"/>
        <v>1064.6000000000001</v>
      </c>
      <c r="K10" s="330">
        <f t="shared" si="4"/>
        <v>403.5</v>
      </c>
      <c r="L10" s="331">
        <f t="shared" si="2"/>
        <v>11921.1</v>
      </c>
      <c r="M10" s="323">
        <f t="shared" si="3"/>
        <v>8.4623783095259794E-2</v>
      </c>
      <c r="P10" s="473"/>
    </row>
    <row r="11" spans="1:16" s="324" customFormat="1" x14ac:dyDescent="0.2">
      <c r="A11" s="325" t="s">
        <v>190</v>
      </c>
      <c r="B11" s="315">
        <v>3285</v>
      </c>
      <c r="C11" s="316">
        <v>88</v>
      </c>
      <c r="D11" s="317">
        <v>626</v>
      </c>
      <c r="E11" s="317">
        <v>1002</v>
      </c>
      <c r="F11" s="326">
        <v>987</v>
      </c>
      <c r="G11" s="327">
        <v>49</v>
      </c>
      <c r="H11" s="328">
        <f t="shared" si="5"/>
        <v>2566</v>
      </c>
      <c r="I11" s="323">
        <f t="shared" si="0"/>
        <v>1.7127562292663715E-2</v>
      </c>
      <c r="J11" s="329">
        <f t="shared" si="1"/>
        <v>256.60000000000002</v>
      </c>
      <c r="K11" s="330">
        <f t="shared" si="4"/>
        <v>66</v>
      </c>
      <c r="L11" s="331">
        <f t="shared" si="2"/>
        <v>3519.6</v>
      </c>
      <c r="M11" s="323">
        <f t="shared" si="3"/>
        <v>7.1415525114155221E-2</v>
      </c>
    </row>
    <row r="12" spans="1:16" s="324" customFormat="1" x14ac:dyDescent="0.2">
      <c r="A12" s="325" t="s">
        <v>219</v>
      </c>
      <c r="B12" s="315">
        <v>1860</v>
      </c>
      <c r="C12" s="316">
        <v>1164</v>
      </c>
      <c r="D12" s="317">
        <v>260</v>
      </c>
      <c r="E12" s="317">
        <v>404</v>
      </c>
      <c r="F12" s="326">
        <v>402</v>
      </c>
      <c r="G12" s="327">
        <v>190</v>
      </c>
      <c r="H12" s="328">
        <f t="shared" si="5"/>
        <v>876</v>
      </c>
      <c r="I12" s="323">
        <f t="shared" si="0"/>
        <v>5.8471335028735059E-3</v>
      </c>
      <c r="J12" s="329">
        <f t="shared" si="1"/>
        <v>87.600000000000009</v>
      </c>
      <c r="K12" s="330">
        <f t="shared" si="4"/>
        <v>873</v>
      </c>
      <c r="L12" s="331">
        <f t="shared" si="2"/>
        <v>1656.6</v>
      </c>
      <c r="M12" s="323">
        <f t="shared" si="3"/>
        <v>-0.10935483870967747</v>
      </c>
    </row>
    <row r="13" spans="1:16" s="324" customFormat="1" x14ac:dyDescent="0.2">
      <c r="A13" s="325" t="s">
        <v>139</v>
      </c>
      <c r="B13" s="315">
        <v>6308</v>
      </c>
      <c r="C13" s="316">
        <v>603</v>
      </c>
      <c r="D13" s="317">
        <v>1507</v>
      </c>
      <c r="E13" s="317">
        <v>1734</v>
      </c>
      <c r="F13" s="326">
        <v>2884</v>
      </c>
      <c r="G13" s="327">
        <v>131</v>
      </c>
      <c r="H13" s="328">
        <f t="shared" si="5"/>
        <v>5994</v>
      </c>
      <c r="I13" s="323">
        <f t="shared" si="0"/>
        <v>4.0008810749113916E-2</v>
      </c>
      <c r="J13" s="329">
        <f t="shared" si="1"/>
        <v>599.4</v>
      </c>
      <c r="K13" s="330">
        <f t="shared" si="4"/>
        <v>452.25</v>
      </c>
      <c r="L13" s="331">
        <f t="shared" si="2"/>
        <v>6756.65</v>
      </c>
      <c r="M13" s="323">
        <f t="shared" si="3"/>
        <v>7.112396956246031E-2</v>
      </c>
    </row>
    <row r="14" spans="1:16" s="324" customFormat="1" x14ac:dyDescent="0.2">
      <c r="A14" s="325" t="s">
        <v>191</v>
      </c>
      <c r="B14" s="315">
        <v>5501</v>
      </c>
      <c r="C14" s="316">
        <v>561</v>
      </c>
      <c r="D14" s="317">
        <v>996</v>
      </c>
      <c r="E14" s="317">
        <v>1356</v>
      </c>
      <c r="F14" s="326">
        <v>2139</v>
      </c>
      <c r="G14" s="327">
        <v>249</v>
      </c>
      <c r="H14" s="328">
        <f t="shared" si="5"/>
        <v>4242</v>
      </c>
      <c r="I14" s="323">
        <f t="shared" si="0"/>
        <v>2.8314543743366907E-2</v>
      </c>
      <c r="J14" s="329">
        <f t="shared" si="1"/>
        <v>424.20000000000005</v>
      </c>
      <c r="K14" s="330">
        <f t="shared" si="4"/>
        <v>420.75</v>
      </c>
      <c r="L14" s="331">
        <f t="shared" si="2"/>
        <v>5784.95</v>
      </c>
      <c r="M14" s="323">
        <f t="shared" si="3"/>
        <v>5.1617887656789645E-2</v>
      </c>
    </row>
    <row r="15" spans="1:16" s="324" customFormat="1" x14ac:dyDescent="0.2">
      <c r="A15" s="325" t="s">
        <v>17</v>
      </c>
      <c r="B15" s="315">
        <v>5967</v>
      </c>
      <c r="C15" s="316">
        <v>1168</v>
      </c>
      <c r="D15" s="317">
        <v>721</v>
      </c>
      <c r="E15" s="317">
        <v>1243</v>
      </c>
      <c r="F15" s="326">
        <v>804</v>
      </c>
      <c r="G15" s="327">
        <v>165</v>
      </c>
      <c r="H15" s="328">
        <f t="shared" si="5"/>
        <v>2603</v>
      </c>
      <c r="I15" s="323">
        <f t="shared" si="0"/>
        <v>1.7374530260250841E-2</v>
      </c>
      <c r="J15" s="329">
        <f t="shared" si="1"/>
        <v>260.3</v>
      </c>
      <c r="K15" s="330">
        <f t="shared" si="4"/>
        <v>876</v>
      </c>
      <c r="L15" s="331">
        <f t="shared" si="2"/>
        <v>5935.3</v>
      </c>
      <c r="M15" s="323">
        <f t="shared" si="3"/>
        <v>-5.3125523713758701E-3</v>
      </c>
    </row>
    <row r="16" spans="1:16" s="324" customFormat="1" x14ac:dyDescent="0.2">
      <c r="A16" s="325" t="s">
        <v>192</v>
      </c>
      <c r="B16" s="315">
        <v>8949</v>
      </c>
      <c r="C16" s="316">
        <v>551</v>
      </c>
      <c r="D16" s="317">
        <v>2580</v>
      </c>
      <c r="E16" s="317">
        <v>3667</v>
      </c>
      <c r="F16" s="326">
        <v>5181</v>
      </c>
      <c r="G16" s="327">
        <v>396</v>
      </c>
      <c r="H16" s="328">
        <f t="shared" si="5"/>
        <v>11032</v>
      </c>
      <c r="I16" s="323">
        <f t="shared" si="0"/>
        <v>7.3636503200571357E-2</v>
      </c>
      <c r="J16" s="329">
        <f t="shared" si="1"/>
        <v>1103.2</v>
      </c>
      <c r="K16" s="330">
        <f t="shared" si="4"/>
        <v>413.25</v>
      </c>
      <c r="L16" s="331">
        <f t="shared" si="2"/>
        <v>9914.4500000000007</v>
      </c>
      <c r="M16" s="323">
        <f t="shared" si="3"/>
        <v>0.10788356240920781</v>
      </c>
    </row>
    <row r="17" spans="1:15" s="324" customFormat="1" x14ac:dyDescent="0.2">
      <c r="A17" s="333" t="s">
        <v>303</v>
      </c>
      <c r="B17" s="334">
        <v>4916</v>
      </c>
      <c r="C17" s="335">
        <v>820</v>
      </c>
      <c r="D17" s="336">
        <v>759</v>
      </c>
      <c r="E17" s="336">
        <v>1458</v>
      </c>
      <c r="F17" s="336">
        <v>1035</v>
      </c>
      <c r="G17" s="335">
        <v>161</v>
      </c>
      <c r="H17" s="337">
        <f t="shared" ref="H17:H22" si="6">SUM(D17:F17)-G17</f>
        <v>3091</v>
      </c>
      <c r="I17" s="338">
        <f t="shared" ref="I17" si="7">SUM(I18:I22)</f>
        <v>2.0631837508426946E-2</v>
      </c>
      <c r="J17" s="339">
        <f t="shared" ref="J17:J22" si="8">H17*$L$2</f>
        <v>309.10000000000002</v>
      </c>
      <c r="K17" s="340">
        <f t="shared" ref="K17:K22" si="9">C17*$L$3</f>
        <v>615</v>
      </c>
      <c r="L17" s="341">
        <f t="shared" ref="L17:L22" si="10">(B17-C17)+J17+K17</f>
        <v>5020.1000000000004</v>
      </c>
      <c r="M17" s="323">
        <f t="shared" ref="M17:M22" si="11">(L17+-B17)/B17</f>
        <v>2.1175752644426438E-2</v>
      </c>
    </row>
    <row r="18" spans="1:15" s="324" customFormat="1" x14ac:dyDescent="0.2">
      <c r="A18" s="342" t="s">
        <v>222</v>
      </c>
      <c r="B18" s="315">
        <v>1172</v>
      </c>
      <c r="C18" s="316">
        <v>93</v>
      </c>
      <c r="D18" s="317">
        <v>192</v>
      </c>
      <c r="E18" s="317">
        <v>420</v>
      </c>
      <c r="F18" s="326">
        <v>202</v>
      </c>
      <c r="G18" s="327">
        <v>14</v>
      </c>
      <c r="H18" s="328">
        <f t="shared" si="6"/>
        <v>800</v>
      </c>
      <c r="I18" s="323">
        <f t="shared" ref="I18:I27" si="12">H18/H$48</f>
        <v>5.3398479478296854E-3</v>
      </c>
      <c r="J18" s="329">
        <f t="shared" si="8"/>
        <v>80</v>
      </c>
      <c r="K18" s="330">
        <f t="shared" si="9"/>
        <v>69.75</v>
      </c>
      <c r="L18" s="331">
        <f t="shared" si="10"/>
        <v>1228.75</v>
      </c>
      <c r="M18" s="323">
        <f t="shared" si="11"/>
        <v>4.842150170648464E-2</v>
      </c>
    </row>
    <row r="19" spans="1:15" s="324" customFormat="1" x14ac:dyDescent="0.2">
      <c r="A19" s="342" t="s">
        <v>223</v>
      </c>
      <c r="B19" s="315">
        <v>1480</v>
      </c>
      <c r="C19" s="316">
        <v>322</v>
      </c>
      <c r="D19" s="317">
        <v>219</v>
      </c>
      <c r="E19" s="317">
        <v>392</v>
      </c>
      <c r="F19" s="326">
        <v>345</v>
      </c>
      <c r="G19" s="327">
        <v>93</v>
      </c>
      <c r="H19" s="328">
        <f t="shared" si="6"/>
        <v>863</v>
      </c>
      <c r="I19" s="323">
        <f t="shared" si="12"/>
        <v>5.7603609737212737E-3</v>
      </c>
      <c r="J19" s="329">
        <f t="shared" si="8"/>
        <v>86.300000000000011</v>
      </c>
      <c r="K19" s="330">
        <f t="shared" si="9"/>
        <v>241.5</v>
      </c>
      <c r="L19" s="331">
        <f t="shared" si="10"/>
        <v>1485.8</v>
      </c>
      <c r="M19" s="323">
        <f t="shared" si="11"/>
        <v>3.9189189189188884E-3</v>
      </c>
    </row>
    <row r="20" spans="1:15" s="324" customFormat="1" x14ac:dyDescent="0.2">
      <c r="A20" s="342" t="s">
        <v>224</v>
      </c>
      <c r="B20" s="315">
        <v>1183</v>
      </c>
      <c r="C20" s="316">
        <v>115</v>
      </c>
      <c r="D20" s="317">
        <v>195</v>
      </c>
      <c r="E20" s="317">
        <v>398</v>
      </c>
      <c r="F20" s="326">
        <v>251</v>
      </c>
      <c r="G20" s="327">
        <v>6</v>
      </c>
      <c r="H20" s="328">
        <f t="shared" si="6"/>
        <v>838</v>
      </c>
      <c r="I20" s="323">
        <f t="shared" si="12"/>
        <v>5.5934907253515952E-3</v>
      </c>
      <c r="J20" s="329">
        <f t="shared" si="8"/>
        <v>83.800000000000011</v>
      </c>
      <c r="K20" s="330">
        <f t="shared" si="9"/>
        <v>86.25</v>
      </c>
      <c r="L20" s="331">
        <f t="shared" si="10"/>
        <v>1238.05</v>
      </c>
      <c r="M20" s="323">
        <f t="shared" si="11"/>
        <v>4.6534234995773416E-2</v>
      </c>
    </row>
    <row r="21" spans="1:15" s="324" customFormat="1" x14ac:dyDescent="0.2">
      <c r="A21" s="342" t="s">
        <v>225</v>
      </c>
      <c r="B21" s="315">
        <v>267</v>
      </c>
      <c r="C21" s="316">
        <v>0</v>
      </c>
      <c r="D21" s="317">
        <v>48</v>
      </c>
      <c r="E21" s="317">
        <v>75</v>
      </c>
      <c r="F21" s="326">
        <v>93</v>
      </c>
      <c r="G21" s="327">
        <v>0</v>
      </c>
      <c r="H21" s="328">
        <f t="shared" si="6"/>
        <v>216</v>
      </c>
      <c r="I21" s="323">
        <f t="shared" si="12"/>
        <v>1.4417589459140151E-3</v>
      </c>
      <c r="J21" s="329">
        <f t="shared" si="8"/>
        <v>21.6</v>
      </c>
      <c r="K21" s="330">
        <f t="shared" si="9"/>
        <v>0</v>
      </c>
      <c r="L21" s="331">
        <f t="shared" si="10"/>
        <v>288.60000000000002</v>
      </c>
      <c r="M21" s="323">
        <f t="shared" si="11"/>
        <v>8.089887640449446E-2</v>
      </c>
    </row>
    <row r="22" spans="1:15" s="324" customFormat="1" x14ac:dyDescent="0.2">
      <c r="A22" s="342" t="s">
        <v>226</v>
      </c>
      <c r="B22" s="315">
        <v>814</v>
      </c>
      <c r="C22" s="316">
        <v>290</v>
      </c>
      <c r="D22" s="317">
        <v>105</v>
      </c>
      <c r="E22" s="317">
        <v>173</v>
      </c>
      <c r="F22" s="326">
        <v>144</v>
      </c>
      <c r="G22" s="327">
        <v>48</v>
      </c>
      <c r="H22" s="328">
        <f t="shared" si="6"/>
        <v>374</v>
      </c>
      <c r="I22" s="323">
        <f t="shared" si="12"/>
        <v>2.4963789156103779E-3</v>
      </c>
      <c r="J22" s="329">
        <f t="shared" si="8"/>
        <v>37.4</v>
      </c>
      <c r="K22" s="330">
        <f t="shared" si="9"/>
        <v>217.5</v>
      </c>
      <c r="L22" s="331">
        <f t="shared" si="10"/>
        <v>778.9</v>
      </c>
      <c r="M22" s="323">
        <f t="shared" si="11"/>
        <v>-4.3120393120393147E-2</v>
      </c>
    </row>
    <row r="23" spans="1:15" s="324" customFormat="1" x14ac:dyDescent="0.2">
      <c r="A23" s="325" t="s">
        <v>193</v>
      </c>
      <c r="B23" s="315">
        <v>2502</v>
      </c>
      <c r="C23" s="316">
        <v>420</v>
      </c>
      <c r="D23" s="317">
        <v>388</v>
      </c>
      <c r="E23" s="317">
        <v>546</v>
      </c>
      <c r="F23" s="326">
        <v>358</v>
      </c>
      <c r="G23" s="327">
        <v>65</v>
      </c>
      <c r="H23" s="328">
        <f t="shared" si="5"/>
        <v>1227</v>
      </c>
      <c r="I23" s="323">
        <f t="shared" si="12"/>
        <v>8.1899917899837804E-3</v>
      </c>
      <c r="J23" s="329">
        <f t="shared" si="1"/>
        <v>122.7</v>
      </c>
      <c r="K23" s="330">
        <f t="shared" si="4"/>
        <v>315</v>
      </c>
      <c r="L23" s="331">
        <f t="shared" si="2"/>
        <v>2519.6999999999998</v>
      </c>
      <c r="M23" s="323">
        <f t="shared" si="3"/>
        <v>7.0743405275778652E-3</v>
      </c>
    </row>
    <row r="24" spans="1:15" s="324" customFormat="1" x14ac:dyDescent="0.2">
      <c r="A24" s="325" t="s">
        <v>194</v>
      </c>
      <c r="B24" s="315">
        <v>6616</v>
      </c>
      <c r="C24" s="316">
        <v>1836</v>
      </c>
      <c r="D24" s="317">
        <v>1100</v>
      </c>
      <c r="E24" s="317">
        <v>1935</v>
      </c>
      <c r="F24" s="326">
        <v>1369</v>
      </c>
      <c r="G24" s="327">
        <v>241</v>
      </c>
      <c r="H24" s="328">
        <f t="shared" si="5"/>
        <v>4163</v>
      </c>
      <c r="I24" s="323">
        <f t="shared" si="12"/>
        <v>2.7787233758518725E-2</v>
      </c>
      <c r="J24" s="329">
        <f t="shared" si="1"/>
        <v>416.3</v>
      </c>
      <c r="K24" s="330">
        <f t="shared" si="4"/>
        <v>1377</v>
      </c>
      <c r="L24" s="331">
        <f t="shared" si="2"/>
        <v>6573.3</v>
      </c>
      <c r="M24" s="323">
        <f t="shared" si="3"/>
        <v>-6.45405078597337E-3</v>
      </c>
    </row>
    <row r="25" spans="1:15" s="324" customFormat="1" x14ac:dyDescent="0.2">
      <c r="A25" s="325" t="s">
        <v>221</v>
      </c>
      <c r="B25" s="315">
        <v>4817</v>
      </c>
      <c r="C25" s="316">
        <v>888</v>
      </c>
      <c r="D25" s="317">
        <v>952</v>
      </c>
      <c r="E25" s="317">
        <v>792</v>
      </c>
      <c r="F25" s="326">
        <v>999</v>
      </c>
      <c r="G25" s="327">
        <v>242</v>
      </c>
      <c r="H25" s="328">
        <f t="shared" si="5"/>
        <v>2501</v>
      </c>
      <c r="I25" s="323">
        <f t="shared" si="12"/>
        <v>1.6693699646902555E-2</v>
      </c>
      <c r="J25" s="329">
        <f t="shared" si="1"/>
        <v>250.10000000000002</v>
      </c>
      <c r="K25" s="330">
        <f t="shared" si="4"/>
        <v>666</v>
      </c>
      <c r="L25" s="331">
        <f t="shared" si="2"/>
        <v>4845.1000000000004</v>
      </c>
      <c r="M25" s="323">
        <f t="shared" si="3"/>
        <v>5.8335063317418237E-3</v>
      </c>
    </row>
    <row r="26" spans="1:15" s="324" customFormat="1" x14ac:dyDescent="0.2">
      <c r="A26" s="325" t="s">
        <v>132</v>
      </c>
      <c r="B26" s="315">
        <v>13775</v>
      </c>
      <c r="C26" s="316">
        <v>1205</v>
      </c>
      <c r="D26" s="317">
        <v>2819</v>
      </c>
      <c r="E26" s="317">
        <v>3581</v>
      </c>
      <c r="F26" s="326">
        <v>5835</v>
      </c>
      <c r="G26" s="327">
        <v>496</v>
      </c>
      <c r="H26" s="328">
        <f t="shared" si="5"/>
        <v>11739</v>
      </c>
      <c r="I26" s="323">
        <f t="shared" si="12"/>
        <v>7.8355593824465844E-2</v>
      </c>
      <c r="J26" s="329">
        <f t="shared" si="1"/>
        <v>1173.9000000000001</v>
      </c>
      <c r="K26" s="330">
        <f t="shared" si="4"/>
        <v>903.75</v>
      </c>
      <c r="L26" s="331">
        <f t="shared" si="2"/>
        <v>14647.65</v>
      </c>
      <c r="M26" s="323">
        <f>(L26+-B26)/B26</f>
        <v>6.3350272232304869E-2</v>
      </c>
    </row>
    <row r="27" spans="1:15" s="324" customFormat="1" x14ac:dyDescent="0.2">
      <c r="A27" s="332" t="s">
        <v>133</v>
      </c>
      <c r="B27" s="315">
        <v>7563</v>
      </c>
      <c r="C27" s="316">
        <v>722</v>
      </c>
      <c r="D27" s="317">
        <v>1628</v>
      </c>
      <c r="E27" s="317">
        <v>2289</v>
      </c>
      <c r="F27" s="326">
        <v>3953</v>
      </c>
      <c r="G27" s="327">
        <v>204</v>
      </c>
      <c r="H27" s="328">
        <f t="shared" si="5"/>
        <v>7666</v>
      </c>
      <c r="I27" s="323">
        <f t="shared" si="12"/>
        <v>5.1169092960077961E-2</v>
      </c>
      <c r="J27" s="329">
        <f t="shared" si="1"/>
        <v>766.6</v>
      </c>
      <c r="K27" s="330">
        <f t="shared" si="4"/>
        <v>541.5</v>
      </c>
      <c r="L27" s="331">
        <f t="shared" si="2"/>
        <v>8149.1</v>
      </c>
      <c r="M27" s="323">
        <f t="shared" si="3"/>
        <v>7.7495702763453703E-2</v>
      </c>
    </row>
    <row r="28" spans="1:15" s="324" customFormat="1" x14ac:dyDescent="0.2">
      <c r="A28" s="325" t="s">
        <v>227</v>
      </c>
      <c r="B28" s="315">
        <v>3618</v>
      </c>
      <c r="C28" s="316">
        <v>322</v>
      </c>
      <c r="D28" s="317">
        <v>635</v>
      </c>
      <c r="E28" s="317">
        <v>884</v>
      </c>
      <c r="F28" s="326">
        <v>652</v>
      </c>
      <c r="G28" s="327">
        <v>63</v>
      </c>
      <c r="H28" s="328">
        <f t="shared" si="5"/>
        <v>2108</v>
      </c>
      <c r="I28" s="323">
        <f t="shared" ref="I28:I36" si="13">H28/H$48</f>
        <v>1.4070499342531221E-2</v>
      </c>
      <c r="J28" s="329">
        <f t="shared" si="1"/>
        <v>210.8</v>
      </c>
      <c r="K28" s="330">
        <f t="shared" si="4"/>
        <v>241.5</v>
      </c>
      <c r="L28" s="331">
        <f t="shared" si="2"/>
        <v>3748.3</v>
      </c>
      <c r="M28" s="323">
        <f t="shared" si="3"/>
        <v>3.6014372581536808E-2</v>
      </c>
    </row>
    <row r="29" spans="1:15" s="324" customFormat="1" x14ac:dyDescent="0.2">
      <c r="A29" s="325" t="s">
        <v>201</v>
      </c>
      <c r="B29" s="315">
        <v>1377</v>
      </c>
      <c r="C29" s="316">
        <v>0</v>
      </c>
      <c r="D29" s="317">
        <v>195</v>
      </c>
      <c r="E29" s="317">
        <v>368</v>
      </c>
      <c r="F29" s="326">
        <v>234</v>
      </c>
      <c r="G29" s="327"/>
      <c r="H29" s="328">
        <f t="shared" si="5"/>
        <v>797</v>
      </c>
      <c r="I29" s="323">
        <f t="shared" si="13"/>
        <v>5.3198235180253245E-3</v>
      </c>
      <c r="J29" s="329">
        <f t="shared" si="1"/>
        <v>79.7</v>
      </c>
      <c r="K29" s="330">
        <f t="shared" si="4"/>
        <v>0</v>
      </c>
      <c r="L29" s="331">
        <f t="shared" si="2"/>
        <v>1456.7</v>
      </c>
      <c r="M29" s="323">
        <f t="shared" si="3"/>
        <v>5.7879448075526543E-2</v>
      </c>
      <c r="O29" s="473"/>
    </row>
    <row r="30" spans="1:15" s="324" customFormat="1" x14ac:dyDescent="0.2">
      <c r="A30" s="325" t="s">
        <v>202</v>
      </c>
      <c r="B30" s="315">
        <v>2478</v>
      </c>
      <c r="C30" s="316">
        <v>1241</v>
      </c>
      <c r="D30" s="317">
        <v>371</v>
      </c>
      <c r="E30" s="317">
        <v>434</v>
      </c>
      <c r="F30" s="326">
        <v>329</v>
      </c>
      <c r="G30" s="327">
        <v>231</v>
      </c>
      <c r="H30" s="328">
        <f t="shared" si="5"/>
        <v>903</v>
      </c>
      <c r="I30" s="323">
        <f t="shared" si="13"/>
        <v>6.0273533711127578E-3</v>
      </c>
      <c r="J30" s="329">
        <f t="shared" si="1"/>
        <v>90.300000000000011</v>
      </c>
      <c r="K30" s="330">
        <f t="shared" si="4"/>
        <v>930.75</v>
      </c>
      <c r="L30" s="331">
        <f t="shared" si="2"/>
        <v>2258.0500000000002</v>
      </c>
      <c r="M30" s="323">
        <f t="shared" si="3"/>
        <v>-8.8761097659402668E-2</v>
      </c>
    </row>
    <row r="31" spans="1:15" s="324" customFormat="1" x14ac:dyDescent="0.2">
      <c r="A31" s="325" t="s">
        <v>36</v>
      </c>
      <c r="B31" s="315">
        <v>3573</v>
      </c>
      <c r="C31" s="316">
        <v>158</v>
      </c>
      <c r="D31" s="317">
        <v>771</v>
      </c>
      <c r="E31" s="317">
        <v>1274</v>
      </c>
      <c r="F31" s="326">
        <v>727</v>
      </c>
      <c r="G31" s="327">
        <v>19</v>
      </c>
      <c r="H31" s="328">
        <f t="shared" si="5"/>
        <v>2753</v>
      </c>
      <c r="I31" s="323">
        <f t="shared" si="13"/>
        <v>1.8375751750468905E-2</v>
      </c>
      <c r="J31" s="329">
        <f t="shared" si="1"/>
        <v>275.3</v>
      </c>
      <c r="K31" s="330">
        <f t="shared" si="4"/>
        <v>118.5</v>
      </c>
      <c r="L31" s="331">
        <f t="shared" si="2"/>
        <v>3808.8</v>
      </c>
      <c r="M31" s="323">
        <f t="shared" si="3"/>
        <v>6.5994962216624736E-2</v>
      </c>
    </row>
    <row r="32" spans="1:15" s="324" customFormat="1" x14ac:dyDescent="0.2">
      <c r="A32" s="325" t="s">
        <v>131</v>
      </c>
      <c r="B32" s="315">
        <v>4309</v>
      </c>
      <c r="C32" s="316">
        <v>1114</v>
      </c>
      <c r="D32" s="317">
        <v>952</v>
      </c>
      <c r="E32" s="317">
        <v>1155</v>
      </c>
      <c r="F32" s="326">
        <v>1128</v>
      </c>
      <c r="G32" s="327">
        <v>325</v>
      </c>
      <c r="H32" s="328">
        <f t="shared" si="5"/>
        <v>2910</v>
      </c>
      <c r="I32" s="323">
        <f t="shared" si="13"/>
        <v>1.9423696910230482E-2</v>
      </c>
      <c r="J32" s="329">
        <f t="shared" si="1"/>
        <v>291</v>
      </c>
      <c r="K32" s="330">
        <f t="shared" si="4"/>
        <v>835.5</v>
      </c>
      <c r="L32" s="331">
        <f t="shared" si="2"/>
        <v>4321.5</v>
      </c>
      <c r="M32" s="323">
        <f t="shared" si="3"/>
        <v>2.9009050823857042E-3</v>
      </c>
    </row>
    <row r="33" spans="1:20" s="324" customFormat="1" x14ac:dyDescent="0.2">
      <c r="A33" s="325" t="s">
        <v>203</v>
      </c>
      <c r="B33" s="315">
        <v>6189</v>
      </c>
      <c r="C33" s="316">
        <v>376</v>
      </c>
      <c r="D33" s="317">
        <v>1294</v>
      </c>
      <c r="E33" s="317">
        <v>1986</v>
      </c>
      <c r="F33" s="326">
        <v>1952</v>
      </c>
      <c r="G33" s="327">
        <v>137</v>
      </c>
      <c r="H33" s="328">
        <f t="shared" si="5"/>
        <v>5095</v>
      </c>
      <c r="I33" s="323">
        <f t="shared" si="13"/>
        <v>3.4008156617740308E-2</v>
      </c>
      <c r="J33" s="329">
        <f t="shared" si="1"/>
        <v>509.5</v>
      </c>
      <c r="K33" s="330">
        <f t="shared" si="4"/>
        <v>282</v>
      </c>
      <c r="L33" s="331">
        <f t="shared" si="2"/>
        <v>6604.5</v>
      </c>
      <c r="M33" s="323">
        <f t="shared" si="3"/>
        <v>6.7135239941832278E-2</v>
      </c>
    </row>
    <row r="34" spans="1:20" s="324" customFormat="1" ht="12.75" customHeight="1" x14ac:dyDescent="0.2">
      <c r="A34" s="314" t="s">
        <v>204</v>
      </c>
      <c r="B34" s="315">
        <v>4780</v>
      </c>
      <c r="C34" s="316">
        <v>29</v>
      </c>
      <c r="D34" s="317">
        <v>1164</v>
      </c>
      <c r="E34" s="317">
        <v>1874</v>
      </c>
      <c r="F34" s="326">
        <v>1375</v>
      </c>
      <c r="G34" s="327">
        <v>8</v>
      </c>
      <c r="H34" s="328">
        <f t="shared" si="5"/>
        <v>4405</v>
      </c>
      <c r="I34" s="323">
        <f t="shared" si="13"/>
        <v>2.9402537762737206E-2</v>
      </c>
      <c r="J34" s="329">
        <f t="shared" si="1"/>
        <v>440.5</v>
      </c>
      <c r="K34" s="330">
        <f t="shared" si="4"/>
        <v>21.75</v>
      </c>
      <c r="L34" s="331">
        <f t="shared" si="2"/>
        <v>5213.25</v>
      </c>
      <c r="M34" s="323">
        <f t="shared" si="3"/>
        <v>9.0638075313807534E-2</v>
      </c>
    </row>
    <row r="35" spans="1:20" s="324" customFormat="1" x14ac:dyDescent="0.2">
      <c r="A35" s="325" t="s">
        <v>70</v>
      </c>
      <c r="B35" s="315">
        <v>7652</v>
      </c>
      <c r="C35" s="316">
        <v>537</v>
      </c>
      <c r="D35" s="317">
        <v>2451</v>
      </c>
      <c r="E35" s="317">
        <v>3346</v>
      </c>
      <c r="F35" s="326">
        <v>4968</v>
      </c>
      <c r="G35" s="327">
        <v>406</v>
      </c>
      <c r="H35" s="328">
        <f t="shared" si="5"/>
        <v>10359</v>
      </c>
      <c r="I35" s="323">
        <f t="shared" si="13"/>
        <v>6.914435611445964E-2</v>
      </c>
      <c r="J35" s="329">
        <f t="shared" si="1"/>
        <v>1035.9000000000001</v>
      </c>
      <c r="K35" s="330">
        <f t="shared" si="4"/>
        <v>402.75</v>
      </c>
      <c r="L35" s="331">
        <f t="shared" si="2"/>
        <v>8553.65</v>
      </c>
      <c r="M35" s="323">
        <f t="shared" si="3"/>
        <v>0.11783193936225819</v>
      </c>
    </row>
    <row r="36" spans="1:20" s="324" customFormat="1" ht="13.5" thickBot="1" x14ac:dyDescent="0.25">
      <c r="A36" s="343" t="s">
        <v>117</v>
      </c>
      <c r="B36" s="315">
        <v>4302</v>
      </c>
      <c r="C36" s="316">
        <v>186</v>
      </c>
      <c r="D36" s="317">
        <v>955</v>
      </c>
      <c r="E36" s="317">
        <v>1252</v>
      </c>
      <c r="F36" s="326">
        <v>902</v>
      </c>
      <c r="G36" s="327">
        <v>82</v>
      </c>
      <c r="H36" s="328">
        <f>SUM(D36:F36)-G36</f>
        <v>3027</v>
      </c>
      <c r="I36" s="344">
        <f t="shared" si="13"/>
        <v>2.0204649672600574E-2</v>
      </c>
      <c r="J36" s="329">
        <f t="shared" si="1"/>
        <v>302.7</v>
      </c>
      <c r="K36" s="345">
        <f t="shared" si="4"/>
        <v>139.5</v>
      </c>
      <c r="L36" s="331">
        <f t="shared" si="2"/>
        <v>4558.2</v>
      </c>
      <c r="M36" s="323">
        <f t="shared" si="3"/>
        <v>5.9553695955369551E-2</v>
      </c>
    </row>
    <row r="37" spans="1:20" s="351" customFormat="1" ht="13.5" thickBot="1" x14ac:dyDescent="0.25">
      <c r="A37" s="346" t="s">
        <v>247</v>
      </c>
      <c r="B37" s="347">
        <f t="shared" ref="B37:H37" si="14">SUM(B6:B36)-B17</f>
        <v>143404</v>
      </c>
      <c r="C37" s="348">
        <f t="shared" si="14"/>
        <v>20177</v>
      </c>
      <c r="D37" s="349">
        <f t="shared" si="14"/>
        <v>28797</v>
      </c>
      <c r="E37" s="349">
        <f t="shared" si="14"/>
        <v>41134</v>
      </c>
      <c r="F37" s="349">
        <f t="shared" si="14"/>
        <v>47566</v>
      </c>
      <c r="G37" s="348">
        <f t="shared" si="14"/>
        <v>5228</v>
      </c>
      <c r="H37" s="349">
        <f t="shared" si="14"/>
        <v>112269</v>
      </c>
      <c r="I37" s="350">
        <f>SUM(I6:I17,I23:I36)</f>
        <v>0.74937423656861346</v>
      </c>
      <c r="J37" s="347">
        <f>SUM(J6:J17,J23:J36)</f>
        <v>11226.9</v>
      </c>
      <c r="K37" s="348">
        <f>SUM(K6:K17,K23:K36)</f>
        <v>15132.75</v>
      </c>
      <c r="L37" s="347">
        <f>SUM(L6:L17,L23:L36)</f>
        <v>149586.65000000002</v>
      </c>
      <c r="M37" s="323">
        <f>(L37+-B37)/B37</f>
        <v>4.3113511478062139E-2</v>
      </c>
      <c r="N37" s="324"/>
      <c r="O37" s="324"/>
      <c r="P37" s="324"/>
      <c r="Q37" s="324"/>
      <c r="R37" s="324"/>
      <c r="S37" s="324"/>
      <c r="T37" s="324"/>
    </row>
    <row r="38" spans="1:20" s="324" customFormat="1" ht="13.5" thickBot="1" x14ac:dyDescent="0.25">
      <c r="A38" s="352"/>
      <c r="B38" s="353"/>
      <c r="C38" s="353"/>
      <c r="D38" s="354"/>
      <c r="E38" s="354"/>
      <c r="F38" s="354"/>
      <c r="G38" s="354"/>
      <c r="H38" s="355"/>
      <c r="I38" s="356"/>
      <c r="M38" s="356"/>
    </row>
    <row r="39" spans="1:20" s="362" customFormat="1" ht="13.5" thickBot="1" x14ac:dyDescent="0.25">
      <c r="A39" s="357" t="s">
        <v>212</v>
      </c>
      <c r="B39" s="358"/>
      <c r="C39" s="358"/>
      <c r="D39" s="359"/>
      <c r="E39" s="359"/>
      <c r="F39" s="360"/>
      <c r="G39" s="360"/>
      <c r="H39" s="361"/>
      <c r="I39" s="356"/>
      <c r="M39" s="356"/>
    </row>
    <row r="40" spans="1:20" s="324" customFormat="1" x14ac:dyDescent="0.2">
      <c r="A40" s="363" t="s">
        <v>206</v>
      </c>
      <c r="B40" s="315">
        <v>5307</v>
      </c>
      <c r="C40" s="316">
        <v>348</v>
      </c>
      <c r="D40" s="317">
        <v>677</v>
      </c>
      <c r="E40" s="317">
        <v>1483</v>
      </c>
      <c r="F40" s="364">
        <v>844</v>
      </c>
      <c r="G40" s="365">
        <v>42</v>
      </c>
      <c r="H40" s="366">
        <f t="shared" ref="H40:H46" si="15">SUM(D40:F40)-G40</f>
        <v>2962</v>
      </c>
      <c r="I40" s="319">
        <f t="shared" ref="I40:I46" si="16">H40/H$48</f>
        <v>1.9770787026839411E-2</v>
      </c>
      <c r="J40" s="329">
        <f t="shared" ref="J40:J46" si="17">H40*$M$2</f>
        <v>296.2</v>
      </c>
      <c r="K40" s="345">
        <f t="shared" ref="K40:K46" si="18">C40*$L$3</f>
        <v>261</v>
      </c>
      <c r="L40" s="331">
        <f t="shared" ref="L40:L46" si="19">(B40-C40)+J40+K40</f>
        <v>5516.2</v>
      </c>
      <c r="M40" s="323">
        <f t="shared" ref="M40:M48" si="20">(L40+-B40)/B40</f>
        <v>3.9419634445072509E-2</v>
      </c>
    </row>
    <row r="41" spans="1:20" s="324" customFormat="1" x14ac:dyDescent="0.2">
      <c r="A41" s="325" t="s">
        <v>140</v>
      </c>
      <c r="B41" s="315">
        <v>9201</v>
      </c>
      <c r="C41" s="316">
        <v>5</v>
      </c>
      <c r="D41" s="317">
        <v>2314</v>
      </c>
      <c r="E41" s="317">
        <v>3880</v>
      </c>
      <c r="F41" s="326">
        <v>4708</v>
      </c>
      <c r="G41" s="327">
        <v>5</v>
      </c>
      <c r="H41" s="328">
        <f t="shared" si="15"/>
        <v>10897</v>
      </c>
      <c r="I41" s="323">
        <f t="shared" si="16"/>
        <v>7.2735403859375103E-2</v>
      </c>
      <c r="J41" s="329">
        <f t="shared" si="17"/>
        <v>1089.7</v>
      </c>
      <c r="K41" s="345">
        <f t="shared" si="18"/>
        <v>3.75</v>
      </c>
      <c r="L41" s="331">
        <f t="shared" si="19"/>
        <v>10289.450000000001</v>
      </c>
      <c r="M41" s="323">
        <f t="shared" si="20"/>
        <v>0.1182969242473645</v>
      </c>
    </row>
    <row r="42" spans="1:20" s="324" customFormat="1" x14ac:dyDescent="0.2">
      <c r="A42" s="325" t="s">
        <v>207</v>
      </c>
      <c r="B42" s="315">
        <v>17804</v>
      </c>
      <c r="C42" s="316">
        <v>1518</v>
      </c>
      <c r="D42" s="317">
        <v>2211</v>
      </c>
      <c r="E42" s="317">
        <v>3451</v>
      </c>
      <c r="F42" s="326">
        <v>3285</v>
      </c>
      <c r="G42" s="327">
        <v>398</v>
      </c>
      <c r="H42" s="328">
        <f t="shared" si="15"/>
        <v>8549</v>
      </c>
      <c r="I42" s="323">
        <f t="shared" si="16"/>
        <v>5.7062950132494974E-2</v>
      </c>
      <c r="J42" s="329">
        <f t="shared" si="17"/>
        <v>854.90000000000009</v>
      </c>
      <c r="K42" s="330">
        <f t="shared" si="18"/>
        <v>1138.5</v>
      </c>
      <c r="L42" s="331">
        <f t="shared" si="19"/>
        <v>18279.400000000001</v>
      </c>
      <c r="M42" s="323">
        <f t="shared" si="20"/>
        <v>2.6701864749494576E-2</v>
      </c>
    </row>
    <row r="43" spans="1:20" s="324" customFormat="1" x14ac:dyDescent="0.2">
      <c r="A43" s="325" t="s">
        <v>208</v>
      </c>
      <c r="B43" s="315">
        <v>6443</v>
      </c>
      <c r="C43" s="316"/>
      <c r="D43" s="317">
        <v>783</v>
      </c>
      <c r="E43" s="317">
        <v>1398</v>
      </c>
      <c r="F43" s="326">
        <v>913</v>
      </c>
      <c r="G43" s="327"/>
      <c r="H43" s="328">
        <f t="shared" si="15"/>
        <v>3094</v>
      </c>
      <c r="I43" s="323">
        <f t="shared" si="16"/>
        <v>2.0651861938231309E-2</v>
      </c>
      <c r="J43" s="329">
        <f t="shared" si="17"/>
        <v>309.40000000000003</v>
      </c>
      <c r="K43" s="330">
        <f t="shared" si="18"/>
        <v>0</v>
      </c>
      <c r="L43" s="331">
        <f t="shared" si="19"/>
        <v>6752.4</v>
      </c>
      <c r="M43" s="323">
        <f t="shared" si="20"/>
        <v>4.8021108179419465E-2</v>
      </c>
    </row>
    <row r="44" spans="1:20" s="324" customFormat="1" x14ac:dyDescent="0.2">
      <c r="A44" s="325" t="s">
        <v>209</v>
      </c>
      <c r="B44" s="315">
        <v>13149</v>
      </c>
      <c r="C44" s="316">
        <v>2998</v>
      </c>
      <c r="D44" s="317">
        <v>1838</v>
      </c>
      <c r="E44" s="317">
        <v>2601</v>
      </c>
      <c r="F44" s="326">
        <v>2533</v>
      </c>
      <c r="G44" s="327">
        <v>494</v>
      </c>
      <c r="H44" s="328">
        <f t="shared" si="15"/>
        <v>6478</v>
      </c>
      <c r="I44" s="323">
        <f t="shared" si="16"/>
        <v>4.3239418757550878E-2</v>
      </c>
      <c r="J44" s="329">
        <f t="shared" si="17"/>
        <v>647.80000000000007</v>
      </c>
      <c r="K44" s="330">
        <f t="shared" si="18"/>
        <v>2248.5</v>
      </c>
      <c r="L44" s="331">
        <f t="shared" si="19"/>
        <v>13047.3</v>
      </c>
      <c r="M44" s="323">
        <f t="shared" si="20"/>
        <v>-7.7344284736482411E-3</v>
      </c>
    </row>
    <row r="45" spans="1:20" s="324" customFormat="1" x14ac:dyDescent="0.2">
      <c r="A45" s="325" t="s">
        <v>210</v>
      </c>
      <c r="B45" s="315">
        <v>8489</v>
      </c>
      <c r="C45" s="316">
        <v>5444</v>
      </c>
      <c r="D45" s="317">
        <v>871</v>
      </c>
      <c r="E45" s="317">
        <v>855</v>
      </c>
      <c r="F45" s="326">
        <v>1143</v>
      </c>
      <c r="G45" s="327">
        <v>931</v>
      </c>
      <c r="H45" s="328">
        <f t="shared" si="15"/>
        <v>1938</v>
      </c>
      <c r="I45" s="323">
        <f t="shared" si="16"/>
        <v>1.2935781653617414E-2</v>
      </c>
      <c r="J45" s="329">
        <f t="shared" si="17"/>
        <v>193.8</v>
      </c>
      <c r="K45" s="330">
        <f t="shared" si="18"/>
        <v>4083</v>
      </c>
      <c r="L45" s="331">
        <f t="shared" si="19"/>
        <v>7321.8</v>
      </c>
      <c r="M45" s="323">
        <f t="shared" si="20"/>
        <v>-0.1374955825185534</v>
      </c>
    </row>
    <row r="46" spans="1:20" s="324" customFormat="1" ht="13.5" thickBot="1" x14ac:dyDescent="0.25">
      <c r="A46" s="343" t="s">
        <v>211</v>
      </c>
      <c r="B46" s="315">
        <v>7465</v>
      </c>
      <c r="C46" s="316"/>
      <c r="D46" s="317">
        <v>865</v>
      </c>
      <c r="E46" s="317">
        <v>1672</v>
      </c>
      <c r="F46" s="326">
        <v>1093</v>
      </c>
      <c r="G46" s="327"/>
      <c r="H46" s="328">
        <f t="shared" si="15"/>
        <v>3630</v>
      </c>
      <c r="I46" s="367">
        <f t="shared" si="16"/>
        <v>2.4229560063277197E-2</v>
      </c>
      <c r="J46" s="329">
        <f t="shared" si="17"/>
        <v>363</v>
      </c>
      <c r="K46" s="345">
        <f t="shared" si="18"/>
        <v>0</v>
      </c>
      <c r="L46" s="331">
        <f t="shared" si="19"/>
        <v>7828</v>
      </c>
      <c r="M46" s="323">
        <f t="shared" si="20"/>
        <v>4.8626925653047555E-2</v>
      </c>
    </row>
    <row r="47" spans="1:20" s="351" customFormat="1" ht="13.5" thickBot="1" x14ac:dyDescent="0.25">
      <c r="A47" s="346" t="s">
        <v>248</v>
      </c>
      <c r="B47" s="347">
        <f t="shared" ref="B47:K47" si="21">SUM(B40:B46)</f>
        <v>67858</v>
      </c>
      <c r="C47" s="348">
        <f t="shared" si="21"/>
        <v>10313</v>
      </c>
      <c r="D47" s="349">
        <f t="shared" si="21"/>
        <v>9559</v>
      </c>
      <c r="E47" s="349">
        <f t="shared" si="21"/>
        <v>15340</v>
      </c>
      <c r="F47" s="349">
        <f t="shared" si="21"/>
        <v>14519</v>
      </c>
      <c r="G47" s="348">
        <f t="shared" si="21"/>
        <v>1870</v>
      </c>
      <c r="H47" s="349">
        <f t="shared" si="21"/>
        <v>37548</v>
      </c>
      <c r="I47" s="350">
        <f t="shared" si="21"/>
        <v>0.25062576343138632</v>
      </c>
      <c r="J47" s="347">
        <f t="shared" si="21"/>
        <v>3754.8000000000006</v>
      </c>
      <c r="K47" s="348">
        <f t="shared" si="21"/>
        <v>7734.75</v>
      </c>
      <c r="L47" s="368">
        <f>SUM(L40:L46)</f>
        <v>69034.55</v>
      </c>
      <c r="M47" s="323">
        <f t="shared" si="20"/>
        <v>1.7338412567420244E-2</v>
      </c>
    </row>
    <row r="48" spans="1:20" s="351" customFormat="1" ht="13.5" thickBot="1" x14ac:dyDescent="0.25">
      <c r="A48" s="369" t="s">
        <v>249</v>
      </c>
      <c r="B48" s="370">
        <f t="shared" ref="B48:L48" si="22">B37+B47</f>
        <v>211262</v>
      </c>
      <c r="C48" s="371">
        <f t="shared" si="22"/>
        <v>30490</v>
      </c>
      <c r="D48" s="372">
        <f t="shared" si="22"/>
        <v>38356</v>
      </c>
      <c r="E48" s="372">
        <f t="shared" si="22"/>
        <v>56474</v>
      </c>
      <c r="F48" s="372">
        <f t="shared" si="22"/>
        <v>62085</v>
      </c>
      <c r="G48" s="371">
        <f>G37+G47</f>
        <v>7098</v>
      </c>
      <c r="H48" s="372">
        <f t="shared" si="22"/>
        <v>149817</v>
      </c>
      <c r="I48" s="373">
        <f t="shared" si="22"/>
        <v>0.99999999999999978</v>
      </c>
      <c r="J48" s="347">
        <f t="shared" si="22"/>
        <v>14981.7</v>
      </c>
      <c r="K48" s="348">
        <f t="shared" si="22"/>
        <v>22867.5</v>
      </c>
      <c r="L48" s="347">
        <f t="shared" si="22"/>
        <v>218621.2</v>
      </c>
      <c r="M48" s="323">
        <f t="shared" si="20"/>
        <v>3.48344709412957E-2</v>
      </c>
    </row>
    <row r="49" spans="1:12" ht="13.5" hidden="1" thickBot="1" x14ac:dyDescent="0.25">
      <c r="A49" s="374" t="s">
        <v>250</v>
      </c>
      <c r="B49" s="375"/>
      <c r="C49" s="376"/>
      <c r="D49" s="377"/>
      <c r="E49" s="377"/>
      <c r="F49" s="377"/>
      <c r="G49" s="377"/>
      <c r="H49" s="377"/>
      <c r="I49" s="378"/>
      <c r="J49" s="379"/>
      <c r="K49" s="380"/>
    </row>
    <row r="51" spans="1:12" x14ac:dyDescent="0.2">
      <c r="A51" s="16" t="s">
        <v>300</v>
      </c>
    </row>
    <row r="52" spans="1:12" x14ac:dyDescent="0.2">
      <c r="A52" s="127"/>
      <c r="L52" s="382"/>
    </row>
  </sheetData>
  <mergeCells count="2">
    <mergeCell ref="A1:I1"/>
    <mergeCell ref="A3:I3"/>
  </mergeCells>
  <pageMargins left="0.7" right="0.7" top="0.75" bottom="0.75" header="0.3" footer="0.3"/>
  <pageSetup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49"/>
  <sheetViews>
    <sheetView zoomScale="80" workbookViewId="0">
      <selection activeCell="G11" sqref="G11"/>
    </sheetView>
  </sheetViews>
  <sheetFormatPr defaultColWidth="9.140625" defaultRowHeight="15" customHeight="1" x14ac:dyDescent="0.2"/>
  <cols>
    <col min="1" max="1" width="7.28515625" style="54" customWidth="1"/>
    <col min="2" max="2" width="30.28515625" style="54" customWidth="1"/>
    <col min="3" max="3" width="10.85546875" style="54" customWidth="1"/>
    <col min="4" max="4" width="12.85546875" style="54" customWidth="1"/>
    <col min="5" max="5" width="10.7109375" style="54" customWidth="1"/>
    <col min="6" max="6" width="12.85546875" style="54" customWidth="1"/>
    <col min="7" max="7" width="14.140625" style="54" customWidth="1"/>
    <col min="8" max="8" width="14.7109375" style="105" customWidth="1"/>
    <col min="9" max="9" width="9.140625" style="54"/>
    <col min="10" max="10" width="9.85546875" style="54" customWidth="1"/>
    <col min="11" max="12" width="9.140625" style="54" customWidth="1"/>
    <col min="13" max="16384" width="9.140625" style="54"/>
  </cols>
  <sheetData>
    <row r="1" spans="1:10" ht="15" customHeight="1" x14ac:dyDescent="0.25">
      <c r="A1" s="104" t="s">
        <v>252</v>
      </c>
      <c r="G1" s="104"/>
      <c r="H1" s="423" t="s">
        <v>281</v>
      </c>
    </row>
    <row r="2" spans="1:10" ht="15" customHeight="1" x14ac:dyDescent="0.2">
      <c r="A2" s="106" t="s">
        <v>104</v>
      </c>
      <c r="G2" s="106"/>
      <c r="I2" s="85"/>
    </row>
    <row r="3" spans="1:10" ht="15" customHeight="1" x14ac:dyDescent="0.2">
      <c r="A3" s="85" t="s">
        <v>323</v>
      </c>
      <c r="G3" s="107"/>
    </row>
    <row r="4" spans="1:10" ht="12.75" x14ac:dyDescent="0.2">
      <c r="A4" s="58"/>
      <c r="B4" s="58"/>
      <c r="C4" s="58"/>
      <c r="D4" s="89"/>
      <c r="E4" s="89"/>
      <c r="F4" s="89"/>
      <c r="G4" s="108"/>
      <c r="H4" s="109"/>
    </row>
    <row r="5" spans="1:10" ht="34.5" customHeight="1" x14ac:dyDescent="0.2">
      <c r="A5" s="110"/>
      <c r="B5" s="111"/>
      <c r="C5" s="193"/>
      <c r="D5" s="506" t="s">
        <v>105</v>
      </c>
      <c r="E5" s="506" t="s">
        <v>106</v>
      </c>
      <c r="F5" s="503" t="s">
        <v>107</v>
      </c>
      <c r="G5" s="506" t="s">
        <v>119</v>
      </c>
      <c r="H5" s="506" t="s">
        <v>66</v>
      </c>
    </row>
    <row r="6" spans="1:10" ht="15.75" customHeight="1" x14ac:dyDescent="0.2">
      <c r="A6" s="112"/>
      <c r="B6" s="112"/>
      <c r="C6" s="194" t="s">
        <v>324</v>
      </c>
      <c r="D6" s="506"/>
      <c r="E6" s="506"/>
      <c r="F6" s="504"/>
      <c r="G6" s="507"/>
      <c r="H6" s="508"/>
    </row>
    <row r="7" spans="1:10" ht="15.75" customHeight="1" x14ac:dyDescent="0.2">
      <c r="A7" s="113" t="s">
        <v>0</v>
      </c>
      <c r="B7" s="113" t="s">
        <v>83</v>
      </c>
      <c r="C7" s="113" t="s">
        <v>108</v>
      </c>
      <c r="D7" s="95">
        <v>5</v>
      </c>
      <c r="E7" s="98">
        <v>50000</v>
      </c>
      <c r="F7" s="505"/>
      <c r="G7" s="507"/>
      <c r="H7" s="509"/>
    </row>
    <row r="8" spans="1:10" s="58" customFormat="1" ht="15" customHeight="1" x14ac:dyDescent="0.2">
      <c r="B8" s="89"/>
      <c r="C8" s="89"/>
      <c r="D8" s="96"/>
      <c r="E8" s="99"/>
      <c r="F8" s="114"/>
      <c r="G8" s="115"/>
      <c r="H8" s="116"/>
    </row>
    <row r="9" spans="1:10" ht="15" customHeight="1" x14ac:dyDescent="0.2">
      <c r="A9" s="10" t="s">
        <v>2</v>
      </c>
      <c r="B9" s="119" t="s">
        <v>128</v>
      </c>
      <c r="C9" s="91">
        <v>486961</v>
      </c>
      <c r="D9" s="94">
        <f t="shared" ref="D9:D38" si="0">C9*$D$7</f>
        <v>2434805</v>
      </c>
      <c r="E9" s="94"/>
      <c r="F9" s="94">
        <f>D9+E9</f>
        <v>2434805</v>
      </c>
      <c r="G9" s="117">
        <f>'Revenue Offset'!G8</f>
        <v>0.42994600299063729</v>
      </c>
      <c r="H9" s="118">
        <f t="shared" ref="H9:H38" si="1">F9*(1-G9)</f>
        <v>1387970.3221883816</v>
      </c>
      <c r="J9" s="199"/>
    </row>
    <row r="10" spans="1:10" ht="15" customHeight="1" x14ac:dyDescent="0.2">
      <c r="A10" s="10" t="s">
        <v>4</v>
      </c>
      <c r="B10" s="119" t="s">
        <v>124</v>
      </c>
      <c r="C10" s="91">
        <f>323839+113712+419337</f>
        <v>856888</v>
      </c>
      <c r="D10" s="94">
        <f t="shared" si="0"/>
        <v>4284440</v>
      </c>
      <c r="E10" s="94">
        <v>100000</v>
      </c>
      <c r="F10" s="94">
        <f t="shared" ref="F10:F38" si="2">D10+E10</f>
        <v>4384440</v>
      </c>
      <c r="G10" s="117">
        <f>'Revenue Offset'!G9</f>
        <v>0.46785978356806973</v>
      </c>
      <c r="H10" s="118">
        <f t="shared" si="1"/>
        <v>2333136.8505328121</v>
      </c>
      <c r="J10" s="475"/>
    </row>
    <row r="11" spans="1:10" ht="15" customHeight="1" x14ac:dyDescent="0.2">
      <c r="A11" s="10" t="s">
        <v>5</v>
      </c>
      <c r="B11" s="119" t="s">
        <v>113</v>
      </c>
      <c r="C11" s="91">
        <f>870364+97053</f>
        <v>967417</v>
      </c>
      <c r="D11" s="94">
        <f t="shared" si="0"/>
        <v>4837085</v>
      </c>
      <c r="E11" s="94">
        <v>50000</v>
      </c>
      <c r="F11" s="94">
        <f t="shared" si="2"/>
        <v>4887085</v>
      </c>
      <c r="G11" s="117">
        <f>'Revenue Offset'!G10</f>
        <v>0.56619047727320571</v>
      </c>
      <c r="H11" s="118">
        <f t="shared" si="1"/>
        <v>2120064.0113752754</v>
      </c>
      <c r="J11" s="199"/>
    </row>
    <row r="12" spans="1:10" ht="15" customHeight="1" x14ac:dyDescent="0.2">
      <c r="A12" s="10" t="s">
        <v>6</v>
      </c>
      <c r="B12" s="119" t="s">
        <v>7</v>
      </c>
      <c r="C12" s="91">
        <f>360749+272882</f>
        <v>633631</v>
      </c>
      <c r="D12" s="94">
        <f t="shared" si="0"/>
        <v>3168155</v>
      </c>
      <c r="E12" s="94">
        <v>50000</v>
      </c>
      <c r="F12" s="94">
        <f t="shared" si="2"/>
        <v>3218155</v>
      </c>
      <c r="G12" s="117">
        <f>'Revenue Offset'!G11</f>
        <v>0.42283932087747</v>
      </c>
      <c r="H12" s="118">
        <f t="shared" si="1"/>
        <v>1857392.5253215656</v>
      </c>
      <c r="J12" s="199"/>
    </row>
    <row r="13" spans="1:10" ht="17.25" customHeight="1" x14ac:dyDescent="0.2">
      <c r="A13" s="10" t="s">
        <v>8</v>
      </c>
      <c r="B13" s="119" t="s">
        <v>9</v>
      </c>
      <c r="C13" s="91">
        <v>739917</v>
      </c>
      <c r="D13" s="94">
        <f t="shared" si="0"/>
        <v>3699585</v>
      </c>
      <c r="E13" s="94"/>
      <c r="F13" s="94">
        <f t="shared" si="2"/>
        <v>3699585</v>
      </c>
      <c r="G13" s="117">
        <f>'Revenue Offset'!G12</f>
        <v>0.48062341301981409</v>
      </c>
      <c r="H13" s="118">
        <f t="shared" si="1"/>
        <v>1921477.8305430908</v>
      </c>
      <c r="J13" s="199"/>
    </row>
    <row r="14" spans="1:10" ht="15" customHeight="1" x14ac:dyDescent="0.2">
      <c r="A14" s="10" t="s">
        <v>10</v>
      </c>
      <c r="B14" s="119" t="s">
        <v>146</v>
      </c>
      <c r="C14" s="91">
        <f>539331+325845</f>
        <v>865176</v>
      </c>
      <c r="D14" s="94">
        <f t="shared" si="0"/>
        <v>4325880</v>
      </c>
      <c r="E14" s="94">
        <v>50000</v>
      </c>
      <c r="F14" s="94">
        <f t="shared" si="2"/>
        <v>4375880</v>
      </c>
      <c r="G14" s="117">
        <f>'Revenue Offset'!G13</f>
        <v>0.43171641281087125</v>
      </c>
      <c r="H14" s="118">
        <f t="shared" si="1"/>
        <v>2486740.7835091646</v>
      </c>
      <c r="J14" s="199"/>
    </row>
    <row r="15" spans="1:10" ht="15" customHeight="1" x14ac:dyDescent="0.2">
      <c r="A15" s="10" t="s">
        <v>12</v>
      </c>
      <c r="B15" s="119" t="s">
        <v>13</v>
      </c>
      <c r="C15" s="91">
        <v>159542</v>
      </c>
      <c r="D15" s="94">
        <f t="shared" si="0"/>
        <v>797710</v>
      </c>
      <c r="E15" s="94"/>
      <c r="F15" s="94">
        <f t="shared" si="2"/>
        <v>797710</v>
      </c>
      <c r="G15" s="117">
        <f>'Revenue Offset'!G14</f>
        <v>0.29974574275056504</v>
      </c>
      <c r="H15" s="118">
        <f t="shared" si="1"/>
        <v>558599.82355044677</v>
      </c>
      <c r="J15" s="199"/>
    </row>
    <row r="16" spans="1:10" ht="15" customHeight="1" x14ac:dyDescent="0.2">
      <c r="A16" s="10" t="s">
        <v>14</v>
      </c>
      <c r="B16" s="119" t="s">
        <v>139</v>
      </c>
      <c r="C16" s="91">
        <f>498704+415217</f>
        <v>913921</v>
      </c>
      <c r="D16" s="94">
        <f t="shared" si="0"/>
        <v>4569605</v>
      </c>
      <c r="E16" s="94">
        <v>50000</v>
      </c>
      <c r="F16" s="94">
        <f t="shared" si="2"/>
        <v>4619605</v>
      </c>
      <c r="G16" s="117">
        <f>'Revenue Offset'!G15</f>
        <v>0.38889350360047492</v>
      </c>
      <c r="H16" s="118">
        <f t="shared" si="1"/>
        <v>2823070.6262997282</v>
      </c>
      <c r="J16" s="199"/>
    </row>
    <row r="17" spans="1:11" ht="15" customHeight="1" x14ac:dyDescent="0.2">
      <c r="A17" s="10" t="s">
        <v>16</v>
      </c>
      <c r="B17" s="119" t="s">
        <v>17</v>
      </c>
      <c r="C17" s="91">
        <v>399066</v>
      </c>
      <c r="D17" s="94">
        <f t="shared" si="0"/>
        <v>1995330</v>
      </c>
      <c r="E17" s="94"/>
      <c r="F17" s="94">
        <f t="shared" si="2"/>
        <v>1995330</v>
      </c>
      <c r="G17" s="117">
        <f>'Revenue Offset'!G16</f>
        <v>0.41972966468364403</v>
      </c>
      <c r="H17" s="118">
        <f t="shared" si="1"/>
        <v>1157830.8081667845</v>
      </c>
      <c r="J17" s="199"/>
    </row>
    <row r="18" spans="1:11" ht="15" customHeight="1" x14ac:dyDescent="0.2">
      <c r="A18" s="10" t="s">
        <v>18</v>
      </c>
      <c r="B18" s="119" t="s">
        <v>140</v>
      </c>
      <c r="C18" s="91">
        <v>387213</v>
      </c>
      <c r="D18" s="94">
        <f t="shared" si="0"/>
        <v>1936065</v>
      </c>
      <c r="E18" s="94"/>
      <c r="F18" s="94">
        <f t="shared" si="2"/>
        <v>1936065</v>
      </c>
      <c r="G18" s="117">
        <f>'Revenue Offset'!G17</f>
        <v>0.5815153753931428</v>
      </c>
      <c r="H18" s="118">
        <f t="shared" si="1"/>
        <v>810213.43473947502</v>
      </c>
      <c r="J18" s="199"/>
    </row>
    <row r="19" spans="1:11" ht="15" customHeight="1" x14ac:dyDescent="0.2">
      <c r="A19" s="10" t="s">
        <v>19</v>
      </c>
      <c r="B19" s="119" t="s">
        <v>129</v>
      </c>
      <c r="C19" s="91">
        <v>987224</v>
      </c>
      <c r="D19" s="94">
        <f t="shared" si="0"/>
        <v>4936120</v>
      </c>
      <c r="E19" s="94"/>
      <c r="F19" s="94">
        <f t="shared" si="2"/>
        <v>4936120</v>
      </c>
      <c r="G19" s="117">
        <f>'Revenue Offset'!G18</f>
        <v>0.45444345651098822</v>
      </c>
      <c r="H19" s="118">
        <f t="shared" si="1"/>
        <v>2692932.5654469808</v>
      </c>
      <c r="J19" s="199"/>
    </row>
    <row r="20" spans="1:11" ht="15" customHeight="1" x14ac:dyDescent="0.2">
      <c r="A20" s="37" t="s">
        <v>118</v>
      </c>
      <c r="B20" s="119" t="s">
        <v>303</v>
      </c>
      <c r="C20" s="196">
        <v>948299</v>
      </c>
      <c r="D20" s="94">
        <f>C20*$D$7</f>
        <v>4741495</v>
      </c>
      <c r="E20" s="94">
        <v>250000</v>
      </c>
      <c r="F20" s="94">
        <f>D20+E20</f>
        <v>4991495</v>
      </c>
      <c r="G20" s="117">
        <f>'Revenue Offset'!G19</f>
        <v>0.40402274996031112</v>
      </c>
      <c r="H20" s="118">
        <f>F20*(1-G20)</f>
        <v>2974817.4636868569</v>
      </c>
      <c r="J20" s="199"/>
    </row>
    <row r="21" spans="1:11" ht="15" customHeight="1" x14ac:dyDescent="0.2">
      <c r="A21" s="10" t="s">
        <v>21</v>
      </c>
      <c r="B21" s="119" t="s">
        <v>176</v>
      </c>
      <c r="C21" s="91">
        <f>100743+183316</f>
        <v>284059</v>
      </c>
      <c r="D21" s="94">
        <f t="shared" si="0"/>
        <v>1420295</v>
      </c>
      <c r="E21" s="94">
        <v>50000</v>
      </c>
      <c r="F21" s="94">
        <f t="shared" si="2"/>
        <v>1470295</v>
      </c>
      <c r="G21" s="117">
        <f>'Revenue Offset'!G20</f>
        <v>0.3849305676995205</v>
      </c>
      <c r="H21" s="118">
        <f t="shared" si="1"/>
        <v>904333.51096423354</v>
      </c>
      <c r="J21" s="199"/>
    </row>
    <row r="22" spans="1:11" ht="15" customHeight="1" x14ac:dyDescent="0.2">
      <c r="A22" s="37" t="s">
        <v>109</v>
      </c>
      <c r="B22" s="119" t="s">
        <v>141</v>
      </c>
      <c r="C22" s="91">
        <f>196824+165849+231919+131436</f>
        <v>726028</v>
      </c>
      <c r="D22" s="94">
        <f t="shared" si="0"/>
        <v>3630140</v>
      </c>
      <c r="E22" s="94">
        <v>150000</v>
      </c>
      <c r="F22" s="94">
        <f t="shared" si="2"/>
        <v>3780140</v>
      </c>
      <c r="G22" s="117">
        <f>'Revenue Offset'!G21</f>
        <v>0.43210891645511013</v>
      </c>
      <c r="H22" s="118">
        <f t="shared" si="1"/>
        <v>2146707.80055138</v>
      </c>
      <c r="J22" s="199"/>
    </row>
    <row r="23" spans="1:11" ht="15" customHeight="1" x14ac:dyDescent="0.2">
      <c r="A23" s="10" t="s">
        <v>26</v>
      </c>
      <c r="B23" s="119" t="s">
        <v>62</v>
      </c>
      <c r="C23" s="91">
        <v>1148506</v>
      </c>
      <c r="D23" s="94">
        <f t="shared" si="0"/>
        <v>5742530</v>
      </c>
      <c r="E23" s="94"/>
      <c r="F23" s="94">
        <f t="shared" si="2"/>
        <v>5742530</v>
      </c>
      <c r="G23" s="117">
        <f>'Revenue Offset'!G22</f>
        <v>0.58500105666895075</v>
      </c>
      <c r="H23" s="118">
        <f t="shared" si="1"/>
        <v>2383143.8820468504</v>
      </c>
      <c r="J23" s="199"/>
    </row>
    <row r="24" spans="1:11" ht="15" customHeight="1" x14ac:dyDescent="0.2">
      <c r="A24" s="10" t="s">
        <v>22</v>
      </c>
      <c r="B24" s="119" t="s">
        <v>23</v>
      </c>
      <c r="C24" s="195">
        <v>1809355</v>
      </c>
      <c r="D24" s="94">
        <f t="shared" si="0"/>
        <v>9046775</v>
      </c>
      <c r="E24" s="94"/>
      <c r="F24" s="94">
        <f t="shared" si="2"/>
        <v>9046775</v>
      </c>
      <c r="G24" s="117">
        <f>'Revenue Offset'!G23</f>
        <v>0.66370517721450217</v>
      </c>
      <c r="H24" s="118">
        <f t="shared" si="1"/>
        <v>3042383.5954052722</v>
      </c>
      <c r="J24" s="199"/>
    </row>
    <row r="25" spans="1:11" ht="15" customHeight="1" x14ac:dyDescent="0.2">
      <c r="A25" s="10" t="s">
        <v>24</v>
      </c>
      <c r="B25" s="119" t="s">
        <v>137</v>
      </c>
      <c r="C25" s="91">
        <v>554439</v>
      </c>
      <c r="D25" s="94">
        <f t="shared" si="0"/>
        <v>2772195</v>
      </c>
      <c r="E25" s="94">
        <v>200000</v>
      </c>
      <c r="F25" s="94">
        <f t="shared" si="2"/>
        <v>2972195</v>
      </c>
      <c r="G25" s="117">
        <f>'Revenue Offset'!G24</f>
        <v>0.41265333301265078</v>
      </c>
      <c r="H25" s="118">
        <f t="shared" si="1"/>
        <v>1745708.8268864646</v>
      </c>
      <c r="J25" s="57"/>
    </row>
    <row r="26" spans="1:11" ht="15" customHeight="1" x14ac:dyDescent="0.2">
      <c r="A26" s="10" t="s">
        <v>27</v>
      </c>
      <c r="B26" s="119" t="s">
        <v>132</v>
      </c>
      <c r="C26" s="91">
        <v>583759</v>
      </c>
      <c r="D26" s="94">
        <f t="shared" si="0"/>
        <v>2918795</v>
      </c>
      <c r="E26" s="94"/>
      <c r="F26" s="94">
        <f t="shared" si="2"/>
        <v>2918795</v>
      </c>
      <c r="G26" s="117">
        <f>'Revenue Offset'!G25</f>
        <v>0.51667289381447168</v>
      </c>
      <c r="H26" s="118">
        <f t="shared" si="1"/>
        <v>1410732.7408987891</v>
      </c>
      <c r="J26" s="199"/>
    </row>
    <row r="27" spans="1:11" ht="15" customHeight="1" x14ac:dyDescent="0.2">
      <c r="A27" s="10" t="s">
        <v>29</v>
      </c>
      <c r="B27" s="119" t="s">
        <v>133</v>
      </c>
      <c r="C27" s="91">
        <v>490064</v>
      </c>
      <c r="D27" s="94">
        <f t="shared" si="0"/>
        <v>2450320</v>
      </c>
      <c r="E27" s="94"/>
      <c r="F27" s="94">
        <f t="shared" si="2"/>
        <v>2450320</v>
      </c>
      <c r="G27" s="117">
        <f>'Revenue Offset'!G26</f>
        <v>0.45829670207333539</v>
      </c>
      <c r="H27" s="118">
        <f t="shared" si="1"/>
        <v>1327346.4249756648</v>
      </c>
      <c r="J27" s="199"/>
    </row>
    <row r="28" spans="1:11" ht="15" customHeight="1" x14ac:dyDescent="0.2">
      <c r="A28" s="10" t="s">
        <v>31</v>
      </c>
      <c r="B28" s="119" t="s">
        <v>134</v>
      </c>
      <c r="C28" s="91">
        <f>171244+320041</f>
        <v>491285</v>
      </c>
      <c r="D28" s="94">
        <f t="shared" si="0"/>
        <v>2456425</v>
      </c>
      <c r="E28" s="94">
        <v>50000</v>
      </c>
      <c r="F28" s="94">
        <f t="shared" si="2"/>
        <v>2506425</v>
      </c>
      <c r="G28" s="117">
        <f>'Revenue Offset'!G27</f>
        <v>0.41468822390234633</v>
      </c>
      <c r="H28" s="118">
        <f t="shared" si="1"/>
        <v>1467040.0684055614</v>
      </c>
      <c r="J28" s="199"/>
    </row>
    <row r="29" spans="1:11" ht="15" customHeight="1" x14ac:dyDescent="0.2">
      <c r="A29" s="10" t="s">
        <v>33</v>
      </c>
      <c r="B29" s="119" t="s">
        <v>130</v>
      </c>
      <c r="C29" s="91">
        <v>112270</v>
      </c>
      <c r="D29" s="94">
        <f t="shared" si="0"/>
        <v>561350</v>
      </c>
      <c r="E29" s="94"/>
      <c r="F29" s="94">
        <f t="shared" si="2"/>
        <v>561350</v>
      </c>
      <c r="G29" s="117">
        <f>'Revenue Offset'!G28</f>
        <v>0.36799515399523164</v>
      </c>
      <c r="H29" s="118">
        <f t="shared" si="1"/>
        <v>354775.92030477669</v>
      </c>
      <c r="J29" s="199"/>
      <c r="K29" s="55"/>
    </row>
    <row r="30" spans="1:11" ht="15" customHeight="1" x14ac:dyDescent="0.2">
      <c r="A30" s="10" t="s">
        <v>35</v>
      </c>
      <c r="B30" s="119" t="s">
        <v>36</v>
      </c>
      <c r="C30" s="91">
        <f>195906+476819</f>
        <v>672725</v>
      </c>
      <c r="D30" s="94">
        <f t="shared" si="0"/>
        <v>3363625</v>
      </c>
      <c r="E30" s="94">
        <v>50000</v>
      </c>
      <c r="F30" s="94">
        <f t="shared" si="2"/>
        <v>3413625</v>
      </c>
      <c r="G30" s="117">
        <f>'Revenue Offset'!G29</f>
        <v>0.42956518155480178</v>
      </c>
      <c r="H30" s="118">
        <f t="shared" si="1"/>
        <v>1947250.5571149895</v>
      </c>
      <c r="J30" s="199"/>
    </row>
    <row r="31" spans="1:11" ht="15" customHeight="1" x14ac:dyDescent="0.2">
      <c r="A31" s="10" t="s">
        <v>37</v>
      </c>
      <c r="B31" s="119" t="s">
        <v>131</v>
      </c>
      <c r="C31" s="91">
        <f>137722+361379+27571</f>
        <v>526672</v>
      </c>
      <c r="D31" s="94">
        <f t="shared" si="0"/>
        <v>2633360</v>
      </c>
      <c r="E31" s="94">
        <v>100000</v>
      </c>
      <c r="F31" s="94">
        <f t="shared" si="2"/>
        <v>2733360</v>
      </c>
      <c r="G31" s="117">
        <f>'Revenue Offset'!G30</f>
        <v>0.46809474264819967</v>
      </c>
      <c r="H31" s="118">
        <f t="shared" si="1"/>
        <v>1453888.554235117</v>
      </c>
      <c r="J31" s="57"/>
    </row>
    <row r="32" spans="1:11" ht="15" customHeight="1" x14ac:dyDescent="0.2">
      <c r="A32" s="10" t="s">
        <v>39</v>
      </c>
      <c r="B32" s="119" t="s">
        <v>135</v>
      </c>
      <c r="C32" s="91">
        <v>616429</v>
      </c>
      <c r="D32" s="94">
        <f t="shared" si="0"/>
        <v>3082145</v>
      </c>
      <c r="E32" s="94"/>
      <c r="F32" s="94">
        <f t="shared" si="2"/>
        <v>3082145</v>
      </c>
      <c r="G32" s="117">
        <f>'Revenue Offset'!G31</f>
        <v>0.49449233670850162</v>
      </c>
      <c r="H32" s="118">
        <f t="shared" si="1"/>
        <v>1558047.9168755752</v>
      </c>
      <c r="J32" s="199"/>
    </row>
    <row r="33" spans="1:10" ht="15" customHeight="1" x14ac:dyDescent="0.2">
      <c r="A33" s="10" t="s">
        <v>46</v>
      </c>
      <c r="B33" s="119" t="s">
        <v>70</v>
      </c>
      <c r="C33" s="91">
        <v>557150</v>
      </c>
      <c r="D33" s="94">
        <f t="shared" si="0"/>
        <v>2785750</v>
      </c>
      <c r="E33" s="94"/>
      <c r="F33" s="94">
        <f t="shared" si="2"/>
        <v>2785750</v>
      </c>
      <c r="G33" s="117">
        <f>'Revenue Offset'!G32</f>
        <v>0.4572878669125619</v>
      </c>
      <c r="H33" s="118">
        <f t="shared" si="1"/>
        <v>1511860.3247483305</v>
      </c>
      <c r="J33" s="199"/>
    </row>
    <row r="34" spans="1:10" ht="15" customHeight="1" x14ac:dyDescent="0.2">
      <c r="A34" s="10" t="s">
        <v>41</v>
      </c>
      <c r="B34" s="119" t="s">
        <v>117</v>
      </c>
      <c r="C34" s="91">
        <f>110367+302315</f>
        <v>412682</v>
      </c>
      <c r="D34" s="94">
        <f t="shared" si="0"/>
        <v>2063410</v>
      </c>
      <c r="E34" s="94">
        <v>50000</v>
      </c>
      <c r="F34" s="94">
        <f t="shared" si="2"/>
        <v>2113410</v>
      </c>
      <c r="G34" s="117">
        <f>'Revenue Offset'!G33</f>
        <v>0.41091877982345221</v>
      </c>
      <c r="H34" s="118">
        <f t="shared" si="1"/>
        <v>1244970.141533318</v>
      </c>
      <c r="J34" s="199"/>
    </row>
    <row r="35" spans="1:10" ht="15" customHeight="1" x14ac:dyDescent="0.2">
      <c r="A35" s="10" t="s">
        <v>42</v>
      </c>
      <c r="B35" s="119" t="s">
        <v>69</v>
      </c>
      <c r="C35" s="91">
        <v>801231</v>
      </c>
      <c r="D35" s="94">
        <f t="shared" si="0"/>
        <v>4006155</v>
      </c>
      <c r="E35" s="94"/>
      <c r="F35" s="94">
        <f t="shared" si="2"/>
        <v>4006155</v>
      </c>
      <c r="G35" s="117">
        <f>'Revenue Offset'!G34</f>
        <v>0.52129850152811719</v>
      </c>
      <c r="H35" s="118">
        <f t="shared" si="1"/>
        <v>1917752.4016106257</v>
      </c>
      <c r="J35" s="199"/>
    </row>
    <row r="36" spans="1:10" ht="15" customHeight="1" x14ac:dyDescent="0.2">
      <c r="A36" s="10" t="s">
        <v>43</v>
      </c>
      <c r="B36" s="119" t="s">
        <v>44</v>
      </c>
      <c r="C36" s="91">
        <v>2090144</v>
      </c>
      <c r="D36" s="94">
        <f t="shared" si="0"/>
        <v>10450720</v>
      </c>
      <c r="E36" s="94"/>
      <c r="F36" s="94">
        <f t="shared" si="2"/>
        <v>10450720</v>
      </c>
      <c r="G36" s="117">
        <f>'Revenue Offset'!G35</f>
        <v>0.55849930289694605</v>
      </c>
      <c r="H36" s="118">
        <f t="shared" si="1"/>
        <v>4614000.1652288279</v>
      </c>
      <c r="J36" s="199"/>
    </row>
    <row r="37" spans="1:10" ht="15" customHeight="1" x14ac:dyDescent="0.2">
      <c r="A37" s="10" t="s">
        <v>45</v>
      </c>
      <c r="B37" s="119" t="s">
        <v>136</v>
      </c>
      <c r="C37" s="91">
        <v>502694</v>
      </c>
      <c r="D37" s="94">
        <f t="shared" si="0"/>
        <v>2513470</v>
      </c>
      <c r="E37" s="94"/>
      <c r="F37" s="94">
        <f t="shared" si="2"/>
        <v>2513470</v>
      </c>
      <c r="G37" s="117">
        <f>'Revenue Offset'!G36</f>
        <v>0.4780402595300664</v>
      </c>
      <c r="H37" s="118">
        <f t="shared" si="1"/>
        <v>1311930.1488789641</v>
      </c>
      <c r="J37" s="199"/>
    </row>
    <row r="38" spans="1:10" ht="15" customHeight="1" x14ac:dyDescent="0.2">
      <c r="A38" s="10" t="s">
        <v>47</v>
      </c>
      <c r="B38" s="119" t="s">
        <v>48</v>
      </c>
      <c r="C38" s="91">
        <v>1266691</v>
      </c>
      <c r="D38" s="94">
        <f t="shared" si="0"/>
        <v>6333455</v>
      </c>
      <c r="E38" s="94"/>
      <c r="F38" s="94">
        <f t="shared" si="2"/>
        <v>6333455</v>
      </c>
      <c r="G38" s="117">
        <f>'Revenue Offset'!G37</f>
        <v>0.59061211016021042</v>
      </c>
      <c r="H38" s="118">
        <f t="shared" si="1"/>
        <v>2592839.7778452644</v>
      </c>
      <c r="J38" s="199"/>
    </row>
    <row r="39" spans="1:10" s="58" customFormat="1" ht="15" customHeight="1" x14ac:dyDescent="0.2">
      <c r="A39" s="120"/>
      <c r="B39" s="121"/>
      <c r="C39" s="197"/>
      <c r="D39" s="97"/>
      <c r="E39" s="93"/>
      <c r="F39" s="97"/>
      <c r="H39" s="122"/>
      <c r="I39" s="393"/>
    </row>
    <row r="40" spans="1:10" s="123" customFormat="1" ht="15" customHeight="1" x14ac:dyDescent="0.2">
      <c r="B40" s="124" t="s">
        <v>49</v>
      </c>
      <c r="C40" s="92">
        <f>SUM(C9:C38)</f>
        <v>21991438</v>
      </c>
      <c r="D40" s="92">
        <f>SUM(D9:D38)</f>
        <v>109957190</v>
      </c>
      <c r="E40" s="92">
        <f>SUM(E9:E38)</f>
        <v>1200000</v>
      </c>
      <c r="F40" s="92">
        <f>SUM(F9:F38)</f>
        <v>111157190</v>
      </c>
      <c r="G40" s="125">
        <f>'Revenue Offset'!G39</f>
        <v>0.51439411132700485</v>
      </c>
      <c r="H40" s="92">
        <f>SUM(H9:H38)</f>
        <v>56058959.803870566</v>
      </c>
    </row>
    <row r="42" spans="1:10" ht="12" customHeight="1" x14ac:dyDescent="0.2">
      <c r="B42" s="126"/>
      <c r="D42" s="52"/>
    </row>
    <row r="43" spans="1:10" ht="12" customHeight="1" x14ac:dyDescent="0.2">
      <c r="A43" s="127"/>
      <c r="D43" s="52"/>
    </row>
    <row r="44" spans="1:10" ht="15" customHeight="1" x14ac:dyDescent="0.2">
      <c r="A44" s="16" t="s">
        <v>300</v>
      </c>
      <c r="B44" s="128"/>
    </row>
    <row r="45" spans="1:10" ht="15" customHeight="1" x14ac:dyDescent="0.2">
      <c r="A45" s="127" t="str">
        <f>'FY2015 Detail'!B40</f>
        <v>s:\finance\bargain\FY24 allocation\Summary of FY2024 Institutional Allocation Draft</v>
      </c>
      <c r="B45" s="128"/>
    </row>
    <row r="46" spans="1:10" ht="15" customHeight="1" x14ac:dyDescent="0.2">
      <c r="A46" s="127"/>
      <c r="B46" s="128"/>
      <c r="E46" s="105"/>
      <c r="H46" s="54"/>
    </row>
    <row r="47" spans="1:10" ht="15" customHeight="1" x14ac:dyDescent="0.2">
      <c r="C47" s="55"/>
      <c r="E47" s="105"/>
      <c r="H47" s="54"/>
    </row>
    <row r="48" spans="1:10" ht="15" customHeight="1" x14ac:dyDescent="0.2">
      <c r="E48" s="105"/>
      <c r="H48" s="54"/>
    </row>
    <row r="49" spans="5:8" ht="15" customHeight="1" x14ac:dyDescent="0.2">
      <c r="E49" s="105"/>
      <c r="H49" s="54"/>
    </row>
  </sheetData>
  <mergeCells count="5">
    <mergeCell ref="F5:F7"/>
    <mergeCell ref="G5:G7"/>
    <mergeCell ref="H5:H7"/>
    <mergeCell ref="E5:E6"/>
    <mergeCell ref="D5:D6"/>
  </mergeCells>
  <phoneticPr fontId="11" type="noConversion"/>
  <pageMargins left="0.42" right="0.19" top="0.37" bottom="0.15" header="0.36" footer="0.16"/>
  <pageSetup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42"/>
  <sheetViews>
    <sheetView zoomScale="80" zoomScaleNormal="80" workbookViewId="0">
      <selection activeCell="E6" sqref="E6"/>
    </sheetView>
  </sheetViews>
  <sheetFormatPr defaultRowHeight="12.75" x14ac:dyDescent="0.2"/>
  <cols>
    <col min="1" max="1" width="6.85546875" customWidth="1"/>
    <col min="2" max="2" width="33.5703125" customWidth="1"/>
    <col min="3" max="3" width="16.7109375" customWidth="1"/>
    <col min="4" max="4" width="17.42578125" style="85" customWidth="1"/>
    <col min="5" max="5" width="13.140625" customWidth="1"/>
    <col min="10" max="12" width="0" hidden="1" customWidth="1"/>
  </cols>
  <sheetData>
    <row r="1" spans="1:20" ht="15" customHeight="1" x14ac:dyDescent="0.25">
      <c r="A1" s="36" t="s">
        <v>252</v>
      </c>
      <c r="E1" s="424" t="s">
        <v>282</v>
      </c>
    </row>
    <row r="2" spans="1:20" ht="15" customHeight="1" x14ac:dyDescent="0.2">
      <c r="A2" s="4" t="s">
        <v>177</v>
      </c>
    </row>
    <row r="3" spans="1:20" ht="15" customHeight="1" x14ac:dyDescent="0.2">
      <c r="A3" s="4" t="s">
        <v>326</v>
      </c>
    </row>
    <row r="4" spans="1:20" ht="15" customHeight="1" x14ac:dyDescent="0.2">
      <c r="C4" s="201" t="s">
        <v>79</v>
      </c>
      <c r="D4" s="101" t="s">
        <v>74</v>
      </c>
      <c r="E4" s="201" t="s">
        <v>75</v>
      </c>
    </row>
    <row r="5" spans="1:20" ht="61.5" customHeight="1" x14ac:dyDescent="0.2">
      <c r="A5" s="210" t="s">
        <v>0</v>
      </c>
      <c r="B5" s="211" t="s">
        <v>83</v>
      </c>
      <c r="C5" s="210" t="s">
        <v>178</v>
      </c>
      <c r="D5" s="103" t="s">
        <v>179</v>
      </c>
      <c r="E5" s="30" t="s">
        <v>333</v>
      </c>
    </row>
    <row r="6" spans="1:20" ht="15" customHeight="1" x14ac:dyDescent="0.2">
      <c r="B6" s="34"/>
      <c r="D6" s="56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5" customHeight="1" x14ac:dyDescent="0.2">
      <c r="A7" s="213" t="s">
        <v>2</v>
      </c>
      <c r="B7" s="214" t="s">
        <v>128</v>
      </c>
      <c r="C7" s="215">
        <f>'3rd Term Expected'!J6</f>
        <v>0</v>
      </c>
      <c r="D7" s="485">
        <f>'Improvement Allocation'!H6</f>
        <v>0</v>
      </c>
      <c r="E7" s="215">
        <f>C7+D7</f>
        <v>0</v>
      </c>
      <c r="G7" s="199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0" s="54" customFormat="1" ht="15" customHeight="1" x14ac:dyDescent="0.2">
      <c r="A8" s="213" t="s">
        <v>4</v>
      </c>
      <c r="B8" s="214" t="s">
        <v>124</v>
      </c>
      <c r="C8" s="217">
        <f>'3rd Term Expected'!J7+'3rd Term Expected'!J8</f>
        <v>525314.87986382016</v>
      </c>
      <c r="D8" s="486">
        <f>'Improvement Allocation'!H7+'Improvement Allocation'!H8</f>
        <v>0</v>
      </c>
      <c r="E8" s="215">
        <f t="shared" ref="E8:E36" si="0">C8+D8</f>
        <v>525314.87986382016</v>
      </c>
      <c r="G8" s="199"/>
    </row>
    <row r="9" spans="1:20" ht="15" customHeight="1" x14ac:dyDescent="0.2">
      <c r="A9" s="213" t="s">
        <v>5</v>
      </c>
      <c r="B9" s="214" t="s">
        <v>113</v>
      </c>
      <c r="C9" s="219">
        <f>'3rd Term Expected'!J29+'3rd Term Expected'!J38</f>
        <v>84675.042505356949</v>
      </c>
      <c r="D9" s="486">
        <f>'Improvement Allocation'!H29+'Improvement Allocation'!H38</f>
        <v>0</v>
      </c>
      <c r="E9" s="215">
        <f t="shared" si="0"/>
        <v>84675.042505356949</v>
      </c>
      <c r="G9" s="199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0" ht="15" customHeight="1" x14ac:dyDescent="0.2">
      <c r="A10" s="213" t="s">
        <v>6</v>
      </c>
      <c r="B10" s="214" t="s">
        <v>7</v>
      </c>
      <c r="C10" s="215">
        <f>'3rd Term Expected'!J9</f>
        <v>0</v>
      </c>
      <c r="D10" s="485">
        <f>'Improvement Allocation'!H9</f>
        <v>24000</v>
      </c>
      <c r="E10" s="215">
        <f t="shared" si="0"/>
        <v>24000</v>
      </c>
      <c r="G10" s="48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20" ht="15" customHeight="1" x14ac:dyDescent="0.2">
      <c r="A11" s="213" t="s">
        <v>8</v>
      </c>
      <c r="B11" s="214" t="s">
        <v>9</v>
      </c>
      <c r="C11" s="215">
        <f>'3rd Term Expected'!J10</f>
        <v>0</v>
      </c>
      <c r="D11" s="485">
        <f>'Improvement Allocation'!H10</f>
        <v>52000</v>
      </c>
      <c r="E11" s="215">
        <f t="shared" si="0"/>
        <v>52000</v>
      </c>
      <c r="G11" s="199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ht="15" customHeight="1" x14ac:dyDescent="0.2">
      <c r="A12" s="213" t="s">
        <v>10</v>
      </c>
      <c r="B12" s="3" t="s">
        <v>146</v>
      </c>
      <c r="C12" s="215">
        <f>'3rd Term Expected'!J11+'3rd Term Expected'!J14</f>
        <v>111533.89443203743</v>
      </c>
      <c r="D12" s="485">
        <f>'Improvement Allocation'!H11+'Improvement Allocation'!H14</f>
        <v>32000</v>
      </c>
      <c r="E12" s="215">
        <f t="shared" si="0"/>
        <v>143533.89443203743</v>
      </c>
      <c r="G12" s="199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ht="15" customHeight="1" x14ac:dyDescent="0.2">
      <c r="A13" s="213" t="s">
        <v>12</v>
      </c>
      <c r="B13" s="214" t="s">
        <v>13</v>
      </c>
      <c r="C13" s="215">
        <f>'3rd Term Expected'!J12</f>
        <v>0</v>
      </c>
      <c r="D13" s="485">
        <f>'Improvement Allocation'!H12</f>
        <v>0</v>
      </c>
      <c r="E13" s="215">
        <f t="shared" si="0"/>
        <v>0</v>
      </c>
      <c r="G13" s="199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pans="1:20" ht="15" customHeight="1" x14ac:dyDescent="0.2">
      <c r="A14" s="213" t="s">
        <v>14</v>
      </c>
      <c r="B14" s="214" t="s">
        <v>139</v>
      </c>
      <c r="C14" s="215">
        <f>'3rd Term Expected'!J13</f>
        <v>238892.59006096199</v>
      </c>
      <c r="D14" s="485">
        <f>'Improvement Allocation'!H13</f>
        <v>0</v>
      </c>
      <c r="E14" s="215">
        <f t="shared" si="0"/>
        <v>238892.59006096199</v>
      </c>
      <c r="G14" s="199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pans="1:20" ht="15" customHeight="1" x14ac:dyDescent="0.2">
      <c r="A15" s="213" t="s">
        <v>16</v>
      </c>
      <c r="B15" s="214" t="s">
        <v>17</v>
      </c>
      <c r="C15" s="215">
        <f>'3rd Term Expected'!J15</f>
        <v>0</v>
      </c>
      <c r="D15" s="485">
        <f>'Improvement Allocation'!H15</f>
        <v>0</v>
      </c>
      <c r="E15" s="215">
        <f t="shared" si="0"/>
        <v>0</v>
      </c>
      <c r="G15" s="199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ht="15" customHeight="1" x14ac:dyDescent="0.2">
      <c r="A16" s="213" t="s">
        <v>18</v>
      </c>
      <c r="B16" s="214" t="s">
        <v>140</v>
      </c>
      <c r="C16" s="215">
        <f>'3rd Term Expected'!J39</f>
        <v>0</v>
      </c>
      <c r="D16" s="485">
        <f>'Improvement Allocation'!H39</f>
        <v>0</v>
      </c>
      <c r="E16" s="215">
        <f t="shared" si="0"/>
        <v>0</v>
      </c>
      <c r="G16" s="199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pans="1:7" ht="15" customHeight="1" x14ac:dyDescent="0.2">
      <c r="A17" s="213" t="s">
        <v>19</v>
      </c>
      <c r="B17" s="214" t="s">
        <v>129</v>
      </c>
      <c r="C17" s="215">
        <f>'3rd Term Expected'!J16</f>
        <v>0</v>
      </c>
      <c r="D17" s="485">
        <f>'Improvement Allocation'!H16</f>
        <v>68000</v>
      </c>
      <c r="E17" s="215">
        <f t="shared" si="0"/>
        <v>68000</v>
      </c>
      <c r="G17" s="295"/>
    </row>
    <row r="18" spans="1:7" ht="15" customHeight="1" x14ac:dyDescent="0.2">
      <c r="A18" s="213" t="s">
        <v>118</v>
      </c>
      <c r="B18" s="214" t="s">
        <v>303</v>
      </c>
      <c r="C18" s="219">
        <f>'3rd Term Expected'!J17</f>
        <v>174042.5840102646</v>
      </c>
      <c r="D18" s="486">
        <f>'Improvement Allocation'!H17</f>
        <v>376000</v>
      </c>
      <c r="E18" s="215">
        <f>C18+D18</f>
        <v>550042.5840102646</v>
      </c>
      <c r="G18" s="295"/>
    </row>
    <row r="19" spans="1:7" ht="15" customHeight="1" x14ac:dyDescent="0.2">
      <c r="A19" s="213" t="s">
        <v>21</v>
      </c>
      <c r="B19" s="220" t="s">
        <v>176</v>
      </c>
      <c r="C19" s="215">
        <f>'3rd Term Expected'!J23</f>
        <v>0</v>
      </c>
      <c r="D19" s="485">
        <f>'Improvement Allocation'!H23</f>
        <v>0</v>
      </c>
      <c r="E19" s="215">
        <f t="shared" si="0"/>
        <v>0</v>
      </c>
      <c r="G19" s="295"/>
    </row>
    <row r="20" spans="1:7" ht="15" customHeight="1" x14ac:dyDescent="0.2">
      <c r="A20" s="213" t="s">
        <v>109</v>
      </c>
      <c r="B20" s="214" t="s">
        <v>141</v>
      </c>
      <c r="C20" s="215">
        <f>'3rd Term Expected'!J24</f>
        <v>169559.61936288542</v>
      </c>
      <c r="D20" s="485">
        <f>'Improvement Allocation'!H24</f>
        <v>28000</v>
      </c>
      <c r="E20" s="215">
        <f t="shared" si="0"/>
        <v>197559.61936288542</v>
      </c>
      <c r="G20" s="295"/>
    </row>
    <row r="21" spans="1:7" ht="15" customHeight="1" x14ac:dyDescent="0.2">
      <c r="A21" s="213" t="s">
        <v>26</v>
      </c>
      <c r="B21" s="214" t="s">
        <v>62</v>
      </c>
      <c r="C21" s="215">
        <f>'3rd Term Expected'!J41</f>
        <v>0</v>
      </c>
      <c r="D21" s="485">
        <f>'Improvement Allocation'!H41</f>
        <v>8000</v>
      </c>
      <c r="E21" s="215">
        <f t="shared" si="0"/>
        <v>8000</v>
      </c>
      <c r="G21" s="295"/>
    </row>
    <row r="22" spans="1:7" ht="15" customHeight="1" x14ac:dyDescent="0.2">
      <c r="A22" s="213" t="s">
        <v>22</v>
      </c>
      <c r="B22" s="214" t="s">
        <v>23</v>
      </c>
      <c r="C22" s="215">
        <f>'3rd Term Expected'!J40</f>
        <v>0</v>
      </c>
      <c r="D22" s="485">
        <f>'Improvement Allocation'!H40</f>
        <v>0</v>
      </c>
      <c r="E22" s="215">
        <f t="shared" si="0"/>
        <v>0</v>
      </c>
      <c r="G22" s="295"/>
    </row>
    <row r="23" spans="1:7" ht="15" customHeight="1" x14ac:dyDescent="0.2">
      <c r="A23" s="213" t="s">
        <v>24</v>
      </c>
      <c r="B23" s="214" t="s">
        <v>137</v>
      </c>
      <c r="C23" s="215">
        <f>'3rd Term Expected'!J25</f>
        <v>0</v>
      </c>
      <c r="D23" s="485">
        <f>'Improvement Allocation'!H25</f>
        <v>28000</v>
      </c>
      <c r="E23" s="215">
        <f t="shared" si="0"/>
        <v>28000</v>
      </c>
      <c r="G23" s="295"/>
    </row>
    <row r="24" spans="1:7" ht="15" customHeight="1" x14ac:dyDescent="0.2">
      <c r="A24" s="213" t="s">
        <v>27</v>
      </c>
      <c r="B24" s="214" t="s">
        <v>132</v>
      </c>
      <c r="C24" s="215">
        <f>'3rd Term Expected'!J26</f>
        <v>0</v>
      </c>
      <c r="D24" s="485">
        <f>'Improvement Allocation'!H26</f>
        <v>8000</v>
      </c>
      <c r="E24" s="215">
        <f t="shared" si="0"/>
        <v>8000</v>
      </c>
      <c r="G24" s="295"/>
    </row>
    <row r="25" spans="1:7" ht="15" customHeight="1" x14ac:dyDescent="0.2">
      <c r="A25" s="213" t="s">
        <v>29</v>
      </c>
      <c r="B25" s="214" t="s">
        <v>133</v>
      </c>
      <c r="C25" s="215">
        <f>'3rd Term Expected'!J27</f>
        <v>184855.91873594225</v>
      </c>
      <c r="D25" s="485">
        <f>'Improvement Allocation'!H27</f>
        <v>0</v>
      </c>
      <c r="E25" s="215">
        <f t="shared" si="0"/>
        <v>184855.91873594225</v>
      </c>
      <c r="G25" s="295"/>
    </row>
    <row r="26" spans="1:7" ht="15" customHeight="1" x14ac:dyDescent="0.2">
      <c r="A26" s="213" t="s">
        <v>31</v>
      </c>
      <c r="B26" s="214" t="s">
        <v>134</v>
      </c>
      <c r="C26" s="215">
        <f>'3rd Term Expected'!J28</f>
        <v>0</v>
      </c>
      <c r="D26" s="485">
        <f>'Improvement Allocation'!H28</f>
        <v>0</v>
      </c>
      <c r="E26" s="215">
        <f t="shared" si="0"/>
        <v>0</v>
      </c>
      <c r="G26" s="295"/>
    </row>
    <row r="27" spans="1:7" ht="15" customHeight="1" x14ac:dyDescent="0.2">
      <c r="A27" s="213" t="s">
        <v>33</v>
      </c>
      <c r="B27" s="214" t="s">
        <v>130</v>
      </c>
      <c r="C27" s="215">
        <f>'3rd Term Expected'!J30</f>
        <v>119937.5404321566</v>
      </c>
      <c r="D27" s="485">
        <f>'Improvement Allocation'!H30</f>
        <v>0</v>
      </c>
      <c r="E27" s="215">
        <f t="shared" si="0"/>
        <v>119937.5404321566</v>
      </c>
      <c r="G27" s="295"/>
    </row>
    <row r="28" spans="1:7" ht="15" customHeight="1" x14ac:dyDescent="0.2">
      <c r="A28" s="213" t="s">
        <v>35</v>
      </c>
      <c r="B28" s="214" t="s">
        <v>36</v>
      </c>
      <c r="C28" s="215">
        <f>'3rd Term Expected'!J31</f>
        <v>71300.930377742057</v>
      </c>
      <c r="D28" s="485">
        <f>'Improvement Allocation'!H31</f>
        <v>8000</v>
      </c>
      <c r="E28" s="215">
        <f t="shared" si="0"/>
        <v>79300.930377742057</v>
      </c>
      <c r="G28" s="295"/>
    </row>
    <row r="29" spans="1:7" ht="15" customHeight="1" x14ac:dyDescent="0.2">
      <c r="A29" s="213" t="s">
        <v>37</v>
      </c>
      <c r="B29" s="214" t="s">
        <v>131</v>
      </c>
      <c r="C29" s="215">
        <f>'3rd Term Expected'!J32</f>
        <v>124405.62113382683</v>
      </c>
      <c r="D29" s="485">
        <f>'Improvement Allocation'!H32</f>
        <v>0</v>
      </c>
      <c r="E29" s="215">
        <f t="shared" si="0"/>
        <v>124405.62113382683</v>
      </c>
      <c r="G29" s="295"/>
    </row>
    <row r="30" spans="1:7" ht="15" customHeight="1" x14ac:dyDescent="0.2">
      <c r="A30" s="213" t="s">
        <v>39</v>
      </c>
      <c r="B30" s="214" t="s">
        <v>135</v>
      </c>
      <c r="C30" s="215">
        <f>'3rd Term Expected'!J33</f>
        <v>0</v>
      </c>
      <c r="D30" s="485">
        <f>'Improvement Allocation'!H33</f>
        <v>0</v>
      </c>
      <c r="E30" s="215">
        <f t="shared" si="0"/>
        <v>0</v>
      </c>
      <c r="G30" s="295"/>
    </row>
    <row r="31" spans="1:7" ht="15" customHeight="1" x14ac:dyDescent="0.2">
      <c r="A31" s="213" t="s">
        <v>46</v>
      </c>
      <c r="B31" s="214" t="s">
        <v>70</v>
      </c>
      <c r="C31" s="215">
        <f>'3rd Term Expected'!J35</f>
        <v>0</v>
      </c>
      <c r="D31" s="485">
        <f>'Improvement Allocation'!H35</f>
        <v>0</v>
      </c>
      <c r="E31" s="215">
        <f t="shared" si="0"/>
        <v>0</v>
      </c>
      <c r="G31" s="295"/>
    </row>
    <row r="32" spans="1:7" ht="15" customHeight="1" x14ac:dyDescent="0.2">
      <c r="A32" s="213" t="s">
        <v>41</v>
      </c>
      <c r="B32" s="214" t="s">
        <v>117</v>
      </c>
      <c r="C32" s="215">
        <f>'3rd Term Expected'!J36</f>
        <v>0</v>
      </c>
      <c r="D32" s="485">
        <f>'Improvement Allocation'!H36</f>
        <v>0</v>
      </c>
      <c r="E32" s="215">
        <f t="shared" si="0"/>
        <v>0</v>
      </c>
      <c r="G32" s="295"/>
    </row>
    <row r="33" spans="1:9" ht="15" customHeight="1" x14ac:dyDescent="0.2">
      <c r="A33" s="213" t="s">
        <v>42</v>
      </c>
      <c r="B33" s="214" t="s">
        <v>69</v>
      </c>
      <c r="C33" s="215">
        <f>'3rd Term Expected'!J43</f>
        <v>0</v>
      </c>
      <c r="D33" s="485">
        <f>'Improvement Allocation'!H43</f>
        <v>0</v>
      </c>
      <c r="E33" s="215">
        <f t="shared" si="0"/>
        <v>0</v>
      </c>
      <c r="G33" s="295"/>
    </row>
    <row r="34" spans="1:9" ht="15" customHeight="1" x14ac:dyDescent="0.2">
      <c r="A34" s="213" t="s">
        <v>43</v>
      </c>
      <c r="B34" s="214" t="s">
        <v>44</v>
      </c>
      <c r="C34" s="215">
        <f>'3rd Term Expected'!J42</f>
        <v>0</v>
      </c>
      <c r="D34" s="485">
        <f>'Improvement Allocation'!H42</f>
        <v>0</v>
      </c>
      <c r="E34" s="215">
        <f t="shared" si="0"/>
        <v>0</v>
      </c>
      <c r="G34" s="295"/>
    </row>
    <row r="35" spans="1:9" ht="15" customHeight="1" x14ac:dyDescent="0.2">
      <c r="A35" s="213" t="s">
        <v>45</v>
      </c>
      <c r="B35" s="214" t="s">
        <v>136</v>
      </c>
      <c r="C35" s="215">
        <f>'3rd Term Expected'!J34</f>
        <v>0</v>
      </c>
      <c r="D35" s="485">
        <f>'Improvement Allocation'!H34</f>
        <v>24000</v>
      </c>
      <c r="E35" s="215">
        <f t="shared" si="0"/>
        <v>24000</v>
      </c>
      <c r="G35" s="295"/>
    </row>
    <row r="36" spans="1:9" ht="15" customHeight="1" x14ac:dyDescent="0.2">
      <c r="A36" s="213" t="s">
        <v>47</v>
      </c>
      <c r="B36" s="214" t="s">
        <v>48</v>
      </c>
      <c r="C36" s="215">
        <f>'3rd Term Expected'!J44</f>
        <v>0</v>
      </c>
      <c r="D36" s="485">
        <f>'Improvement Allocation'!H44</f>
        <v>0</v>
      </c>
      <c r="E36" s="215">
        <f t="shared" si="0"/>
        <v>0</v>
      </c>
      <c r="G36" s="295"/>
    </row>
    <row r="37" spans="1:9" ht="15" customHeight="1" x14ac:dyDescent="0.2">
      <c r="D37" s="444"/>
      <c r="G37" s="15"/>
      <c r="I37" s="6"/>
    </row>
    <row r="38" spans="1:9" ht="15" customHeight="1" x14ac:dyDescent="0.2">
      <c r="B38" t="s">
        <v>49</v>
      </c>
      <c r="C38" s="221">
        <f>SUM(C7:C37)</f>
        <v>1804518.6209149945</v>
      </c>
      <c r="D38" s="444">
        <f>SUM(D7:D37)</f>
        <v>656000</v>
      </c>
      <c r="E38" s="221">
        <f>SUM(E7:E37)</f>
        <v>2460518.6209149943</v>
      </c>
    </row>
    <row r="40" spans="1:9" ht="15" customHeight="1" x14ac:dyDescent="0.2">
      <c r="A40" s="16" t="s">
        <v>329</v>
      </c>
    </row>
    <row r="41" spans="1:9" ht="15" customHeight="1" x14ac:dyDescent="0.2">
      <c r="A41" s="16" t="s">
        <v>316</v>
      </c>
    </row>
    <row r="42" spans="1:9" ht="15" customHeight="1" x14ac:dyDescent="0.2">
      <c r="A42" s="16"/>
    </row>
  </sheetData>
  <pageMargins left="0.7" right="0.7" top="0.75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FY2015 Detail</vt:lpstr>
      <vt:lpstr>Sheet1</vt:lpstr>
      <vt:lpstr>Summary</vt:lpstr>
      <vt:lpstr>Instruction</vt:lpstr>
      <vt:lpstr>Academic Support Per FYE</vt:lpstr>
      <vt:lpstr>Student&amp;Institutional Support</vt:lpstr>
      <vt:lpstr>Weighted differ concurrent</vt:lpstr>
      <vt:lpstr>Facilities</vt:lpstr>
      <vt:lpstr>Student Success</vt:lpstr>
      <vt:lpstr>3rd Term Expected</vt:lpstr>
      <vt:lpstr>Improvement Allocation</vt:lpstr>
      <vt:lpstr>Research</vt:lpstr>
      <vt:lpstr>Revenue Offset</vt:lpstr>
      <vt:lpstr>'3rd Term Expected'!Print_Area</vt:lpstr>
      <vt:lpstr>'FY2015 Detail'!Print_Area</vt:lpstr>
      <vt:lpstr>'Improvement Allocation'!Print_Area</vt:lpstr>
      <vt:lpstr>Instruction!Print_Area</vt:lpstr>
      <vt:lpstr>Summary!Print_Area</vt:lpstr>
      <vt:lpstr>'FY2015 Detail'!Print_Titles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Kedrowski</dc:creator>
  <cp:lastModifiedBy>Susan Anderson</cp:lastModifiedBy>
  <cp:lastPrinted>2023-03-22T14:45:04Z</cp:lastPrinted>
  <dcterms:created xsi:type="dcterms:W3CDTF">2000-05-30T14:50:23Z</dcterms:created>
  <dcterms:modified xsi:type="dcterms:W3CDTF">2023-05-10T12:54:22Z</dcterms:modified>
</cp:coreProperties>
</file>