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v5527fe\Desktop\Offsite work files\Allocation\FY2021 Allocation\"/>
    </mc:Choice>
  </mc:AlternateContent>
  <bookViews>
    <workbookView xWindow="315" yWindow="690" windowWidth="11280" windowHeight="5550" tabRatio="602" firstSheet="2" activeTab="2"/>
  </bookViews>
  <sheets>
    <sheet name="FY2015 Detail" sheetId="11" state="hidden" r:id="rId1"/>
    <sheet name="Sheet1" sheetId="32" state="hidden" r:id="rId2"/>
    <sheet name="Summary" sheetId="24" r:id="rId3"/>
    <sheet name="Instruction" sheetId="17" r:id="rId4"/>
    <sheet name="Academic Support Per FYE" sheetId="20" r:id="rId5"/>
    <sheet name="Student&amp;Institutional Support" sheetId="26" r:id="rId6"/>
    <sheet name="Weighted differ concurrent" sheetId="31" r:id="rId7"/>
    <sheet name="Facilities" sheetId="15" r:id="rId8"/>
    <sheet name="Student Success" sheetId="27" r:id="rId9"/>
    <sheet name="3rd Term Expected" sheetId="34" r:id="rId10"/>
    <sheet name="Improvement Allocation" sheetId="35" r:id="rId11"/>
    <sheet name="Research" sheetId="13" r:id="rId12"/>
    <sheet name="Revenue Offset" sheetId="25" r:id="rId13"/>
  </sheets>
  <externalReferences>
    <externalReference r:id="rId14"/>
    <externalReference r:id="rId15"/>
  </externalReferences>
  <definedNames>
    <definedName name="Demographic_Distribution_Analysis_Sum" localSheetId="6">#REF!</definedName>
    <definedName name="Demographic_Distribution_Analysis_Sum">#REF!</definedName>
    <definedName name="_xlnm.Print_Area" localSheetId="9">'3rd Term Expected'!$A$1:$J$47</definedName>
    <definedName name="_xlnm.Print_Area" localSheetId="0">'FY2015 Detail'!$B$1:$D$40</definedName>
    <definedName name="_xlnm.Print_Area" localSheetId="10">'Improvement Allocation'!$A$1:$H$47</definedName>
    <definedName name="_xlnm.Print_Area" localSheetId="3">Instruction!$A$1:$M$43</definedName>
    <definedName name="_xlnm.Print_Area" localSheetId="2">Summary!$B$1:$W$41</definedName>
    <definedName name="_xlnm.Print_Titles" localSheetId="0">'FY2015 Detail'!$B:$C</definedName>
    <definedName name="_xlnm.Print_Titles" localSheetId="2">Summary!$B:$C</definedName>
    <definedName name="vv" localSheetId="6">#REF!</definedName>
    <definedName name="vv">#REF!</definedName>
  </definedNames>
  <calcPr calcId="162913"/>
</workbook>
</file>

<file path=xl/calcChain.xml><?xml version="1.0" encoding="utf-8"?>
<calcChain xmlns="http://schemas.openxmlformats.org/spreadsheetml/2006/main">
  <c r="L11" i="26" l="1"/>
  <c r="C10" i="17"/>
  <c r="O41" i="24" l="1"/>
  <c r="V8" i="24" l="1"/>
  <c r="V37" i="24"/>
  <c r="V11" i="24"/>
  <c r="V7" i="24"/>
  <c r="C31" i="15" l="1"/>
  <c r="C24" i="15"/>
  <c r="C19" i="15" l="1"/>
  <c r="C12" i="15"/>
  <c r="I37" i="17" l="1"/>
  <c r="H46" i="34" l="1"/>
  <c r="F46" i="34"/>
  <c r="C46" i="34"/>
  <c r="B46" i="34"/>
  <c r="U11" i="24" l="1"/>
  <c r="F4" i="35" l="1"/>
  <c r="D5" i="35"/>
  <c r="C5" i="35"/>
  <c r="B5" i="35"/>
  <c r="F46" i="35"/>
  <c r="D46" i="35"/>
  <c r="C46" i="35"/>
  <c r="B46" i="35"/>
  <c r="E46" i="35" s="1"/>
  <c r="F45" i="35"/>
  <c r="D45" i="35"/>
  <c r="C45" i="35"/>
  <c r="B45" i="35"/>
  <c r="F44" i="35"/>
  <c r="D44" i="35"/>
  <c r="C44" i="35"/>
  <c r="B44" i="35"/>
  <c r="F43" i="35"/>
  <c r="D43" i="35"/>
  <c r="C43" i="35"/>
  <c r="B43" i="35"/>
  <c r="F42" i="35"/>
  <c r="D42" i="35"/>
  <c r="C42" i="35"/>
  <c r="B42" i="35"/>
  <c r="F41" i="35"/>
  <c r="D41" i="35"/>
  <c r="C41" i="35"/>
  <c r="B41" i="35"/>
  <c r="F40" i="35"/>
  <c r="D40" i="35"/>
  <c r="C40" i="35"/>
  <c r="B40" i="35"/>
  <c r="F39" i="35"/>
  <c r="D39" i="35"/>
  <c r="C39" i="35"/>
  <c r="B39" i="35"/>
  <c r="F38" i="35"/>
  <c r="D38" i="35"/>
  <c r="E38" i="35" s="1"/>
  <c r="C38" i="35"/>
  <c r="B38" i="35"/>
  <c r="F37" i="35"/>
  <c r="D37" i="35"/>
  <c r="C37" i="35"/>
  <c r="B37" i="35"/>
  <c r="F36" i="35"/>
  <c r="D36" i="35"/>
  <c r="E36" i="35" s="1"/>
  <c r="C36" i="35"/>
  <c r="B36" i="35"/>
  <c r="F35" i="35"/>
  <c r="D35" i="35"/>
  <c r="C35" i="35"/>
  <c r="B35" i="35"/>
  <c r="F34" i="35"/>
  <c r="D34" i="35"/>
  <c r="E34" i="35" s="1"/>
  <c r="C34" i="35"/>
  <c r="B34" i="35"/>
  <c r="F33" i="35"/>
  <c r="D33" i="35"/>
  <c r="E33" i="35" s="1"/>
  <c r="C33" i="35"/>
  <c r="B33" i="35"/>
  <c r="F32" i="35"/>
  <c r="D32" i="35"/>
  <c r="E32" i="35" s="1"/>
  <c r="C32" i="35"/>
  <c r="B32" i="35"/>
  <c r="F31" i="35"/>
  <c r="D31" i="35"/>
  <c r="E31" i="35" s="1"/>
  <c r="C31" i="35"/>
  <c r="B31" i="35"/>
  <c r="F30" i="35"/>
  <c r="D30" i="35"/>
  <c r="C30" i="35"/>
  <c r="B30" i="35"/>
  <c r="F29" i="35"/>
  <c r="D29" i="35"/>
  <c r="E29" i="35" s="1"/>
  <c r="C29" i="35"/>
  <c r="B29" i="35"/>
  <c r="F28" i="35"/>
  <c r="D28" i="35"/>
  <c r="E28" i="35" s="1"/>
  <c r="C28" i="35"/>
  <c r="B28" i="35"/>
  <c r="F27" i="35"/>
  <c r="D27" i="35"/>
  <c r="C27" i="35"/>
  <c r="B27" i="35"/>
  <c r="F26" i="35"/>
  <c r="D26" i="35"/>
  <c r="E26" i="35" s="1"/>
  <c r="C26" i="35"/>
  <c r="B26" i="35"/>
  <c r="F25" i="35"/>
  <c r="D25" i="35"/>
  <c r="C25" i="35"/>
  <c r="B25" i="35"/>
  <c r="F24" i="35"/>
  <c r="D24" i="35"/>
  <c r="E24" i="35" s="1"/>
  <c r="C24" i="35"/>
  <c r="B24" i="35"/>
  <c r="F23" i="35"/>
  <c r="D23" i="35"/>
  <c r="C23" i="35"/>
  <c r="B23" i="35"/>
  <c r="F22" i="35"/>
  <c r="D22" i="35"/>
  <c r="E22" i="35" s="1"/>
  <c r="C22" i="35"/>
  <c r="B22" i="35"/>
  <c r="F21" i="35"/>
  <c r="D21" i="35"/>
  <c r="C21" i="35"/>
  <c r="B21" i="35"/>
  <c r="F20" i="35"/>
  <c r="D20" i="35"/>
  <c r="E20" i="35" s="1"/>
  <c r="C20" i="35"/>
  <c r="B20" i="35"/>
  <c r="F19" i="35"/>
  <c r="D19" i="35"/>
  <c r="C19" i="35"/>
  <c r="B19" i="35"/>
  <c r="F18" i="35"/>
  <c r="D18" i="35"/>
  <c r="C18" i="35"/>
  <c r="B18" i="35"/>
  <c r="F17" i="35"/>
  <c r="D17" i="35"/>
  <c r="C17" i="35"/>
  <c r="B17" i="35"/>
  <c r="F16" i="35"/>
  <c r="E16" i="35"/>
  <c r="D16" i="35"/>
  <c r="C16" i="35"/>
  <c r="B16" i="35"/>
  <c r="F15" i="35"/>
  <c r="D15" i="35"/>
  <c r="C15" i="35"/>
  <c r="B15" i="35"/>
  <c r="F14" i="35"/>
  <c r="D14" i="35"/>
  <c r="C14" i="35"/>
  <c r="B14" i="35"/>
  <c r="F13" i="35"/>
  <c r="D13" i="35"/>
  <c r="C13" i="35"/>
  <c r="B13" i="35"/>
  <c r="F12" i="35"/>
  <c r="D12" i="35"/>
  <c r="C12" i="35"/>
  <c r="B12" i="35"/>
  <c r="E12" i="35" s="1"/>
  <c r="F11" i="35"/>
  <c r="D11" i="35"/>
  <c r="C11" i="35"/>
  <c r="B11" i="35"/>
  <c r="F10" i="35"/>
  <c r="D10" i="35"/>
  <c r="C10" i="35"/>
  <c r="B10" i="35"/>
  <c r="F9" i="35"/>
  <c r="D9" i="35"/>
  <c r="C9" i="35"/>
  <c r="B9" i="35"/>
  <c r="F8" i="35"/>
  <c r="D8" i="35"/>
  <c r="C8" i="35"/>
  <c r="B8" i="35"/>
  <c r="F7" i="35"/>
  <c r="D7" i="35"/>
  <c r="C7" i="35"/>
  <c r="B7" i="35"/>
  <c r="F6" i="35"/>
  <c r="D6" i="35"/>
  <c r="C6" i="35"/>
  <c r="B6" i="35"/>
  <c r="E13" i="35" l="1"/>
  <c r="E15" i="35"/>
  <c r="E40" i="35"/>
  <c r="E42" i="35"/>
  <c r="E45" i="35"/>
  <c r="E44" i="35"/>
  <c r="E6" i="35"/>
  <c r="E8" i="35"/>
  <c r="E14" i="35"/>
  <c r="E30" i="35"/>
  <c r="E19" i="35"/>
  <c r="E35" i="35"/>
  <c r="E10" i="35"/>
  <c r="E21" i="35"/>
  <c r="E37" i="35"/>
  <c r="E17" i="35"/>
  <c r="E23" i="35"/>
  <c r="E25" i="35"/>
  <c r="E41" i="35"/>
  <c r="E39" i="35"/>
  <c r="E7" i="35"/>
  <c r="E18" i="35"/>
  <c r="E27" i="35"/>
  <c r="E43" i="35"/>
  <c r="E9" i="35"/>
  <c r="E11" i="35"/>
  <c r="G14" i="26" l="1"/>
  <c r="G11" i="26"/>
  <c r="G10" i="26"/>
  <c r="C37" i="17" l="1"/>
  <c r="C35" i="17"/>
  <c r="I22" i="17"/>
  <c r="C22" i="17"/>
  <c r="I21" i="17"/>
  <c r="C21" i="17"/>
  <c r="C17" i="17"/>
  <c r="C34" i="17"/>
  <c r="C36" i="17"/>
  <c r="C33" i="17"/>
  <c r="C32" i="17"/>
  <c r="C31" i="17"/>
  <c r="C30" i="17"/>
  <c r="C29" i="17"/>
  <c r="C28" i="17"/>
  <c r="C27" i="17"/>
  <c r="C26" i="17"/>
  <c r="C25" i="17"/>
  <c r="C24" i="17"/>
  <c r="C23" i="17"/>
  <c r="C20" i="17"/>
  <c r="C19" i="17"/>
  <c r="C18" i="17"/>
  <c r="C16" i="17"/>
  <c r="C15" i="17"/>
  <c r="C14" i="17"/>
  <c r="C13" i="17"/>
  <c r="C12" i="17"/>
  <c r="C11" i="17"/>
  <c r="C9" i="17"/>
  <c r="C8" i="17"/>
  <c r="C34" i="15" l="1"/>
  <c r="C27" i="15"/>
  <c r="C14" i="15"/>
  <c r="J19" i="17" l="1"/>
  <c r="J18" i="17"/>
  <c r="J17" i="17"/>
  <c r="J16" i="17"/>
  <c r="J15" i="17"/>
  <c r="J13" i="17"/>
  <c r="J12" i="17"/>
  <c r="J11" i="17"/>
  <c r="J10" i="17"/>
  <c r="J9" i="17"/>
  <c r="J8" i="17"/>
  <c r="J37" i="17" l="1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4" i="17"/>
  <c r="O39" i="17" l="1"/>
  <c r="D39" i="17" l="1"/>
  <c r="J44" i="34" l="1"/>
  <c r="J43" i="34"/>
  <c r="J42" i="34"/>
  <c r="J41" i="34"/>
  <c r="J40" i="34"/>
  <c r="J39" i="34"/>
  <c r="J38" i="34"/>
  <c r="J45" i="34" s="1"/>
  <c r="J22" i="34"/>
  <c r="J36" i="34"/>
  <c r="J35" i="34"/>
  <c r="J34" i="34"/>
  <c r="J33" i="34"/>
  <c r="J32" i="34"/>
  <c r="J31" i="34"/>
  <c r="J30" i="34"/>
  <c r="J29" i="34"/>
  <c r="J28" i="34"/>
  <c r="J27" i="34"/>
  <c r="J26" i="34"/>
  <c r="J25" i="34"/>
  <c r="J24" i="34"/>
  <c r="J23" i="34"/>
  <c r="J21" i="34"/>
  <c r="J20" i="34"/>
  <c r="J19" i="34"/>
  <c r="J18" i="34"/>
  <c r="J17" i="34"/>
  <c r="J16" i="34"/>
  <c r="J15" i="34"/>
  <c r="J14" i="34"/>
  <c r="J13" i="34"/>
  <c r="J12" i="34"/>
  <c r="J11" i="34"/>
  <c r="J10" i="34"/>
  <c r="J9" i="34"/>
  <c r="J8" i="34"/>
  <c r="J7" i="34"/>
  <c r="J6" i="34"/>
  <c r="D39" i="25" l="1"/>
  <c r="O39" i="24" l="1"/>
  <c r="N15" i="24" s="1"/>
  <c r="P31" i="26"/>
  <c r="P27" i="26"/>
  <c r="P24" i="26"/>
  <c r="P21" i="26"/>
  <c r="U37" i="24"/>
  <c r="C16" i="15"/>
  <c r="D40" i="13"/>
  <c r="C36" i="27"/>
  <c r="C35" i="27"/>
  <c r="C34" i="27"/>
  <c r="C33" i="27"/>
  <c r="C29" i="27"/>
  <c r="C28" i="27"/>
  <c r="C27" i="27"/>
  <c r="C26" i="27"/>
  <c r="C25" i="27"/>
  <c r="C21" i="27"/>
  <c r="C20" i="27"/>
  <c r="C18" i="27"/>
  <c r="C17" i="27"/>
  <c r="C16" i="27"/>
  <c r="C12" i="27"/>
  <c r="C9" i="27"/>
  <c r="G44" i="35"/>
  <c r="H44" i="35" s="1"/>
  <c r="D36" i="27" s="1"/>
  <c r="E36" i="27" s="1"/>
  <c r="H35" i="24" s="1"/>
  <c r="G43" i="35"/>
  <c r="H43" i="35" s="1"/>
  <c r="D33" i="27" s="1"/>
  <c r="G42" i="35"/>
  <c r="H42" i="35" s="1"/>
  <c r="D34" i="27" s="1"/>
  <c r="G41" i="35"/>
  <c r="H41" i="35" s="1"/>
  <c r="D20" i="27" s="1"/>
  <c r="G40" i="35"/>
  <c r="H40" i="35" s="1"/>
  <c r="D21" i="27" s="1"/>
  <c r="G39" i="35"/>
  <c r="H39" i="35" s="1"/>
  <c r="D16" i="27" s="1"/>
  <c r="E16" i="27" s="1"/>
  <c r="H15" i="24" s="1"/>
  <c r="G38" i="35"/>
  <c r="H38" i="35" s="1"/>
  <c r="G36" i="35"/>
  <c r="H36" i="35" s="1"/>
  <c r="D32" i="27" s="1"/>
  <c r="G35" i="35"/>
  <c r="H35" i="35" s="1"/>
  <c r="D31" i="27" s="1"/>
  <c r="G34" i="35"/>
  <c r="H34" i="35" s="1"/>
  <c r="D35" i="27" s="1"/>
  <c r="G33" i="35"/>
  <c r="H33" i="35" s="1"/>
  <c r="D30" i="27" s="1"/>
  <c r="G32" i="35"/>
  <c r="H32" i="35" s="1"/>
  <c r="D29" i="27" s="1"/>
  <c r="G31" i="35"/>
  <c r="H31" i="35" s="1"/>
  <c r="D28" i="27" s="1"/>
  <c r="G30" i="35"/>
  <c r="H30" i="35" s="1"/>
  <c r="D27" i="27" s="1"/>
  <c r="G29" i="35"/>
  <c r="H29" i="35" s="1"/>
  <c r="G28" i="35"/>
  <c r="G27" i="35"/>
  <c r="H27" i="35" s="1"/>
  <c r="G26" i="35"/>
  <c r="H26" i="35" s="1"/>
  <c r="G25" i="35"/>
  <c r="H25" i="35" s="1"/>
  <c r="G24" i="35"/>
  <c r="G23" i="35"/>
  <c r="G21" i="35"/>
  <c r="H21" i="35" s="1"/>
  <c r="D24" i="27" s="1"/>
  <c r="G20" i="35"/>
  <c r="H20" i="35" s="1"/>
  <c r="D23" i="27" s="1"/>
  <c r="G19" i="35"/>
  <c r="H19" i="35" s="1"/>
  <c r="D22" i="27" s="1"/>
  <c r="G18" i="35"/>
  <c r="H18" i="35" s="1"/>
  <c r="D19" i="27" s="1"/>
  <c r="G17" i="35"/>
  <c r="H17" i="35" s="1"/>
  <c r="D18" i="27" s="1"/>
  <c r="G16" i="35"/>
  <c r="H16" i="35" s="1"/>
  <c r="D17" i="27" s="1"/>
  <c r="G15" i="35"/>
  <c r="H15" i="35" s="1"/>
  <c r="D15" i="27" s="1"/>
  <c r="G14" i="35"/>
  <c r="H14" i="35" s="1"/>
  <c r="G13" i="35"/>
  <c r="H13" i="35" s="1"/>
  <c r="D14" i="27" s="1"/>
  <c r="G12" i="35"/>
  <c r="H12" i="35" s="1"/>
  <c r="D13" i="27" s="1"/>
  <c r="G11" i="35"/>
  <c r="H11" i="35" s="1"/>
  <c r="G10" i="35"/>
  <c r="H10" i="35" s="1"/>
  <c r="D11" i="27" s="1"/>
  <c r="G9" i="35"/>
  <c r="H9" i="35" s="1"/>
  <c r="D10" i="27" s="1"/>
  <c r="G8" i="35"/>
  <c r="H8" i="35" s="1"/>
  <c r="G7" i="35"/>
  <c r="H7" i="35" s="1"/>
  <c r="G6" i="35"/>
  <c r="H6" i="35" s="1"/>
  <c r="C32" i="27"/>
  <c r="C31" i="27"/>
  <c r="C30" i="27"/>
  <c r="C23" i="27"/>
  <c r="C22" i="27"/>
  <c r="C19" i="27"/>
  <c r="C15" i="27"/>
  <c r="C13" i="27"/>
  <c r="C11" i="27"/>
  <c r="C8" i="27"/>
  <c r="C7" i="27"/>
  <c r="H28" i="35"/>
  <c r="D26" i="27" s="1"/>
  <c r="H24" i="35"/>
  <c r="C10" i="27"/>
  <c r="C14" i="27"/>
  <c r="C24" i="27"/>
  <c r="J37" i="34"/>
  <c r="J46" i="34" s="1"/>
  <c r="C30" i="15"/>
  <c r="C28" i="15"/>
  <c r="D28" i="15" s="1"/>
  <c r="F28" i="15" s="1"/>
  <c r="C21" i="15"/>
  <c r="B37" i="31"/>
  <c r="K6" i="31"/>
  <c r="W37" i="24"/>
  <c r="L6" i="27"/>
  <c r="G47" i="31"/>
  <c r="F47" i="31"/>
  <c r="E47" i="31"/>
  <c r="D47" i="31"/>
  <c r="C47" i="31"/>
  <c r="B47" i="31"/>
  <c r="K46" i="31"/>
  <c r="H46" i="31"/>
  <c r="J46" i="31" s="1"/>
  <c r="L46" i="31" s="1"/>
  <c r="M46" i="31" s="1"/>
  <c r="K45" i="31"/>
  <c r="H45" i="31"/>
  <c r="J45" i="31" s="1"/>
  <c r="K44" i="31"/>
  <c r="H44" i="31"/>
  <c r="J44" i="31" s="1"/>
  <c r="K43" i="31"/>
  <c r="H43" i="31"/>
  <c r="J43" i="31" s="1"/>
  <c r="L43" i="31" s="1"/>
  <c r="M43" i="31" s="1"/>
  <c r="K42" i="31"/>
  <c r="H42" i="31"/>
  <c r="J42" i="31" s="1"/>
  <c r="K41" i="31"/>
  <c r="H41" i="31"/>
  <c r="J41" i="31" s="1"/>
  <c r="K40" i="31"/>
  <c r="H40" i="31"/>
  <c r="J40" i="31" s="1"/>
  <c r="L40" i="31" s="1"/>
  <c r="M40" i="31" s="1"/>
  <c r="G37" i="31"/>
  <c r="F37" i="31"/>
  <c r="E37" i="31"/>
  <c r="D37" i="31"/>
  <c r="C37" i="31"/>
  <c r="K36" i="31"/>
  <c r="H36" i="31"/>
  <c r="J36" i="31" s="1"/>
  <c r="K35" i="31"/>
  <c r="H35" i="31"/>
  <c r="J35" i="31" s="1"/>
  <c r="K34" i="31"/>
  <c r="H34" i="31"/>
  <c r="J34" i="31" s="1"/>
  <c r="K33" i="31"/>
  <c r="H33" i="31"/>
  <c r="J33" i="31" s="1"/>
  <c r="K32" i="31"/>
  <c r="H32" i="31"/>
  <c r="J32" i="31" s="1"/>
  <c r="K31" i="31"/>
  <c r="H31" i="31"/>
  <c r="J31" i="31" s="1"/>
  <c r="K30" i="31"/>
  <c r="H30" i="31"/>
  <c r="J30" i="31" s="1"/>
  <c r="K29" i="31"/>
  <c r="H29" i="31"/>
  <c r="J29" i="31" s="1"/>
  <c r="L29" i="31" s="1"/>
  <c r="M29" i="31" s="1"/>
  <c r="K28" i="31"/>
  <c r="H28" i="31"/>
  <c r="J28" i="31" s="1"/>
  <c r="K27" i="31"/>
  <c r="H27" i="31"/>
  <c r="J27" i="31" s="1"/>
  <c r="K26" i="31"/>
  <c r="H26" i="31"/>
  <c r="J26" i="31" s="1"/>
  <c r="K25" i="31"/>
  <c r="H25" i="31"/>
  <c r="J25" i="31" s="1"/>
  <c r="K24" i="31"/>
  <c r="H24" i="31"/>
  <c r="J24" i="31" s="1"/>
  <c r="K23" i="31"/>
  <c r="H23" i="31"/>
  <c r="J23" i="31" s="1"/>
  <c r="L23" i="31" s="1"/>
  <c r="M23" i="31" s="1"/>
  <c r="K22" i="31"/>
  <c r="H22" i="31"/>
  <c r="J22" i="31" s="1"/>
  <c r="K21" i="31"/>
  <c r="H21" i="31"/>
  <c r="J21" i="31" s="1"/>
  <c r="K20" i="31"/>
  <c r="H20" i="31"/>
  <c r="J20" i="31" s="1"/>
  <c r="L20" i="31" s="1"/>
  <c r="M20" i="31" s="1"/>
  <c r="K19" i="31"/>
  <c r="H19" i="31"/>
  <c r="J19" i="31" s="1"/>
  <c r="K18" i="31"/>
  <c r="H18" i="31"/>
  <c r="J18" i="31" s="1"/>
  <c r="K17" i="31"/>
  <c r="H17" i="31"/>
  <c r="J17" i="31" s="1"/>
  <c r="L17" i="31" s="1"/>
  <c r="M17" i="31" s="1"/>
  <c r="K16" i="31"/>
  <c r="H16" i="31"/>
  <c r="J16" i="31" s="1"/>
  <c r="L16" i="31" s="1"/>
  <c r="M16" i="31" s="1"/>
  <c r="K15" i="31"/>
  <c r="H15" i="31"/>
  <c r="J15" i="31" s="1"/>
  <c r="K14" i="31"/>
  <c r="H14" i="31"/>
  <c r="J14" i="31" s="1"/>
  <c r="K13" i="31"/>
  <c r="H13" i="31"/>
  <c r="J13" i="31" s="1"/>
  <c r="L13" i="31" s="1"/>
  <c r="M13" i="31" s="1"/>
  <c r="K12" i="31"/>
  <c r="H12" i="31"/>
  <c r="J12" i="31" s="1"/>
  <c r="L12" i="31" s="1"/>
  <c r="M12" i="31" s="1"/>
  <c r="K11" i="31"/>
  <c r="H11" i="31"/>
  <c r="J11" i="31" s="1"/>
  <c r="L11" i="31" s="1"/>
  <c r="M11" i="31" s="1"/>
  <c r="K10" i="31"/>
  <c r="H10" i="31"/>
  <c r="J10" i="31" s="1"/>
  <c r="K9" i="31"/>
  <c r="H9" i="31"/>
  <c r="J9" i="31" s="1"/>
  <c r="K8" i="31"/>
  <c r="H8" i="31"/>
  <c r="J8" i="31" s="1"/>
  <c r="K7" i="31"/>
  <c r="H7" i="31"/>
  <c r="J7" i="31" s="1"/>
  <c r="L7" i="31" s="1"/>
  <c r="M7" i="31" s="1"/>
  <c r="H6" i="31"/>
  <c r="J6" i="31" s="1"/>
  <c r="C20" i="15"/>
  <c r="C38" i="26"/>
  <c r="F38" i="26" s="1"/>
  <c r="C37" i="26"/>
  <c r="F37" i="26" s="1"/>
  <c r="C36" i="26"/>
  <c r="F36" i="26" s="1"/>
  <c r="C35" i="26"/>
  <c r="F35" i="26" s="1"/>
  <c r="C34" i="26"/>
  <c r="F34" i="26" s="1"/>
  <c r="C33" i="26"/>
  <c r="F33" i="26" s="1"/>
  <c r="C32" i="26"/>
  <c r="F32" i="26" s="1"/>
  <c r="C31" i="26"/>
  <c r="F31" i="26" s="1"/>
  <c r="C30" i="26"/>
  <c r="F30" i="26" s="1"/>
  <c r="C29" i="26"/>
  <c r="F29" i="26" s="1"/>
  <c r="C28" i="26"/>
  <c r="F28" i="26" s="1"/>
  <c r="C27" i="26"/>
  <c r="F27" i="26" s="1"/>
  <c r="C26" i="26"/>
  <c r="F26" i="26" s="1"/>
  <c r="C25" i="26"/>
  <c r="F25" i="26" s="1"/>
  <c r="C24" i="26"/>
  <c r="F24" i="26" s="1"/>
  <c r="C23" i="26"/>
  <c r="F23" i="26" s="1"/>
  <c r="C22" i="26"/>
  <c r="F22" i="26" s="1"/>
  <c r="C21" i="26"/>
  <c r="F21" i="26" s="1"/>
  <c r="C20" i="26"/>
  <c r="F20" i="26" s="1"/>
  <c r="C19" i="26"/>
  <c r="F19" i="26" s="1"/>
  <c r="C18" i="26"/>
  <c r="F18" i="26" s="1"/>
  <c r="C17" i="26"/>
  <c r="F17" i="26" s="1"/>
  <c r="C16" i="26"/>
  <c r="F16" i="26" s="1"/>
  <c r="C15" i="26"/>
  <c r="F15" i="26" s="1"/>
  <c r="C14" i="26"/>
  <c r="F14" i="26" s="1"/>
  <c r="C13" i="26"/>
  <c r="F13" i="26" s="1"/>
  <c r="C12" i="26"/>
  <c r="F12" i="26" s="1"/>
  <c r="C11" i="26"/>
  <c r="F11" i="26" s="1"/>
  <c r="C10" i="26"/>
  <c r="F10" i="26" s="1"/>
  <c r="C9" i="26"/>
  <c r="F9" i="26" s="1"/>
  <c r="R40" i="26"/>
  <c r="H40" i="26"/>
  <c r="D40" i="26"/>
  <c r="J38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" i="26"/>
  <c r="J12" i="26"/>
  <c r="J11" i="26"/>
  <c r="P10" i="26"/>
  <c r="J10" i="26"/>
  <c r="J9" i="26"/>
  <c r="P40" i="26"/>
  <c r="G40" i="26"/>
  <c r="F39" i="25"/>
  <c r="C39" i="25"/>
  <c r="E37" i="25"/>
  <c r="G37" i="25" s="1"/>
  <c r="G38" i="15" s="1"/>
  <c r="E36" i="25"/>
  <c r="G36" i="25" s="1"/>
  <c r="D36" i="20" s="1"/>
  <c r="E36" i="20" s="1"/>
  <c r="E35" i="25"/>
  <c r="G35" i="25" s="1"/>
  <c r="E34" i="25"/>
  <c r="G34" i="25" s="1"/>
  <c r="J34" i="25" s="1"/>
  <c r="E33" i="25"/>
  <c r="G33" i="25" s="1"/>
  <c r="J33" i="25" s="1"/>
  <c r="E32" i="25"/>
  <c r="G32" i="25" s="1"/>
  <c r="E31" i="25"/>
  <c r="G31" i="25" s="1"/>
  <c r="E30" i="25"/>
  <c r="G30" i="25" s="1"/>
  <c r="L31" i="26" s="1"/>
  <c r="E29" i="25"/>
  <c r="G29" i="25" s="1"/>
  <c r="D29" i="20" s="1"/>
  <c r="E29" i="20" s="1"/>
  <c r="E28" i="25"/>
  <c r="G28" i="25" s="1"/>
  <c r="E27" i="25"/>
  <c r="G27" i="25" s="1"/>
  <c r="L28" i="26" s="1"/>
  <c r="E26" i="25"/>
  <c r="G26" i="25" s="1"/>
  <c r="J26" i="25" s="1"/>
  <c r="E25" i="25"/>
  <c r="G25" i="25" s="1"/>
  <c r="E24" i="25"/>
  <c r="G24" i="25"/>
  <c r="D24" i="20" s="1"/>
  <c r="E24" i="20" s="1"/>
  <c r="E23" i="25"/>
  <c r="G23" i="25" s="1"/>
  <c r="E22" i="25"/>
  <c r="G22" i="25" s="1"/>
  <c r="E21" i="25"/>
  <c r="G21" i="25" s="1"/>
  <c r="L22" i="26" s="1"/>
  <c r="E20" i="25"/>
  <c r="G20" i="25" s="1"/>
  <c r="F21" i="13" s="1"/>
  <c r="E19" i="25"/>
  <c r="G19" i="25" s="1"/>
  <c r="E18" i="25"/>
  <c r="G18" i="25" s="1"/>
  <c r="E17" i="25"/>
  <c r="G17" i="25" s="1"/>
  <c r="E16" i="25"/>
  <c r="G16" i="25" s="1"/>
  <c r="D16" i="20" s="1"/>
  <c r="E16" i="20" s="1"/>
  <c r="E15" i="25"/>
  <c r="G15" i="25" s="1"/>
  <c r="D15" i="20" s="1"/>
  <c r="E15" i="20" s="1"/>
  <c r="E14" i="25"/>
  <c r="G14" i="25" s="1"/>
  <c r="E13" i="25"/>
  <c r="G13" i="25"/>
  <c r="G14" i="15" s="1"/>
  <c r="E12" i="25"/>
  <c r="G12" i="25" s="1"/>
  <c r="E11" i="25"/>
  <c r="G11" i="25" s="1"/>
  <c r="E10" i="25"/>
  <c r="G10" i="25" s="1"/>
  <c r="J10" i="25" s="1"/>
  <c r="E9" i="25"/>
  <c r="G9" i="25" s="1"/>
  <c r="D9" i="20" s="1"/>
  <c r="E9" i="20" s="1"/>
  <c r="E8" i="25"/>
  <c r="G8" i="25" s="1"/>
  <c r="C11" i="15"/>
  <c r="C10" i="15"/>
  <c r="F40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C40" i="13"/>
  <c r="D29" i="15"/>
  <c r="F29" i="15" s="1"/>
  <c r="D16" i="15"/>
  <c r="F16" i="15" s="1"/>
  <c r="F8" i="20"/>
  <c r="D37" i="24"/>
  <c r="L37" i="24"/>
  <c r="M37" i="24"/>
  <c r="D9" i="15"/>
  <c r="F9" i="15" s="1"/>
  <c r="D37" i="11"/>
  <c r="C39" i="20"/>
  <c r="F33" i="20"/>
  <c r="K26" i="17"/>
  <c r="M26" i="17" s="1"/>
  <c r="E24" i="24" s="1"/>
  <c r="K8" i="17"/>
  <c r="M8" i="17" s="1"/>
  <c r="E6" i="24" s="1"/>
  <c r="K9" i="17"/>
  <c r="M9" i="17" s="1"/>
  <c r="E7" i="24" s="1"/>
  <c r="K10" i="17"/>
  <c r="M10" i="17" s="1"/>
  <c r="E8" i="24" s="1"/>
  <c r="K11" i="17"/>
  <c r="M11" i="17" s="1"/>
  <c r="E9" i="24" s="1"/>
  <c r="K12" i="17"/>
  <c r="M12" i="17" s="1"/>
  <c r="E10" i="24" s="1"/>
  <c r="K13" i="17"/>
  <c r="M13" i="17" s="1"/>
  <c r="E11" i="24" s="1"/>
  <c r="K14" i="17"/>
  <c r="M14" i="17" s="1"/>
  <c r="E12" i="24" s="1"/>
  <c r="K15" i="17"/>
  <c r="M15" i="17" s="1"/>
  <c r="E13" i="24" s="1"/>
  <c r="K16" i="17"/>
  <c r="M16" i="17" s="1"/>
  <c r="E14" i="24" s="1"/>
  <c r="K17" i="17"/>
  <c r="M17" i="17" s="1"/>
  <c r="E15" i="24" s="1"/>
  <c r="K18" i="17"/>
  <c r="M18" i="17" s="1"/>
  <c r="E16" i="24" s="1"/>
  <c r="K19" i="17"/>
  <c r="M19" i="17" s="1"/>
  <c r="E17" i="24" s="1"/>
  <c r="K20" i="17"/>
  <c r="M20" i="17" s="1"/>
  <c r="E18" i="24" s="1"/>
  <c r="K23" i="17"/>
  <c r="M23" i="17" s="1"/>
  <c r="E21" i="24" s="1"/>
  <c r="K24" i="17"/>
  <c r="M24" i="17" s="1"/>
  <c r="E22" i="24" s="1"/>
  <c r="K25" i="17"/>
  <c r="M25" i="17" s="1"/>
  <c r="E23" i="24" s="1"/>
  <c r="K27" i="17"/>
  <c r="M27" i="17" s="1"/>
  <c r="E25" i="24" s="1"/>
  <c r="K28" i="17"/>
  <c r="M28" i="17" s="1"/>
  <c r="E26" i="24" s="1"/>
  <c r="K29" i="17"/>
  <c r="M29" i="17" s="1"/>
  <c r="E27" i="24" s="1"/>
  <c r="K30" i="17"/>
  <c r="M30" i="17" s="1"/>
  <c r="E28" i="24" s="1"/>
  <c r="K31" i="17"/>
  <c r="M31" i="17" s="1"/>
  <c r="E29" i="24" s="1"/>
  <c r="K32" i="17"/>
  <c r="M32" i="17" s="1"/>
  <c r="E30" i="24" s="1"/>
  <c r="K33" i="17"/>
  <c r="M33" i="17" s="1"/>
  <c r="E31" i="24" s="1"/>
  <c r="K34" i="17"/>
  <c r="M34" i="17" s="1"/>
  <c r="E32" i="24" s="1"/>
  <c r="K36" i="17"/>
  <c r="M36" i="17" s="1"/>
  <c r="E34" i="24" s="1"/>
  <c r="K37" i="17"/>
  <c r="M37" i="17" s="1"/>
  <c r="E35" i="24" s="1"/>
  <c r="K35" i="17"/>
  <c r="M35" i="17" s="1"/>
  <c r="E33" i="24" s="1"/>
  <c r="K22" i="17"/>
  <c r="M22" i="17" s="1"/>
  <c r="E20" i="24" s="1"/>
  <c r="K21" i="17"/>
  <c r="M21" i="17" s="1"/>
  <c r="E19" i="24" s="1"/>
  <c r="D10" i="15"/>
  <c r="F10" i="15" s="1"/>
  <c r="D13" i="15"/>
  <c r="F13" i="15" s="1"/>
  <c r="D14" i="15"/>
  <c r="F14" i="15" s="1"/>
  <c r="D19" i="15"/>
  <c r="F19" i="15" s="1"/>
  <c r="D21" i="15"/>
  <c r="F21" i="15" s="1"/>
  <c r="D22" i="15"/>
  <c r="F22" i="15" s="1"/>
  <c r="D23" i="15"/>
  <c r="F23" i="15" s="1"/>
  <c r="D24" i="15"/>
  <c r="F24" i="15" s="1"/>
  <c r="D27" i="15"/>
  <c r="F27" i="15" s="1"/>
  <c r="D31" i="15"/>
  <c r="F31" i="15" s="1"/>
  <c r="D36" i="15"/>
  <c r="F36" i="15" s="1"/>
  <c r="D38" i="15"/>
  <c r="F38" i="15" s="1"/>
  <c r="D11" i="15"/>
  <c r="F11" i="15" s="1"/>
  <c r="D12" i="15"/>
  <c r="F12" i="15" s="1"/>
  <c r="D15" i="15"/>
  <c r="F15" i="15" s="1"/>
  <c r="D17" i="15"/>
  <c r="F17" i="15" s="1"/>
  <c r="D18" i="15"/>
  <c r="F18" i="15" s="1"/>
  <c r="D25" i="15"/>
  <c r="F25" i="15" s="1"/>
  <c r="D26" i="15"/>
  <c r="F26" i="15" s="1"/>
  <c r="D30" i="15"/>
  <c r="F30" i="15" s="1"/>
  <c r="D32" i="15"/>
  <c r="F32" i="15" s="1"/>
  <c r="D33" i="15"/>
  <c r="F33" i="15" s="1"/>
  <c r="D35" i="15"/>
  <c r="F35" i="15" s="1"/>
  <c r="D37" i="15"/>
  <c r="F37" i="15" s="1"/>
  <c r="D20" i="15"/>
  <c r="F20" i="15" s="1"/>
  <c r="F37" i="20"/>
  <c r="F36" i="20"/>
  <c r="F35" i="20"/>
  <c r="F34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L39" i="17"/>
  <c r="D34" i="15"/>
  <c r="F34" i="15" s="1"/>
  <c r="A45" i="15"/>
  <c r="A42" i="20"/>
  <c r="A42" i="17"/>
  <c r="E40" i="15"/>
  <c r="I39" i="17"/>
  <c r="H39" i="17"/>
  <c r="G39" i="17"/>
  <c r="F39" i="17"/>
  <c r="E39" i="17"/>
  <c r="C39" i="17"/>
  <c r="B15" i="32"/>
  <c r="C8" i="32"/>
  <c r="B8" i="32"/>
  <c r="B12" i="32"/>
  <c r="C12" i="32"/>
  <c r="C40" i="15" l="1"/>
  <c r="K14" i="26"/>
  <c r="E48" i="31"/>
  <c r="L42" i="31"/>
  <c r="M42" i="31" s="1"/>
  <c r="L34" i="31"/>
  <c r="M34" i="31" s="1"/>
  <c r="L32" i="31"/>
  <c r="M32" i="31" s="1"/>
  <c r="L30" i="31"/>
  <c r="M30" i="31" s="1"/>
  <c r="L28" i="31"/>
  <c r="M28" i="31" s="1"/>
  <c r="L27" i="31"/>
  <c r="M27" i="31" s="1"/>
  <c r="L26" i="31"/>
  <c r="M26" i="31" s="1"/>
  <c r="L25" i="31"/>
  <c r="M25" i="31" s="1"/>
  <c r="L22" i="31"/>
  <c r="M22" i="31" s="1"/>
  <c r="L19" i="31"/>
  <c r="M19" i="31" s="1"/>
  <c r="L9" i="31"/>
  <c r="M9" i="31" s="1"/>
  <c r="L8" i="31"/>
  <c r="M8" i="31" s="1"/>
  <c r="K24" i="26"/>
  <c r="K15" i="26"/>
  <c r="K10" i="26"/>
  <c r="D12" i="20"/>
  <c r="E12" i="20" s="1"/>
  <c r="G12" i="20" s="1"/>
  <c r="G13" i="15"/>
  <c r="H13" i="15" s="1"/>
  <c r="G10" i="24" s="1"/>
  <c r="F38" i="13"/>
  <c r="J37" i="25"/>
  <c r="F28" i="13"/>
  <c r="H28" i="13" s="1"/>
  <c r="I25" i="24" s="1"/>
  <c r="G28" i="15"/>
  <c r="H28" i="15" s="1"/>
  <c r="G25" i="24" s="1"/>
  <c r="J39" i="17"/>
  <c r="M39" i="17"/>
  <c r="K39" i="17"/>
  <c r="E35" i="27"/>
  <c r="H34" i="24" s="1"/>
  <c r="E18" i="27"/>
  <c r="H17" i="24" s="1"/>
  <c r="E34" i="27"/>
  <c r="H33" i="24" s="1"/>
  <c r="E33" i="27"/>
  <c r="H32" i="24" s="1"/>
  <c r="E21" i="27"/>
  <c r="H20" i="24" s="1"/>
  <c r="E20" i="27"/>
  <c r="H19" i="24" s="1"/>
  <c r="E31" i="27"/>
  <c r="H30" i="24" s="1"/>
  <c r="E27" i="27"/>
  <c r="H26" i="24" s="1"/>
  <c r="E28" i="27"/>
  <c r="H27" i="24" s="1"/>
  <c r="E32" i="27"/>
  <c r="H31" i="24" s="1"/>
  <c r="E26" i="27"/>
  <c r="H25" i="24" s="1"/>
  <c r="E29" i="27"/>
  <c r="H28" i="24" s="1"/>
  <c r="E30" i="27"/>
  <c r="H29" i="24" s="1"/>
  <c r="C38" i="27"/>
  <c r="E19" i="27"/>
  <c r="H18" i="24" s="1"/>
  <c r="E14" i="27"/>
  <c r="H13" i="24" s="1"/>
  <c r="E10" i="27"/>
  <c r="H9" i="24" s="1"/>
  <c r="E23" i="27"/>
  <c r="H22" i="24" s="1"/>
  <c r="E13" i="27"/>
  <c r="H12" i="24" s="1"/>
  <c r="E17" i="27"/>
  <c r="H16" i="24" s="1"/>
  <c r="E11" i="27"/>
  <c r="H10" i="24" s="1"/>
  <c r="E15" i="27"/>
  <c r="H14" i="24" s="1"/>
  <c r="E24" i="27"/>
  <c r="H23" i="24" s="1"/>
  <c r="E22" i="27"/>
  <c r="H21" i="24" s="1"/>
  <c r="D12" i="27"/>
  <c r="E12" i="27" s="1"/>
  <c r="H11" i="24" s="1"/>
  <c r="D7" i="27"/>
  <c r="D8" i="27"/>
  <c r="E8" i="27" s="1"/>
  <c r="H7" i="24" s="1"/>
  <c r="H23" i="35"/>
  <c r="H22" i="35" s="1"/>
  <c r="D25" i="27" s="1"/>
  <c r="E25" i="27" s="1"/>
  <c r="H24" i="24" s="1"/>
  <c r="G22" i="35"/>
  <c r="G37" i="35" s="1"/>
  <c r="D9" i="27"/>
  <c r="E9" i="27" s="1"/>
  <c r="H8" i="24" s="1"/>
  <c r="G45" i="35"/>
  <c r="H45" i="35" s="1"/>
  <c r="K38" i="26"/>
  <c r="K33" i="26"/>
  <c r="K29" i="26"/>
  <c r="K28" i="26"/>
  <c r="M28" i="26" s="1"/>
  <c r="Q28" i="26" s="1"/>
  <c r="S28" i="26" s="1"/>
  <c r="F25" i="24" s="1"/>
  <c r="K23" i="26"/>
  <c r="K13" i="26"/>
  <c r="G48" i="31"/>
  <c r="F48" i="31"/>
  <c r="L35" i="31"/>
  <c r="M35" i="31" s="1"/>
  <c r="L21" i="31"/>
  <c r="M21" i="31" s="1"/>
  <c r="L45" i="31"/>
  <c r="M45" i="31" s="1"/>
  <c r="L44" i="31"/>
  <c r="M44" i="31" s="1"/>
  <c r="H47" i="31"/>
  <c r="L41" i="31"/>
  <c r="M41" i="31" s="1"/>
  <c r="J47" i="31"/>
  <c r="D48" i="31"/>
  <c r="L36" i="31"/>
  <c r="M36" i="31" s="1"/>
  <c r="L33" i="31"/>
  <c r="M33" i="31" s="1"/>
  <c r="L31" i="31"/>
  <c r="M31" i="31" s="1"/>
  <c r="L24" i="31"/>
  <c r="M24" i="31" s="1"/>
  <c r="L18" i="31"/>
  <c r="M18" i="31" s="1"/>
  <c r="L15" i="31"/>
  <c r="M15" i="31" s="1"/>
  <c r="L14" i="31"/>
  <c r="M14" i="31" s="1"/>
  <c r="J37" i="31"/>
  <c r="L10" i="31"/>
  <c r="M10" i="31" s="1"/>
  <c r="H37" i="31"/>
  <c r="L6" i="31"/>
  <c r="M6" i="31" s="1"/>
  <c r="K47" i="31"/>
  <c r="C48" i="31"/>
  <c r="K37" i="31"/>
  <c r="B48" i="31"/>
  <c r="H38" i="15"/>
  <c r="G35" i="24" s="1"/>
  <c r="H14" i="15"/>
  <c r="G11" i="24" s="1"/>
  <c r="G16" i="20"/>
  <c r="K17" i="26"/>
  <c r="G29" i="20"/>
  <c r="K12" i="26"/>
  <c r="N28" i="24"/>
  <c r="K20" i="26"/>
  <c r="K27" i="26"/>
  <c r="E37" i="24"/>
  <c r="K36" i="26"/>
  <c r="K35" i="26"/>
  <c r="K22" i="26"/>
  <c r="M22" i="26" s="1"/>
  <c r="Q22" i="26" s="1"/>
  <c r="S22" i="26" s="1"/>
  <c r="F19" i="24" s="1"/>
  <c r="K18" i="26"/>
  <c r="K11" i="26"/>
  <c r="K37" i="26"/>
  <c r="J40" i="26"/>
  <c r="K34" i="26"/>
  <c r="K30" i="26"/>
  <c r="K26" i="26"/>
  <c r="K31" i="26"/>
  <c r="M31" i="26" s="1"/>
  <c r="Q31" i="26" s="1"/>
  <c r="S31" i="26" s="1"/>
  <c r="F28" i="24" s="1"/>
  <c r="K25" i="26"/>
  <c r="K32" i="26"/>
  <c r="K19" i="26"/>
  <c r="K21" i="26"/>
  <c r="K16" i="26"/>
  <c r="H38" i="13"/>
  <c r="I35" i="24" s="1"/>
  <c r="E40" i="13"/>
  <c r="H21" i="13"/>
  <c r="I18" i="24" s="1"/>
  <c r="D40" i="15"/>
  <c r="F40" i="15"/>
  <c r="G36" i="20"/>
  <c r="G24" i="20"/>
  <c r="G15" i="20"/>
  <c r="F39" i="20"/>
  <c r="G9" i="20"/>
  <c r="F40" i="26"/>
  <c r="C40" i="26"/>
  <c r="K9" i="26"/>
  <c r="L37" i="26"/>
  <c r="G35" i="15"/>
  <c r="H35" i="15" s="1"/>
  <c r="G32" i="24" s="1"/>
  <c r="F35" i="13"/>
  <c r="H35" i="13" s="1"/>
  <c r="I32" i="24" s="1"/>
  <c r="D34" i="20"/>
  <c r="E34" i="20" s="1"/>
  <c r="G34" i="20" s="1"/>
  <c r="L35" i="26"/>
  <c r="D27" i="20"/>
  <c r="E27" i="20" s="1"/>
  <c r="G27" i="20" s="1"/>
  <c r="F17" i="13"/>
  <c r="H17" i="13" s="1"/>
  <c r="I14" i="24" s="1"/>
  <c r="L14" i="26"/>
  <c r="F16" i="13"/>
  <c r="H16" i="13" s="1"/>
  <c r="I13" i="24" s="1"/>
  <c r="L38" i="26"/>
  <c r="J36" i="25"/>
  <c r="L36" i="26"/>
  <c r="J35" i="25"/>
  <c r="G34" i="15"/>
  <c r="H34" i="15" s="1"/>
  <c r="G31" i="24" s="1"/>
  <c r="F34" i="13"/>
  <c r="H34" i="13" s="1"/>
  <c r="I31" i="24" s="1"/>
  <c r="D33" i="20"/>
  <c r="E33" i="20" s="1"/>
  <c r="G33" i="20" s="1"/>
  <c r="L34" i="26"/>
  <c r="F33" i="13"/>
  <c r="H33" i="13" s="1"/>
  <c r="I30" i="24" s="1"/>
  <c r="L33" i="26"/>
  <c r="D30" i="20"/>
  <c r="E30" i="20" s="1"/>
  <c r="G30" i="20" s="1"/>
  <c r="G31" i="15"/>
  <c r="H31" i="15" s="1"/>
  <c r="G28" i="24" s="1"/>
  <c r="F31" i="13"/>
  <c r="H31" i="13" s="1"/>
  <c r="I28" i="24" s="1"/>
  <c r="J27" i="25"/>
  <c r="D26" i="20"/>
  <c r="E26" i="20" s="1"/>
  <c r="G26" i="20" s="1"/>
  <c r="D22" i="20"/>
  <c r="E22" i="20" s="1"/>
  <c r="G22" i="20" s="1"/>
  <c r="F23" i="13"/>
  <c r="H23" i="13" s="1"/>
  <c r="I20" i="24" s="1"/>
  <c r="L23" i="26"/>
  <c r="G23" i="15"/>
  <c r="H23" i="15" s="1"/>
  <c r="G20" i="24" s="1"/>
  <c r="J22" i="25"/>
  <c r="J21" i="25"/>
  <c r="D21" i="20"/>
  <c r="E21" i="20" s="1"/>
  <c r="G21" i="20" s="1"/>
  <c r="G22" i="15"/>
  <c r="H22" i="15" s="1"/>
  <c r="G19" i="24" s="1"/>
  <c r="D20" i="20"/>
  <c r="E20" i="20" s="1"/>
  <c r="G20" i="20" s="1"/>
  <c r="J18" i="25"/>
  <c r="D18" i="20"/>
  <c r="E18" i="20" s="1"/>
  <c r="G18" i="20" s="1"/>
  <c r="F19" i="13"/>
  <c r="H19" i="13" s="1"/>
  <c r="I16" i="24" s="1"/>
  <c r="J14" i="25"/>
  <c r="F15" i="13"/>
  <c r="H15" i="13" s="1"/>
  <c r="I12" i="24" s="1"/>
  <c r="G15" i="15"/>
  <c r="H15" i="15" s="1"/>
  <c r="G12" i="24" s="1"/>
  <c r="L15" i="26"/>
  <c r="M15" i="26" s="1"/>
  <c r="Q15" i="26" s="1"/>
  <c r="S15" i="26" s="1"/>
  <c r="F12" i="24" s="1"/>
  <c r="D14" i="20"/>
  <c r="E14" i="20" s="1"/>
  <c r="G14" i="20" s="1"/>
  <c r="J13" i="25"/>
  <c r="D13" i="20"/>
  <c r="E13" i="20" s="1"/>
  <c r="G13" i="20" s="1"/>
  <c r="F14" i="13"/>
  <c r="H14" i="13" s="1"/>
  <c r="I11" i="24" s="1"/>
  <c r="D37" i="20"/>
  <c r="E37" i="20" s="1"/>
  <c r="G37" i="20" s="1"/>
  <c r="G37" i="15"/>
  <c r="H37" i="15" s="1"/>
  <c r="G34" i="24" s="1"/>
  <c r="F37" i="13"/>
  <c r="H37" i="13" s="1"/>
  <c r="I34" i="24" s="1"/>
  <c r="G36" i="15"/>
  <c r="H36" i="15" s="1"/>
  <c r="G33" i="24" s="1"/>
  <c r="F36" i="13"/>
  <c r="H36" i="13" s="1"/>
  <c r="I33" i="24" s="1"/>
  <c r="D35" i="20"/>
  <c r="E35" i="20" s="1"/>
  <c r="G35" i="20" s="1"/>
  <c r="G33" i="15"/>
  <c r="H33" i="15" s="1"/>
  <c r="G30" i="24" s="1"/>
  <c r="J32" i="25"/>
  <c r="D32" i="20"/>
  <c r="E32" i="20" s="1"/>
  <c r="G32" i="20" s="1"/>
  <c r="G32" i="15"/>
  <c r="H32" i="15" s="1"/>
  <c r="G29" i="24" s="1"/>
  <c r="L32" i="26"/>
  <c r="D31" i="20"/>
  <c r="E31" i="20" s="1"/>
  <c r="G31" i="20" s="1"/>
  <c r="J31" i="25"/>
  <c r="F32" i="13"/>
  <c r="H32" i="13" s="1"/>
  <c r="I29" i="24" s="1"/>
  <c r="J30" i="25"/>
  <c r="J29" i="25"/>
  <c r="G30" i="15"/>
  <c r="H30" i="15" s="1"/>
  <c r="G27" i="24" s="1"/>
  <c r="L30" i="26"/>
  <c r="F30" i="13"/>
  <c r="H30" i="13" s="1"/>
  <c r="I27" i="24" s="1"/>
  <c r="L29" i="26"/>
  <c r="J28" i="25"/>
  <c r="G29" i="15"/>
  <c r="H29" i="15" s="1"/>
  <c r="G26" i="24" s="1"/>
  <c r="D28" i="20"/>
  <c r="E28" i="20" s="1"/>
  <c r="G28" i="20" s="1"/>
  <c r="F29" i="13"/>
  <c r="H29" i="13" s="1"/>
  <c r="I26" i="24" s="1"/>
  <c r="G27" i="15"/>
  <c r="H27" i="15" s="1"/>
  <c r="G24" i="24" s="1"/>
  <c r="L27" i="26"/>
  <c r="F27" i="13"/>
  <c r="H27" i="13" s="1"/>
  <c r="I24" i="24" s="1"/>
  <c r="L26" i="26"/>
  <c r="M26" i="26" s="1"/>
  <c r="Q26" i="26" s="1"/>
  <c r="S26" i="26" s="1"/>
  <c r="F23" i="24" s="1"/>
  <c r="J25" i="25"/>
  <c r="F26" i="13"/>
  <c r="H26" i="13" s="1"/>
  <c r="I23" i="24" s="1"/>
  <c r="G26" i="15"/>
  <c r="H26" i="15" s="1"/>
  <c r="G23" i="24" s="1"/>
  <c r="D25" i="20"/>
  <c r="E25" i="20" s="1"/>
  <c r="G25" i="20" s="1"/>
  <c r="F25" i="13"/>
  <c r="H25" i="13" s="1"/>
  <c r="I22" i="24" s="1"/>
  <c r="J24" i="25"/>
  <c r="L25" i="26"/>
  <c r="G25" i="15"/>
  <c r="H25" i="15" s="1"/>
  <c r="G22" i="24" s="1"/>
  <c r="L24" i="26"/>
  <c r="M24" i="26" s="1"/>
  <c r="Q24" i="26" s="1"/>
  <c r="S24" i="26" s="1"/>
  <c r="F21" i="24" s="1"/>
  <c r="F24" i="13"/>
  <c r="H24" i="13" s="1"/>
  <c r="I21" i="24" s="1"/>
  <c r="D23" i="20"/>
  <c r="E23" i="20" s="1"/>
  <c r="G23" i="20" s="1"/>
  <c r="J23" i="25"/>
  <c r="G24" i="15"/>
  <c r="H24" i="15" s="1"/>
  <c r="G21" i="24" s="1"/>
  <c r="F22" i="13"/>
  <c r="H22" i="13" s="1"/>
  <c r="I19" i="24" s="1"/>
  <c r="J20" i="25"/>
  <c r="L21" i="26"/>
  <c r="G21" i="15"/>
  <c r="H21" i="15" s="1"/>
  <c r="G18" i="24" s="1"/>
  <c r="D19" i="20"/>
  <c r="E19" i="20" s="1"/>
  <c r="G19" i="20" s="1"/>
  <c r="F20" i="13"/>
  <c r="H20" i="13" s="1"/>
  <c r="I17" i="24" s="1"/>
  <c r="G20" i="15"/>
  <c r="H20" i="15" s="1"/>
  <c r="G17" i="24" s="1"/>
  <c r="L20" i="26"/>
  <c r="J19" i="25"/>
  <c r="L19" i="26"/>
  <c r="G19" i="15"/>
  <c r="H19" i="15" s="1"/>
  <c r="G16" i="24" s="1"/>
  <c r="D17" i="20"/>
  <c r="E17" i="20" s="1"/>
  <c r="G17" i="20" s="1"/>
  <c r="J17" i="25"/>
  <c r="G18" i="15"/>
  <c r="H18" i="15" s="1"/>
  <c r="G15" i="24" s="1"/>
  <c r="L18" i="26"/>
  <c r="F18" i="13"/>
  <c r="H18" i="13" s="1"/>
  <c r="I15" i="24" s="1"/>
  <c r="L17" i="26"/>
  <c r="G17" i="15"/>
  <c r="H17" i="15" s="1"/>
  <c r="G14" i="24" s="1"/>
  <c r="J16" i="25"/>
  <c r="G16" i="15"/>
  <c r="H16" i="15" s="1"/>
  <c r="G13" i="24" s="1"/>
  <c r="J15" i="25"/>
  <c r="L16" i="26"/>
  <c r="L13" i="26"/>
  <c r="F13" i="13"/>
  <c r="H13" i="13" s="1"/>
  <c r="I10" i="24" s="1"/>
  <c r="J12" i="25"/>
  <c r="D11" i="20"/>
  <c r="E11" i="20" s="1"/>
  <c r="G11" i="20" s="1"/>
  <c r="G12" i="15"/>
  <c r="H12" i="15" s="1"/>
  <c r="G9" i="24" s="1"/>
  <c r="F12" i="13"/>
  <c r="H12" i="13" s="1"/>
  <c r="I9" i="24" s="1"/>
  <c r="L12" i="26"/>
  <c r="J11" i="25"/>
  <c r="E39" i="25"/>
  <c r="G39" i="25" s="1"/>
  <c r="G40" i="15" s="1"/>
  <c r="F11" i="13"/>
  <c r="H11" i="13" s="1"/>
  <c r="I8" i="24" s="1"/>
  <c r="G11" i="15"/>
  <c r="H11" i="15" s="1"/>
  <c r="G8" i="24" s="1"/>
  <c r="D10" i="20"/>
  <c r="E10" i="20" s="1"/>
  <c r="G10" i="20" s="1"/>
  <c r="L10" i="26"/>
  <c r="F10" i="13"/>
  <c r="H10" i="13" s="1"/>
  <c r="I7" i="24" s="1"/>
  <c r="J9" i="25"/>
  <c r="G10" i="15"/>
  <c r="H10" i="15" s="1"/>
  <c r="G7" i="24" s="1"/>
  <c r="F9" i="13"/>
  <c r="H9" i="13" s="1"/>
  <c r="G9" i="15"/>
  <c r="H9" i="15" s="1"/>
  <c r="J8" i="25"/>
  <c r="D8" i="20"/>
  <c r="E8" i="20" s="1"/>
  <c r="L9" i="26"/>
  <c r="N35" i="24"/>
  <c r="N13" i="24"/>
  <c r="N21" i="24"/>
  <c r="N29" i="24"/>
  <c r="N11" i="24"/>
  <c r="N19" i="24"/>
  <c r="N27" i="24"/>
  <c r="N6" i="24"/>
  <c r="N14" i="24"/>
  <c r="N8" i="24"/>
  <c r="N16" i="24"/>
  <c r="N24" i="24"/>
  <c r="N32" i="24"/>
  <c r="N10" i="24"/>
  <c r="N25" i="24"/>
  <c r="N17" i="24"/>
  <c r="N30" i="24"/>
  <c r="N22" i="24"/>
  <c r="N34" i="24"/>
  <c r="N7" i="24"/>
  <c r="N26" i="24"/>
  <c r="N18" i="24"/>
  <c r="N31" i="24"/>
  <c r="N12" i="24"/>
  <c r="N33" i="24"/>
  <c r="N23" i="24"/>
  <c r="N20" i="24"/>
  <c r="N9" i="24"/>
  <c r="C15" i="32"/>
  <c r="M29" i="26" l="1"/>
  <c r="Q29" i="26" s="1"/>
  <c r="S29" i="26" s="1"/>
  <c r="F26" i="24" s="1"/>
  <c r="J26" i="24" s="1"/>
  <c r="M14" i="26"/>
  <c r="Q14" i="26" s="1"/>
  <c r="S14" i="26" s="1"/>
  <c r="F11" i="24" s="1"/>
  <c r="K48" i="31"/>
  <c r="M13" i="26"/>
  <c r="Q13" i="26" s="1"/>
  <c r="S13" i="26" s="1"/>
  <c r="F10" i="24" s="1"/>
  <c r="J10" i="24" s="1"/>
  <c r="M23" i="26"/>
  <c r="Q23" i="26" s="1"/>
  <c r="S23" i="26" s="1"/>
  <c r="F20" i="24" s="1"/>
  <c r="J20" i="24" s="1"/>
  <c r="M33" i="26"/>
  <c r="Q33" i="26" s="1"/>
  <c r="S33" i="26" s="1"/>
  <c r="F30" i="24" s="1"/>
  <c r="J30" i="24" s="1"/>
  <c r="M34" i="26"/>
  <c r="Q34" i="26" s="1"/>
  <c r="S34" i="26" s="1"/>
  <c r="F31" i="24" s="1"/>
  <c r="J31" i="24" s="1"/>
  <c r="M20" i="26"/>
  <c r="Q20" i="26" s="1"/>
  <c r="S20" i="26" s="1"/>
  <c r="F17" i="24" s="1"/>
  <c r="J17" i="24" s="1"/>
  <c r="M38" i="26"/>
  <c r="Q38" i="26" s="1"/>
  <c r="S38" i="26" s="1"/>
  <c r="F35" i="24" s="1"/>
  <c r="J35" i="24" s="1"/>
  <c r="J25" i="24"/>
  <c r="G46" i="35"/>
  <c r="H37" i="35"/>
  <c r="H46" i="35" s="1"/>
  <c r="D38" i="27"/>
  <c r="E7" i="27"/>
  <c r="H6" i="24" s="1"/>
  <c r="J23" i="24"/>
  <c r="M16" i="26"/>
  <c r="Q16" i="26" s="1"/>
  <c r="S16" i="26" s="1"/>
  <c r="F13" i="24" s="1"/>
  <c r="J13" i="24" s="1"/>
  <c r="M12" i="26"/>
  <c r="Q12" i="26" s="1"/>
  <c r="S12" i="26" s="1"/>
  <c r="F9" i="24" s="1"/>
  <c r="J9" i="24" s="1"/>
  <c r="M10" i="26"/>
  <c r="Q10" i="26" s="1"/>
  <c r="S10" i="26" s="1"/>
  <c r="F7" i="24" s="1"/>
  <c r="J7" i="24" s="1"/>
  <c r="M9" i="26"/>
  <c r="Q9" i="26" s="1"/>
  <c r="J48" i="31"/>
  <c r="L47" i="31"/>
  <c r="M47" i="31" s="1"/>
  <c r="H48" i="31"/>
  <c r="I36" i="31" s="1"/>
  <c r="L37" i="31"/>
  <c r="J12" i="24"/>
  <c r="M17" i="26"/>
  <c r="Q17" i="26" s="1"/>
  <c r="S17" i="26" s="1"/>
  <c r="F14" i="24" s="1"/>
  <c r="J14" i="24" s="1"/>
  <c r="M30" i="26"/>
  <c r="Q30" i="26" s="1"/>
  <c r="S30" i="26" s="1"/>
  <c r="F27" i="24" s="1"/>
  <c r="J27" i="24" s="1"/>
  <c r="M35" i="26"/>
  <c r="Q35" i="26" s="1"/>
  <c r="S35" i="26" s="1"/>
  <c r="F32" i="24" s="1"/>
  <c r="J32" i="24" s="1"/>
  <c r="M18" i="26"/>
  <c r="Q18" i="26" s="1"/>
  <c r="S18" i="26" s="1"/>
  <c r="F15" i="24" s="1"/>
  <c r="J15" i="24" s="1"/>
  <c r="M36" i="26"/>
  <c r="Q36" i="26" s="1"/>
  <c r="S36" i="26" s="1"/>
  <c r="F33" i="24" s="1"/>
  <c r="J33" i="24" s="1"/>
  <c r="M19" i="26"/>
  <c r="Q19" i="26" s="1"/>
  <c r="S19" i="26" s="1"/>
  <c r="F16" i="24" s="1"/>
  <c r="J16" i="24" s="1"/>
  <c r="M37" i="26"/>
  <c r="Q37" i="26" s="1"/>
  <c r="S37" i="26" s="1"/>
  <c r="F34" i="24" s="1"/>
  <c r="J34" i="24" s="1"/>
  <c r="M21" i="26"/>
  <c r="Q21" i="26" s="1"/>
  <c r="S21" i="26" s="1"/>
  <c r="F18" i="24" s="1"/>
  <c r="J18" i="24" s="1"/>
  <c r="M11" i="26"/>
  <c r="Q11" i="26" s="1"/>
  <c r="S11" i="26" s="1"/>
  <c r="F8" i="24" s="1"/>
  <c r="J8" i="24" s="1"/>
  <c r="J19" i="24"/>
  <c r="M27" i="26"/>
  <c r="Q27" i="26" s="1"/>
  <c r="S27" i="26" s="1"/>
  <c r="F24" i="24" s="1"/>
  <c r="J24" i="24" s="1"/>
  <c r="K40" i="26"/>
  <c r="M25" i="26"/>
  <c r="Q25" i="26" s="1"/>
  <c r="S25" i="26" s="1"/>
  <c r="F22" i="24" s="1"/>
  <c r="J22" i="24" s="1"/>
  <c r="M32" i="26"/>
  <c r="Q32" i="26" s="1"/>
  <c r="S32" i="26" s="1"/>
  <c r="F29" i="24" s="1"/>
  <c r="J29" i="24" s="1"/>
  <c r="J28" i="24"/>
  <c r="J11" i="24"/>
  <c r="J21" i="24"/>
  <c r="L40" i="26"/>
  <c r="D39" i="20"/>
  <c r="J39" i="25"/>
  <c r="G8" i="20"/>
  <c r="E39" i="20"/>
  <c r="G39" i="20" s="1"/>
  <c r="H40" i="15"/>
  <c r="G6" i="24"/>
  <c r="G37" i="24" s="1"/>
  <c r="I6" i="24"/>
  <c r="I37" i="24" s="1"/>
  <c r="H40" i="13"/>
  <c r="N37" i="24"/>
  <c r="I32" i="31" l="1"/>
  <c r="H37" i="24"/>
  <c r="E38" i="27"/>
  <c r="I42" i="31"/>
  <c r="I10" i="31"/>
  <c r="I9" i="31"/>
  <c r="I8" i="31"/>
  <c r="L48" i="31"/>
  <c r="M48" i="31" s="1"/>
  <c r="I16" i="31"/>
  <c r="I21" i="31"/>
  <c r="I13" i="31"/>
  <c r="I33" i="31"/>
  <c r="I17" i="31"/>
  <c r="I19" i="31"/>
  <c r="I29" i="31"/>
  <c r="I43" i="31"/>
  <c r="I15" i="31"/>
  <c r="I31" i="31"/>
  <c r="I46" i="31"/>
  <c r="I27" i="31"/>
  <c r="I44" i="31"/>
  <c r="I41" i="31"/>
  <c r="I20" i="31"/>
  <c r="I30" i="31"/>
  <c r="I26" i="31"/>
  <c r="I35" i="31"/>
  <c r="I7" i="31"/>
  <c r="I34" i="31"/>
  <c r="I18" i="31"/>
  <c r="I45" i="31"/>
  <c r="I40" i="31"/>
  <c r="I24" i="31"/>
  <c r="I23" i="31"/>
  <c r="I25" i="31"/>
  <c r="I28" i="31"/>
  <c r="I6" i="31"/>
  <c r="I11" i="31"/>
  <c r="I12" i="31"/>
  <c r="I14" i="31"/>
  <c r="M37" i="31"/>
  <c r="M40" i="26"/>
  <c r="Q40" i="26"/>
  <c r="S9" i="26"/>
  <c r="I47" i="31" l="1"/>
  <c r="I22" i="31"/>
  <c r="I37" i="31" s="1"/>
  <c r="F6" i="24"/>
  <c r="S40" i="26"/>
  <c r="I48" i="31" l="1"/>
  <c r="F37" i="24"/>
  <c r="J6" i="24"/>
  <c r="J37" i="24" l="1"/>
  <c r="K6" i="24" s="1"/>
  <c r="O6" i="24" l="1"/>
  <c r="K14" i="24"/>
  <c r="O14" i="24" s="1"/>
  <c r="P14" i="24" s="1"/>
  <c r="K25" i="24"/>
  <c r="O25" i="24" s="1"/>
  <c r="P25" i="24" s="1"/>
  <c r="K13" i="24"/>
  <c r="O13" i="24" s="1"/>
  <c r="P13" i="24" s="1"/>
  <c r="K32" i="24"/>
  <c r="O32" i="24" s="1"/>
  <c r="P32" i="24" s="1"/>
  <c r="K7" i="24"/>
  <c r="O7" i="24" s="1"/>
  <c r="P7" i="24" s="1"/>
  <c r="K31" i="24"/>
  <c r="O31" i="24" s="1"/>
  <c r="P31" i="24" s="1"/>
  <c r="K16" i="24"/>
  <c r="O16" i="24" s="1"/>
  <c r="P16" i="24" s="1"/>
  <c r="K20" i="24"/>
  <c r="O20" i="24" s="1"/>
  <c r="P20" i="24" s="1"/>
  <c r="K24" i="24"/>
  <c r="O24" i="24" s="1"/>
  <c r="P24" i="24" s="1"/>
  <c r="K18" i="24"/>
  <c r="O18" i="24" s="1"/>
  <c r="P18" i="24" s="1"/>
  <c r="K30" i="24"/>
  <c r="O30" i="24" s="1"/>
  <c r="P30" i="24" s="1"/>
  <c r="K26" i="24"/>
  <c r="O26" i="24" s="1"/>
  <c r="P26" i="24" s="1"/>
  <c r="K29" i="24"/>
  <c r="O29" i="24" s="1"/>
  <c r="P29" i="24" s="1"/>
  <c r="K28" i="24"/>
  <c r="O28" i="24" s="1"/>
  <c r="P28" i="24" s="1"/>
  <c r="K27" i="24"/>
  <c r="O27" i="24" s="1"/>
  <c r="P27" i="24" s="1"/>
  <c r="K21" i="24"/>
  <c r="O21" i="24" s="1"/>
  <c r="P21" i="24" s="1"/>
  <c r="K17" i="24"/>
  <c r="O17" i="24" s="1"/>
  <c r="P17" i="24" s="1"/>
  <c r="K23" i="24"/>
  <c r="O23" i="24" s="1"/>
  <c r="P23" i="24" s="1"/>
  <c r="K19" i="24"/>
  <c r="O19" i="24" s="1"/>
  <c r="P19" i="24" s="1"/>
  <c r="K11" i="24"/>
  <c r="O11" i="24" s="1"/>
  <c r="P11" i="24" s="1"/>
  <c r="K33" i="24"/>
  <c r="O33" i="24" s="1"/>
  <c r="P33" i="24" s="1"/>
  <c r="K8" i="24"/>
  <c r="O8" i="24" s="1"/>
  <c r="P8" i="24" s="1"/>
  <c r="K35" i="24"/>
  <c r="O35" i="24" s="1"/>
  <c r="P35" i="24" s="1"/>
  <c r="K22" i="24"/>
  <c r="O22" i="24" s="1"/>
  <c r="P22" i="24" s="1"/>
  <c r="K10" i="24"/>
  <c r="O10" i="24" s="1"/>
  <c r="P10" i="24" s="1"/>
  <c r="K12" i="24"/>
  <c r="O12" i="24" s="1"/>
  <c r="P12" i="24" s="1"/>
  <c r="K15" i="24"/>
  <c r="O15" i="24" s="1"/>
  <c r="P15" i="24" s="1"/>
  <c r="K9" i="24"/>
  <c r="O9" i="24" s="1"/>
  <c r="P9" i="24" s="1"/>
  <c r="K34" i="24"/>
  <c r="O34" i="24" s="1"/>
  <c r="P34" i="24" s="1"/>
  <c r="R8" i="24" l="1"/>
  <c r="R31" i="24"/>
  <c r="R17" i="24"/>
  <c r="S17" i="24" s="1"/>
  <c r="R20" i="24"/>
  <c r="S20" i="24" s="1"/>
  <c r="R34" i="24"/>
  <c r="S34" i="24" s="1"/>
  <c r="R7" i="24"/>
  <c r="S7" i="24" s="1"/>
  <c r="R10" i="24"/>
  <c r="S10" i="24" s="1"/>
  <c r="R14" i="24"/>
  <c r="S14" i="24" s="1"/>
  <c r="R16" i="24"/>
  <c r="R32" i="24"/>
  <c r="R11" i="24"/>
  <c r="R15" i="24"/>
  <c r="S15" i="24" s="1"/>
  <c r="R19" i="24"/>
  <c r="S19" i="24" s="1"/>
  <c r="R13" i="24"/>
  <c r="S13" i="24" s="1"/>
  <c r="R35" i="24"/>
  <c r="S35" i="24" s="1"/>
  <c r="R33" i="24"/>
  <c r="S33" i="24" s="1"/>
  <c r="R9" i="24"/>
  <c r="R12" i="24"/>
  <c r="R18" i="24"/>
  <c r="S18" i="24" s="1"/>
  <c r="B6" i="32"/>
  <c r="R29" i="24"/>
  <c r="S29" i="24" s="1"/>
  <c r="R22" i="24"/>
  <c r="S22" i="24" s="1"/>
  <c r="R30" i="24"/>
  <c r="S30" i="24" s="1"/>
  <c r="R24" i="24"/>
  <c r="S24" i="24" s="1"/>
  <c r="R21" i="24"/>
  <c r="S21" i="24" s="1"/>
  <c r="R27" i="24"/>
  <c r="S27" i="24" s="1"/>
  <c r="R28" i="24"/>
  <c r="S28" i="24" s="1"/>
  <c r="R26" i="24"/>
  <c r="S26" i="24" s="1"/>
  <c r="R23" i="24"/>
  <c r="S23" i="24" s="1"/>
  <c r="R25" i="24"/>
  <c r="S25" i="24" s="1"/>
  <c r="S9" i="24"/>
  <c r="S32" i="24"/>
  <c r="S8" i="24"/>
  <c r="S16" i="24"/>
  <c r="S31" i="24"/>
  <c r="S11" i="24"/>
  <c r="S12" i="24"/>
  <c r="K37" i="24"/>
  <c r="O37" i="24"/>
  <c r="P6" i="24"/>
  <c r="P37" i="24" l="1"/>
  <c r="B9" i="32"/>
  <c r="R6" i="24"/>
  <c r="B5" i="32" l="1"/>
  <c r="B11" i="32"/>
  <c r="Q6" i="24"/>
  <c r="Q24" i="24"/>
  <c r="Q21" i="24"/>
  <c r="Q22" i="24"/>
  <c r="Q27" i="24"/>
  <c r="Q25" i="24"/>
  <c r="Q26" i="24"/>
  <c r="Q23" i="24"/>
  <c r="Q30" i="24"/>
  <c r="Q28" i="24"/>
  <c r="Q29" i="24"/>
  <c r="R37" i="24"/>
  <c r="S37" i="24" s="1"/>
  <c r="S6" i="24"/>
  <c r="Q20" i="24"/>
  <c r="Q14" i="24"/>
  <c r="Q15" i="24"/>
  <c r="Q10" i="24"/>
  <c r="Q12" i="24"/>
  <c r="Q16" i="24"/>
  <c r="Q13" i="24"/>
  <c r="Q11" i="24"/>
  <c r="Q17" i="24"/>
  <c r="Q35" i="24"/>
  <c r="Q7" i="24"/>
  <c r="Q34" i="24"/>
  <c r="Q18" i="24"/>
  <c r="Q31" i="24"/>
  <c r="Q9" i="24"/>
  <c r="Q19" i="24"/>
  <c r="Q33" i="24"/>
  <c r="Q8" i="24"/>
  <c r="Q32" i="24"/>
  <c r="C9" i="32" l="1"/>
  <c r="C11" i="32"/>
  <c r="C6" i="32"/>
  <c r="Q37" i="24"/>
  <c r="C5" i="32" l="1"/>
</calcChain>
</file>

<file path=xl/sharedStrings.xml><?xml version="1.0" encoding="utf-8"?>
<sst xmlns="http://schemas.openxmlformats.org/spreadsheetml/2006/main" count="1036" uniqueCount="335">
  <si>
    <t>Inst ID</t>
  </si>
  <si>
    <t>Institution Name</t>
  </si>
  <si>
    <t>0203</t>
  </si>
  <si>
    <t>Alexandria TC</t>
  </si>
  <si>
    <t>0152</t>
  </si>
  <si>
    <t>0070</t>
  </si>
  <si>
    <t>0301</t>
  </si>
  <si>
    <t>Central Lakes College</t>
  </si>
  <si>
    <t>0304</t>
  </si>
  <si>
    <t>Century College</t>
  </si>
  <si>
    <t>0211</t>
  </si>
  <si>
    <t>Dakota County TC</t>
  </si>
  <si>
    <t>0163</t>
  </si>
  <si>
    <t>Fond du Lac Tribal &amp; CC</t>
  </si>
  <si>
    <t>0204</t>
  </si>
  <si>
    <t>Hennepin TC</t>
  </si>
  <si>
    <t>0302</t>
  </si>
  <si>
    <t>Lake Superior College</t>
  </si>
  <si>
    <t>0076</t>
  </si>
  <si>
    <t>0305</t>
  </si>
  <si>
    <t>Minneapolis College</t>
  </si>
  <si>
    <t>0213</t>
  </si>
  <si>
    <t>0071</t>
  </si>
  <si>
    <t>Minnesota SU, Mankato</t>
  </si>
  <si>
    <t>0209</t>
  </si>
  <si>
    <t>Minnesota West College</t>
  </si>
  <si>
    <t>0072</t>
  </si>
  <si>
    <t>0156</t>
  </si>
  <si>
    <t>Normandale CC</t>
  </si>
  <si>
    <t>0153</t>
  </si>
  <si>
    <t>North Hennepin CC</t>
  </si>
  <si>
    <t>0303</t>
  </si>
  <si>
    <t>Northland College</t>
  </si>
  <si>
    <t>0205</t>
  </si>
  <si>
    <t>Pine TC</t>
  </si>
  <si>
    <t>0308</t>
  </si>
  <si>
    <t>Ridgewater College</t>
  </si>
  <si>
    <t>0307</t>
  </si>
  <si>
    <t>Riverland College</t>
  </si>
  <si>
    <t>0306</t>
  </si>
  <si>
    <t>Rochester College</t>
  </si>
  <si>
    <t>0309</t>
  </si>
  <si>
    <t>0075</t>
  </si>
  <si>
    <t>0073</t>
  </si>
  <si>
    <t>St. Cloud SU</t>
  </si>
  <si>
    <t>0208</t>
  </si>
  <si>
    <t>0206</t>
  </si>
  <si>
    <t>0074</t>
  </si>
  <si>
    <t>Winona SU</t>
  </si>
  <si>
    <t>TOTAL</t>
  </si>
  <si>
    <t>MnSCU Finance Division</t>
  </si>
  <si>
    <t>I</t>
  </si>
  <si>
    <t>A</t>
  </si>
  <si>
    <t>B</t>
  </si>
  <si>
    <t>D</t>
  </si>
  <si>
    <t>C</t>
  </si>
  <si>
    <t>E</t>
  </si>
  <si>
    <t>F</t>
  </si>
  <si>
    <t>G</t>
  </si>
  <si>
    <t>H</t>
  </si>
  <si>
    <t>K</t>
  </si>
  <si>
    <t>M</t>
  </si>
  <si>
    <t>Minnesota SU Moorhead</t>
  </si>
  <si>
    <t>Northeast Higher Education District</t>
  </si>
  <si>
    <t>N</t>
  </si>
  <si>
    <t>O</t>
  </si>
  <si>
    <t>Allocation for Facilities</t>
  </si>
  <si>
    <t>TOTAL ALLOCATION FRAMEWORK</t>
  </si>
  <si>
    <t>Metropolitan SU</t>
  </si>
  <si>
    <t>Southwest Minnesota SU</t>
  </si>
  <si>
    <t>Saint Paul College</t>
  </si>
  <si>
    <t>Minnesota SC-Southeast Technical</t>
  </si>
  <si>
    <t>Minnesota State Colleges and Universities</t>
  </si>
  <si>
    <t>INSTRUCTION AND ACADEMIC SUPPORT</t>
  </si>
  <si>
    <t>b</t>
  </si>
  <si>
    <t>c</t>
  </si>
  <si>
    <t>d</t>
  </si>
  <si>
    <t>e</t>
  </si>
  <si>
    <t>f</t>
  </si>
  <si>
    <t>a</t>
  </si>
  <si>
    <t>10% of LD expended</t>
  </si>
  <si>
    <t>g</t>
  </si>
  <si>
    <t>h</t>
  </si>
  <si>
    <t>Institution</t>
  </si>
  <si>
    <t>Regional Dean of Mgmt Education</t>
  </si>
  <si>
    <t>Departmental Research</t>
  </si>
  <si>
    <t>Instruction &amp; Academic Support Change</t>
  </si>
  <si>
    <t>ACADEMIC SUPPORT PER FYE ADDED TO EACH INSTRUCTIONAL PROGRAM</t>
  </si>
  <si>
    <t>c/d</t>
  </si>
  <si>
    <t>Academic Support Per FYE Added to Each Instructional Program</t>
  </si>
  <si>
    <t>SEPARATELY BUDGETED RESEARCH AND PUBLIC SERVICE</t>
  </si>
  <si>
    <t>Allocation for Separately Budgeted Research and Public Service</t>
  </si>
  <si>
    <t>Total</t>
  </si>
  <si>
    <t>REVENUE OFFSET</t>
  </si>
  <si>
    <t>a-b</t>
  </si>
  <si>
    <t>Less Specific Revenue</t>
  </si>
  <si>
    <t>Net GEN Revenue</t>
  </si>
  <si>
    <t>a * c</t>
  </si>
  <si>
    <t>$500/fye</t>
  </si>
  <si>
    <t>k</t>
  </si>
  <si>
    <t>Dollars per FYE</t>
  </si>
  <si>
    <t xml:space="preserve">Dollars Generated Per FYE   </t>
  </si>
  <si>
    <t>Allocation    Sub-Total</t>
  </si>
  <si>
    <t>Multi Campus Adjustment</t>
  </si>
  <si>
    <t>FACILITIES -- OPERATIONS AND REPAIR/REPLACEMENT</t>
  </si>
  <si>
    <t>Operations and Maintenance</t>
  </si>
  <si>
    <t>Multiple Campus Factor</t>
  </si>
  <si>
    <t>Gross Operations</t>
  </si>
  <si>
    <t>SQ FT</t>
  </si>
  <si>
    <t>0442</t>
  </si>
  <si>
    <t>0403</t>
  </si>
  <si>
    <t>i</t>
  </si>
  <si>
    <t>Minnesota State College</t>
  </si>
  <si>
    <t>Bemidji SU &amp; Northwest TC-Bemidji</t>
  </si>
  <si>
    <t>50% Allocation Framework % Share</t>
  </si>
  <si>
    <t>P</t>
  </si>
  <si>
    <t>a*(1-b)</t>
  </si>
  <si>
    <t>South Central College</t>
  </si>
  <si>
    <t>0411</t>
  </si>
  <si>
    <t>Revenue Buydown</t>
  </si>
  <si>
    <t>J</t>
  </si>
  <si>
    <t>90/110</t>
  </si>
  <si>
    <t>St. Cloud College</t>
  </si>
  <si>
    <t>j</t>
  </si>
  <si>
    <t>Anoka Ramsey CC - Anoka TC</t>
  </si>
  <si>
    <t>*MnSCU funds 110 and 830; excludes auxiliary/agency activities and transfers</t>
  </si>
  <si>
    <t>STUDENT SUPPORT SERVICES AND INSTITUTIONAL SUPPORT</t>
  </si>
  <si>
    <t>Enter Base #</t>
  </si>
  <si>
    <t>Alexandria TCC</t>
  </si>
  <si>
    <t>Minneapolis CTC</t>
  </si>
  <si>
    <t>Pine TCC</t>
  </si>
  <si>
    <t>Riverland Community College</t>
  </si>
  <si>
    <t>Normandale Community College</t>
  </si>
  <si>
    <t>North Hennepin Community College</t>
  </si>
  <si>
    <t>Northland CTC</t>
  </si>
  <si>
    <t>Rochester CTC</t>
  </si>
  <si>
    <t>St. Cloud TCC</t>
  </si>
  <si>
    <t>Minnesota West CTC</t>
  </si>
  <si>
    <t>Q</t>
  </si>
  <si>
    <t>Hennepin Technical College</t>
  </si>
  <si>
    <t>Metropolitan State University</t>
  </si>
  <si>
    <t>Minnesota State CTC</t>
  </si>
  <si>
    <t>2 Year Average Allocation Instruction</t>
  </si>
  <si>
    <t>e=c*(1-d)</t>
  </si>
  <si>
    <t>Research</t>
  </si>
  <si>
    <t>Public Service</t>
  </si>
  <si>
    <t>Dakota County TC - Inver Hills CC</t>
  </si>
  <si>
    <t>Allocation for Student Success</t>
  </si>
  <si>
    <t>Sum A thru E</t>
  </si>
  <si>
    <t>F/tot F</t>
  </si>
  <si>
    <t>H/tot H</t>
  </si>
  <si>
    <t>i*$X</t>
  </si>
  <si>
    <t>L</t>
  </si>
  <si>
    <t>j+k</t>
  </si>
  <si>
    <t>g*$X</t>
  </si>
  <si>
    <t>L/tot L</t>
  </si>
  <si>
    <t>L-H</t>
  </si>
  <si>
    <t>N/H</t>
  </si>
  <si>
    <t>The lower the %, the more expenses are recognized</t>
  </si>
  <si>
    <t>(c-d)/c</t>
  </si>
  <si>
    <t xml:space="preserve"> c</t>
  </si>
  <si>
    <t>Student Support and Institutional Support Regression Split and Headcount Recognition</t>
  </si>
  <si>
    <t>Student Support and Institutional Support Regression Splt and Headcount Recognition</t>
  </si>
  <si>
    <t>e*g</t>
  </si>
  <si>
    <t>b + d + f +h</t>
  </si>
  <si>
    <t>i*(1-f)</t>
  </si>
  <si>
    <t>k + l</t>
  </si>
  <si>
    <t>l</t>
  </si>
  <si>
    <t>m</t>
  </si>
  <si>
    <t>n</t>
  </si>
  <si>
    <t>Institutional Support Core</t>
  </si>
  <si>
    <t>Student Services Core</t>
  </si>
  <si>
    <t>Dollars per Headcount</t>
  </si>
  <si>
    <t>Dollars Generated Per Headcount</t>
  </si>
  <si>
    <t>Core plus Dollars per Headcount/FYE</t>
  </si>
  <si>
    <t>2 Year Average Allocation Student Services &amp; Institutional Support</t>
  </si>
  <si>
    <t>Includes Library Spending</t>
  </si>
  <si>
    <t xml:space="preserve">Minnesota SC-Southeast </t>
  </si>
  <si>
    <t>Student Success Measures</t>
  </si>
  <si>
    <t>Exceeding Expected Rates</t>
  </si>
  <si>
    <t>Improved Rates for SOC</t>
  </si>
  <si>
    <t>Colleges / Universities</t>
  </si>
  <si>
    <t>Cohort</t>
  </si>
  <si>
    <t>Success-ful</t>
  </si>
  <si>
    <t>Actual Rate</t>
  </si>
  <si>
    <t>Expected Rate</t>
  </si>
  <si>
    <t>Upper Limit One SD</t>
  </si>
  <si>
    <t>Expected Successful One SD</t>
  </si>
  <si>
    <t>Allocation</t>
  </si>
  <si>
    <t>Alexandria Technical and Community College</t>
  </si>
  <si>
    <t>Anoka-Ramsey Community College</t>
  </si>
  <si>
    <t>Anoka Technical College</t>
  </si>
  <si>
    <t>Dakota County Technical College</t>
  </si>
  <si>
    <t>Inver Hills Community College</t>
  </si>
  <si>
    <t>Minneapolis Community and Technical College</t>
  </si>
  <si>
    <t>Minnesota State College - Southeast Technical</t>
  </si>
  <si>
    <t>Minnesota State Community and Technical College</t>
  </si>
  <si>
    <t xml:space="preserve">   Hibbing Community College</t>
  </si>
  <si>
    <t xml:space="preserve">   Itasca Community College</t>
  </si>
  <si>
    <t xml:space="preserve">   Mesabi Range College</t>
  </si>
  <si>
    <t xml:space="preserve">   Rainy River Community College</t>
  </si>
  <si>
    <t xml:space="preserve">   Vermilion Community College</t>
  </si>
  <si>
    <t>Northland Community &amp; Technical College</t>
  </si>
  <si>
    <t>Northwest Technical College - Bemidji</t>
  </si>
  <si>
    <t>Pine Technical and Community College</t>
  </si>
  <si>
    <t>Rochester Community and Technical College</t>
  </si>
  <si>
    <t>St. Cloud Technical and Community College</t>
  </si>
  <si>
    <t>Colleges</t>
  </si>
  <si>
    <t>Bemidji State University</t>
  </si>
  <si>
    <t>Minnesota State University, Mankato</t>
  </si>
  <si>
    <t>Minnesota State University Moorhead</t>
  </si>
  <si>
    <t>St. Cloud State University</t>
  </si>
  <si>
    <t>Southwest Minnesota State University</t>
  </si>
  <si>
    <t>Winona State University</t>
  </si>
  <si>
    <t>Universities</t>
  </si>
  <si>
    <t>System</t>
  </si>
  <si>
    <t>Change</t>
  </si>
  <si>
    <t>Addnl Success-</t>
  </si>
  <si>
    <t>College / University</t>
  </si>
  <si>
    <t>Denominator</t>
  </si>
  <si>
    <t>ful Students</t>
  </si>
  <si>
    <t>Fond du Lac Tribal and Community College</t>
  </si>
  <si>
    <t>Minnesota State College Southeast</t>
  </si>
  <si>
    <t>Minnesota West Community and Technical College</t>
  </si>
  <si>
    <t>Hibbing Community College</t>
  </si>
  <si>
    <t>Itasca Community College</t>
  </si>
  <si>
    <t>Mesabi Range College</t>
  </si>
  <si>
    <t>Rainy River Community College</t>
  </si>
  <si>
    <t>Vermilion Community College</t>
  </si>
  <si>
    <t>Northland Community and Technical College</t>
  </si>
  <si>
    <t>Additional Weight Modeling based on total headcount and underrepresented headcount</t>
  </si>
  <si>
    <t xml:space="preserve">Additional Weight </t>
  </si>
  <si>
    <t>Concurrrent Weight</t>
  </si>
  <si>
    <t>g=c+d+e-f</t>
  </si>
  <si>
    <t>h=g x weight</t>
  </si>
  <si>
    <t>j=(a-b)+h+i</t>
  </si>
  <si>
    <t>k=j-a/a</t>
  </si>
  <si>
    <t>Total Students</t>
  </si>
  <si>
    <t>Concurrent Headcount</t>
  </si>
  <si>
    <t xml:space="preserve">First Generation </t>
  </si>
  <si>
    <t xml:space="preserve">Pell Eligible </t>
  </si>
  <si>
    <t>Students of Color</t>
  </si>
  <si>
    <t>Concurrent Under represented</t>
  </si>
  <si>
    <t>First Generation + Pell Eligible + Students of Color</t>
  </si>
  <si>
    <t>Percent of Total</t>
  </si>
  <si>
    <t>Additional Weight for First Generation and Pell Eligible</t>
  </si>
  <si>
    <t>Concurrent Weigh</t>
  </si>
  <si>
    <t>Total Adjusted Headcount</t>
  </si>
  <si>
    <t>Percent Change in Adjusted Student Headcount</t>
  </si>
  <si>
    <t>Subtotal:  Colleges</t>
  </si>
  <si>
    <t>Subtotal:  Universities</t>
  </si>
  <si>
    <t>Total: System</t>
  </si>
  <si>
    <t>Total To Be Allocated</t>
  </si>
  <si>
    <t>Minnesota State</t>
  </si>
  <si>
    <t xml:space="preserve">Minnesota State </t>
  </si>
  <si>
    <t>Metro Colleges</t>
  </si>
  <si>
    <t>Non-Metro Colleges</t>
  </si>
  <si>
    <t>Allocation Framework Sector Differences</t>
  </si>
  <si>
    <t>Metro all</t>
  </si>
  <si>
    <t>Non-Metro all</t>
  </si>
  <si>
    <t>Overall shift</t>
  </si>
  <si>
    <t>$ change</t>
  </si>
  <si>
    <t>% of $508 million</t>
  </si>
  <si>
    <t>Instruction &amp; Academic Support</t>
  </si>
  <si>
    <t>Facilities</t>
  </si>
  <si>
    <t>Student Success</t>
  </si>
  <si>
    <t>Student Services &amp; Institutional Support</t>
  </si>
  <si>
    <t>Research &amp; Public Service</t>
  </si>
  <si>
    <t>% Share of Allocation Framework</t>
  </si>
  <si>
    <t>R</t>
  </si>
  <si>
    <t>50% FY2018 Base % Share</t>
  </si>
  <si>
    <t xml:space="preserve">  Hibbing Community College</t>
  </si>
  <si>
    <t xml:space="preserve">  Itasca Community College</t>
  </si>
  <si>
    <t xml:space="preserve">  Mesabi Range College</t>
  </si>
  <si>
    <t xml:space="preserve">  Rainy River Community College</t>
  </si>
  <si>
    <t xml:space="preserve">  Vermilion Community College</t>
  </si>
  <si>
    <t>Expected Success-ful</t>
  </si>
  <si>
    <t>Addnl Success-ful Students One SD</t>
  </si>
  <si>
    <t>Funds per Successful Student</t>
  </si>
  <si>
    <t>Rural College Campus Aid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</si>
  <si>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</si>
  <si>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</si>
  <si>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</si>
  <si>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</si>
  <si>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</si>
  <si>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</si>
  <si>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</si>
  <si>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</si>
  <si>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</si>
  <si>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</si>
  <si>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FY2018 FYE</t>
  </si>
  <si>
    <t>FY2020 Allocation for Student Services &amp; Institutional Support</t>
  </si>
  <si>
    <t>FY2020 Allocation for Instruction &amp; Academic Support</t>
  </si>
  <si>
    <t>Instruction &amp; Academic Support State Appro Expended</t>
  </si>
  <si>
    <t xml:space="preserve">FY2020 Base Allocation </t>
  </si>
  <si>
    <t>% Share of FY2020 Allocation</t>
  </si>
  <si>
    <t>Concurrent Enrollment Change</t>
  </si>
  <si>
    <t>Lower Division Change</t>
  </si>
  <si>
    <t>Upper Division Change</t>
  </si>
  <si>
    <t>Graduate Change</t>
  </si>
  <si>
    <t>b+c+d+e+f+g</t>
  </si>
  <si>
    <t>a=h</t>
  </si>
  <si>
    <t>Avg (i+j)</t>
  </si>
  <si>
    <t>FY14-18 Tuition Relief Allocation</t>
  </si>
  <si>
    <t>Actual and Expected Third Term Persistence and Completion Rates and Additional Successful Students</t>
  </si>
  <si>
    <t>Persistence and Completion at Third Term - Students of Color</t>
  </si>
  <si>
    <t xml:space="preserve">BASED ON FY2019 System DATA </t>
  </si>
  <si>
    <t>FY2019 Total GEN Revenue</t>
  </si>
  <si>
    <t>FY2019 Total State Appropriation</t>
  </si>
  <si>
    <t>FY19 Buydown</t>
  </si>
  <si>
    <t>FY2019 FYE</t>
  </si>
  <si>
    <t>BASED ON FY2019 System DATA -- January 2020</t>
  </si>
  <si>
    <t>FY2019 Academic Support Net Expenditures</t>
  </si>
  <si>
    <t>FY2019 Academic Support State Appro Expended</t>
  </si>
  <si>
    <t>FY2021 Allocation for Student Services &amp; Institutional Support</t>
  </si>
  <si>
    <t>FY2021 Allocation for Instruction &amp; Academic Support</t>
  </si>
  <si>
    <t>BASED ON FY2019 System DATA and FY2018 NATIONAL DATA -- February 2020</t>
  </si>
  <si>
    <t>Based on FY2019 System Data</t>
  </si>
  <si>
    <t>FP&amp;A - January 2020</t>
  </si>
  <si>
    <t>s:\finance\bargain\FY21 allocation\Summary of FY2021 Institutional Allocation Draft</t>
  </si>
  <si>
    <t>FY2019</t>
  </si>
  <si>
    <t>BASED ON FY2019 System DATA  -- January 2020</t>
  </si>
  <si>
    <t xml:space="preserve">FY2021 Base Allocation </t>
  </si>
  <si>
    <t>% Share of FY2021 Allocation</t>
  </si>
  <si>
    <t>$ Change Over FY2020</t>
  </si>
  <si>
    <t>% Change Over FY2020</t>
  </si>
  <si>
    <t>BASED ON FY2019 System DATA and FY2018 NATIONAL DATA --February 2020</t>
  </si>
  <si>
    <t>Fiscal Year 2021 Based on FY2019 Headcount</t>
  </si>
  <si>
    <t>Adjusted FY2019 Headcount</t>
  </si>
  <si>
    <t>FP&amp;A - February 2020</t>
  </si>
  <si>
    <t>2016-2018</t>
  </si>
  <si>
    <t xml:space="preserve">Fiscal Years 2016 to 2018 Entering Students </t>
  </si>
  <si>
    <t>Fiscal Year 2018 Entering Students</t>
  </si>
  <si>
    <t>Based on FY2016-2018 Enrollment Data</t>
  </si>
  <si>
    <t xml:space="preserve">FY2021 Access &amp; Opportunity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</si>
</sst>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#,##0.0000_);[Red]\(#,##0.0000\)"/>
    <numFmt numFmtId="166" formatCode="#,##0.00000_);[Red]\(#,##0.00000\)"/>
    <numFmt numFmtId="167" formatCode="0.0%"/>
    <numFmt numFmtId="168" formatCode="_(* #,##0_);_(* \(#,##0\);_(* &quot;-&quot;??_);_(@_)"/>
    <numFmt numFmtId="169" formatCode="&quot;$&quot;#,##0"/>
    <numFmt numFmtId="170" formatCode="#,##0.0000000000"/>
    <numFmt numFmtId="171" formatCode="_(&quot;$&quot;* #,##0_);_(&quot;$&quot;* \(#,##0\);_(&quot;$&quot;* &quot;-&quot;??_);_(@_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 New"/>
      <family val="3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MS Sans Serif"/>
    </font>
    <font>
      <b/>
      <sz val="10"/>
      <name val="MS Sans Serif"/>
      <family val="2"/>
    </font>
    <font>
      <b/>
      <sz val="10"/>
      <name val="MS Sans Serif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25" fillId="0" borderId="0"/>
    <xf numFmtId="0" fontId="6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511">
    <xf numFmtId="0" fontId="0" fillId="0" borderId="0" xfId="0"/>
    <xf numFmtId="0" fontId="4" fillId="2" borderId="1" xfId="7" applyFont="1" applyFill="1" applyBorder="1" applyAlignment="1">
      <alignment horizontal="center" wrapText="1"/>
    </xf>
    <xf numFmtId="0" fontId="6" fillId="2" borderId="0" xfId="7" applyFont="1" applyFill="1" applyBorder="1" applyAlignment="1">
      <alignment horizontal="center" wrapText="1"/>
    </xf>
    <xf numFmtId="0" fontId="6" fillId="0" borderId="1" xfId="7" applyFont="1" applyFill="1" applyBorder="1" applyAlignment="1">
      <alignment horizontal="left" wrapText="1"/>
    </xf>
    <xf numFmtId="0" fontId="7" fillId="0" borderId="0" xfId="0" applyFont="1"/>
    <xf numFmtId="38" fontId="7" fillId="0" borderId="0" xfId="0" applyNumberFormat="1" applyFont="1"/>
    <xf numFmtId="10" fontId="0" fillId="0" borderId="0" xfId="0" applyNumberFormat="1"/>
    <xf numFmtId="10" fontId="7" fillId="0" borderId="0" xfId="0" applyNumberFormat="1" applyFont="1"/>
    <xf numFmtId="38" fontId="0" fillId="0" borderId="1" xfId="0" applyNumberFormat="1" applyBorder="1"/>
    <xf numFmtId="10" fontId="0" fillId="0" borderId="1" xfId="0" applyNumberFormat="1" applyBorder="1"/>
    <xf numFmtId="0" fontId="6" fillId="0" borderId="1" xfId="7" applyFont="1" applyFill="1" applyBorder="1" applyAlignment="1">
      <alignment horizontal="center" wrapText="1"/>
    </xf>
    <xf numFmtId="38" fontId="0" fillId="0" borderId="0" xfId="0" applyNumberFormat="1"/>
    <xf numFmtId="3" fontId="7" fillId="0" borderId="0" xfId="0" applyNumberFormat="1" applyFont="1"/>
    <xf numFmtId="0" fontId="7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0" fillId="0" borderId="0" xfId="0" applyBorder="1"/>
    <xf numFmtId="49" fontId="8" fillId="0" borderId="0" xfId="0" applyNumberFormat="1" applyFont="1" applyAlignment="1">
      <alignment horizontal="left"/>
    </xf>
    <xf numFmtId="3" fontId="0" fillId="0" borderId="0" xfId="0" applyNumberFormat="1"/>
    <xf numFmtId="3" fontId="0" fillId="0" borderId="4" xfId="0" applyNumberFormat="1" applyBorder="1"/>
    <xf numFmtId="0" fontId="7" fillId="0" borderId="0" xfId="0" applyFont="1" applyBorder="1"/>
    <xf numFmtId="10" fontId="7" fillId="0" borderId="2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10" fontId="9" fillId="0" borderId="3" xfId="0" applyNumberFormat="1" applyFont="1" applyBorder="1" applyAlignment="1">
      <alignment horizontal="center"/>
    </xf>
    <xf numFmtId="168" fontId="0" fillId="0" borderId="0" xfId="1" applyNumberFormat="1" applyFont="1"/>
    <xf numFmtId="1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38" fontId="0" fillId="2" borderId="0" xfId="0" applyNumberFormat="1" applyFill="1"/>
    <xf numFmtId="10" fontId="0" fillId="0" borderId="0" xfId="0" applyNumberFormat="1" applyBorder="1"/>
    <xf numFmtId="0" fontId="10" fillId="0" borderId="0" xfId="0" applyFont="1" applyBorder="1"/>
    <xf numFmtId="0" fontId="7" fillId="0" borderId="4" xfId="0" applyFont="1" applyBorder="1" applyAlignment="1">
      <alignment horizontal="center" wrapText="1"/>
    </xf>
    <xf numFmtId="38" fontId="7" fillId="2" borderId="4" xfId="0" applyNumberFormat="1" applyFont="1" applyFill="1" applyBorder="1" applyAlignment="1">
      <alignment horizontal="center" wrapText="1"/>
    </xf>
    <xf numFmtId="38" fontId="7" fillId="0" borderId="0" xfId="0" applyNumberFormat="1" applyFont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6" fillId="2" borderId="0" xfId="8" applyFont="1" applyFill="1" applyBorder="1" applyAlignment="1">
      <alignment horizontal="center"/>
    </xf>
    <xf numFmtId="38" fontId="0" fillId="0" borderId="4" xfId="0" applyNumberFormat="1" applyBorder="1"/>
    <xf numFmtId="0" fontId="13" fillId="0" borderId="0" xfId="0" applyFont="1"/>
    <xf numFmtId="49" fontId="6" fillId="0" borderId="1" xfId="7" applyNumberFormat="1" applyFont="1" applyFill="1" applyBorder="1" applyAlignment="1">
      <alignment horizontal="center" wrapText="1"/>
    </xf>
    <xf numFmtId="38" fontId="0" fillId="2" borderId="4" xfId="0" applyNumberFormat="1" applyFill="1" applyBorder="1"/>
    <xf numFmtId="0" fontId="7" fillId="0" borderId="0" xfId="0" applyFont="1" applyBorder="1" applyAlignment="1">
      <alignment horizontal="left"/>
    </xf>
    <xf numFmtId="10" fontId="7" fillId="2" borderId="12" xfId="0" applyNumberFormat="1" applyFont="1" applyFill="1" applyBorder="1" applyAlignment="1">
      <alignment horizontal="center" wrapText="1"/>
    </xf>
    <xf numFmtId="10" fontId="0" fillId="2" borderId="0" xfId="0" applyNumberFormat="1" applyFill="1"/>
    <xf numFmtId="10" fontId="0" fillId="2" borderId="4" xfId="0" applyNumberFormat="1" applyFill="1" applyBorder="1"/>
    <xf numFmtId="0" fontId="0" fillId="2" borderId="0" xfId="0" applyFill="1"/>
    <xf numFmtId="0" fontId="12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7" fontId="0" fillId="0" borderId="4" xfId="9" applyNumberFormat="1" applyFont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0" fontId="0" fillId="2" borderId="1" xfId="9" applyNumberFormat="1" applyFont="1" applyFill="1" applyBorder="1"/>
    <xf numFmtId="10" fontId="7" fillId="2" borderId="0" xfId="0" applyNumberFormat="1" applyFont="1" applyFill="1"/>
    <xf numFmtId="3" fontId="0" fillId="0" borderId="0" xfId="0" applyNumberFormat="1" applyFill="1"/>
    <xf numFmtId="3" fontId="0" fillId="0" borderId="4" xfId="0" applyNumberFormat="1" applyFill="1" applyBorder="1"/>
    <xf numFmtId="0" fontId="0" fillId="0" borderId="0" xfId="0" applyFill="1"/>
    <xf numFmtId="38" fontId="0" fillId="0" borderId="0" xfId="0" applyNumberFormat="1" applyFill="1"/>
    <xf numFmtId="38" fontId="7" fillId="0" borderId="0" xfId="0" applyNumberFormat="1" applyFont="1" applyFill="1"/>
    <xf numFmtId="168" fontId="0" fillId="0" borderId="0" xfId="1" applyNumberFormat="1" applyFont="1" applyFill="1"/>
    <xf numFmtId="0" fontId="0" fillId="0" borderId="0" xfId="0" applyFill="1" applyBorder="1"/>
    <xf numFmtId="0" fontId="9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38" fontId="7" fillId="3" borderId="4" xfId="0" applyNumberFormat="1" applyFont="1" applyFill="1" applyBorder="1" applyAlignment="1">
      <alignment horizontal="center" wrapText="1"/>
    </xf>
    <xf numFmtId="38" fontId="0" fillId="3" borderId="0" xfId="0" applyNumberFormat="1" applyFill="1"/>
    <xf numFmtId="38" fontId="0" fillId="3" borderId="4" xfId="0" applyNumberFormat="1" applyFill="1" applyBorder="1"/>
    <xf numFmtId="0" fontId="0" fillId="4" borderId="0" xfId="0" applyFill="1"/>
    <xf numFmtId="3" fontId="7" fillId="4" borderId="0" xfId="0" applyNumberFormat="1" applyFont="1" applyFill="1"/>
    <xf numFmtId="10" fontId="9" fillId="4" borderId="0" xfId="0" applyNumberFormat="1" applyFont="1" applyFill="1" applyBorder="1" applyAlignment="1">
      <alignment horizontal="center"/>
    </xf>
    <xf numFmtId="10" fontId="9" fillId="4" borderId="3" xfId="0" applyNumberFormat="1" applyFont="1" applyFill="1" applyBorder="1" applyAlignment="1">
      <alignment horizontal="center"/>
    </xf>
    <xf numFmtId="10" fontId="0" fillId="4" borderId="0" xfId="0" applyNumberFormat="1" applyFill="1"/>
    <xf numFmtId="38" fontId="0" fillId="4" borderId="1" xfId="0" applyNumberFormat="1" applyFill="1" applyBorder="1"/>
    <xf numFmtId="10" fontId="7" fillId="4" borderId="0" xfId="0" applyNumberFormat="1" applyFont="1" applyFill="1"/>
    <xf numFmtId="0" fontId="13" fillId="4" borderId="0" xfId="0" applyFont="1" applyFill="1" applyAlignment="1">
      <alignment horizontal="left"/>
    </xf>
    <xf numFmtId="38" fontId="0" fillId="4" borderId="0" xfId="0" applyNumberFormat="1" applyFill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38" fontId="7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left"/>
    </xf>
    <xf numFmtId="0" fontId="7" fillId="4" borderId="1" xfId="0" applyFont="1" applyFill="1" applyBorder="1" applyAlignment="1">
      <alignment horizontal="center" wrapText="1"/>
    </xf>
    <xf numFmtId="0" fontId="4" fillId="4" borderId="1" xfId="8" applyFont="1" applyFill="1" applyBorder="1" applyAlignment="1">
      <alignment horizontal="center" wrapText="1"/>
    </xf>
    <xf numFmtId="38" fontId="7" fillId="4" borderId="1" xfId="0" applyNumberFormat="1" applyFont="1" applyFill="1" applyBorder="1" applyAlignment="1">
      <alignment horizontal="center" wrapText="1"/>
    </xf>
    <xf numFmtId="0" fontId="7" fillId="4" borderId="0" xfId="0" applyFont="1" applyFill="1" applyAlignment="1">
      <alignment wrapText="1"/>
    </xf>
    <xf numFmtId="0" fontId="6" fillId="4" borderId="0" xfId="8" applyFont="1" applyFill="1" applyBorder="1" applyAlignment="1">
      <alignment horizontal="center"/>
    </xf>
    <xf numFmtId="0" fontId="6" fillId="4" borderId="1" xfId="7" applyFont="1" applyFill="1" applyBorder="1" applyAlignment="1">
      <alignment horizontal="center" wrapText="1"/>
    </xf>
    <xf numFmtId="49" fontId="6" fillId="4" borderId="1" xfId="7" applyNumberFormat="1" applyFont="1" applyFill="1" applyBorder="1" applyAlignment="1">
      <alignment horizontal="center" wrapText="1"/>
    </xf>
    <xf numFmtId="49" fontId="8" fillId="4" borderId="0" xfId="0" applyNumberFormat="1" applyFont="1" applyFill="1" applyAlignment="1">
      <alignment horizontal="left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/>
    <xf numFmtId="38" fontId="0" fillId="0" borderId="0" xfId="0" applyNumberFormat="1" applyFill="1" applyBorder="1"/>
    <xf numFmtId="38" fontId="7" fillId="0" borderId="0" xfId="0" applyNumberFormat="1" applyFont="1" applyFill="1" applyAlignment="1">
      <alignment horizontal="center"/>
    </xf>
    <xf numFmtId="38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8" fontId="0" fillId="0" borderId="1" xfId="0" applyNumberFormat="1" applyFill="1" applyBorder="1"/>
    <xf numFmtId="38" fontId="6" fillId="0" borderId="1" xfId="7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5" fontId="0" fillId="0" borderId="0" xfId="0" applyNumberFormat="1" applyFill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7" fontId="7" fillId="0" borderId="4" xfId="0" applyNumberFormat="1" applyFont="1" applyFill="1" applyBorder="1" applyAlignment="1">
      <alignment horizontal="center"/>
    </xf>
    <xf numFmtId="7" fontId="7" fillId="0" borderId="0" xfId="0" applyNumberFormat="1" applyFont="1" applyFill="1" applyBorder="1" applyAlignment="1">
      <alignment horizontal="center"/>
    </xf>
    <xf numFmtId="169" fontId="0" fillId="0" borderId="0" xfId="0" applyNumberFormat="1" applyFill="1" applyBorder="1" applyAlignment="1">
      <alignment horizontal="right"/>
    </xf>
    <xf numFmtId="169" fontId="7" fillId="0" borderId="4" xfId="2" applyNumberFormat="1" applyFont="1" applyFill="1" applyBorder="1" applyAlignment="1">
      <alignment horizontal="center"/>
    </xf>
    <xf numFmtId="169" fontId="7" fillId="0" borderId="0" xfId="2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1" fontId="0" fillId="0" borderId="0" xfId="0" applyNumberFormat="1" applyFill="1"/>
    <xf numFmtId="38" fontId="7" fillId="0" borderId="4" xfId="0" applyNumberFormat="1" applyFont="1" applyFill="1" applyBorder="1" applyAlignment="1">
      <alignment horizontal="center" wrapText="1"/>
    </xf>
    <xf numFmtId="0" fontId="13" fillId="0" borderId="0" xfId="0" applyFont="1" applyFill="1"/>
    <xf numFmtId="6" fontId="0" fillId="0" borderId="0" xfId="0" applyNumberFormat="1" applyFill="1"/>
    <xf numFmtId="0" fontId="7" fillId="0" borderId="0" xfId="0" applyFont="1" applyFill="1" applyAlignment="1"/>
    <xf numFmtId="0" fontId="7" fillId="0" borderId="0" xfId="0" applyFont="1" applyFill="1" applyBorder="1" applyAlignment="1">
      <alignment horizontal="right" vertical="top"/>
    </xf>
    <xf numFmtId="0" fontId="4" fillId="0" borderId="3" xfId="7" applyFont="1" applyFill="1" applyBorder="1" applyAlignment="1">
      <alignment horizontal="center"/>
    </xf>
    <xf numFmtId="6" fontId="7" fillId="0" borderId="3" xfId="0" applyNumberFormat="1" applyFont="1" applyFill="1" applyBorder="1" applyAlignment="1">
      <alignment horizontal="center"/>
    </xf>
    <xf numFmtId="0" fontId="0" fillId="0" borderId="10" xfId="0" applyFill="1" applyBorder="1"/>
    <xf numFmtId="169" fontId="0" fillId="0" borderId="10" xfId="0" applyNumberFormat="1" applyFill="1" applyBorder="1"/>
    <xf numFmtId="0" fontId="0" fillId="0" borderId="11" xfId="0" applyFill="1" applyBorder="1"/>
    <xf numFmtId="0" fontId="7" fillId="0" borderId="1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6" fontId="0" fillId="0" borderId="0" xfId="0" applyNumberFormat="1" applyFill="1" applyBorder="1" applyAlignment="1"/>
    <xf numFmtId="10" fontId="6" fillId="0" borderId="1" xfId="7" applyNumberFormat="1" applyFont="1" applyFill="1" applyBorder="1" applyAlignment="1">
      <alignment horizontal="right" wrapText="1"/>
    </xf>
    <xf numFmtId="38" fontId="0" fillId="0" borderId="4" xfId="0" applyNumberFormat="1" applyFill="1" applyBorder="1" applyAlignment="1">
      <alignment horizontal="right"/>
    </xf>
    <xf numFmtId="0" fontId="6" fillId="0" borderId="1" xfId="7" applyFont="1" applyFill="1" applyBorder="1" applyAlignment="1">
      <alignment horizontal="left"/>
    </xf>
    <xf numFmtId="0" fontId="6" fillId="0" borderId="0" xfId="7" applyFont="1" applyFill="1" applyBorder="1" applyAlignment="1">
      <alignment horizontal="center" wrapText="1"/>
    </xf>
    <xf numFmtId="0" fontId="6" fillId="0" borderId="0" xfId="7" applyFont="1" applyFill="1" applyBorder="1" applyAlignment="1">
      <alignment horizontal="left" wrapText="1"/>
    </xf>
    <xf numFmtId="6" fontId="0" fillId="0" borderId="0" xfId="0" applyNumberFormat="1" applyFill="1" applyBorder="1" applyAlignment="1">
      <alignment horizontal="right"/>
    </xf>
    <xf numFmtId="0" fontId="14" fillId="0" borderId="0" xfId="0" applyFont="1" applyFill="1"/>
    <xf numFmtId="0" fontId="14" fillId="0" borderId="0" xfId="0" applyFont="1" applyFill="1" applyBorder="1"/>
    <xf numFmtId="10" fontId="6" fillId="0" borderId="0" xfId="7" applyNumberFormat="1" applyFont="1" applyFill="1" applyBorder="1" applyAlignment="1">
      <alignment horizontal="right" wrapText="1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horizontal="left"/>
    </xf>
    <xf numFmtId="0" fontId="0" fillId="0" borderId="0" xfId="0" applyNumberFormat="1" applyFill="1"/>
    <xf numFmtId="38" fontId="6" fillId="0" borderId="1" xfId="7" applyNumberFormat="1" applyFont="1" applyFill="1" applyBorder="1" applyAlignment="1">
      <alignment horizontal="right" wrapText="1"/>
    </xf>
    <xf numFmtId="0" fontId="6" fillId="0" borderId="14" xfId="5" applyFont="1" applyFill="1" applyBorder="1" applyAlignment="1">
      <alignment horizontal="center"/>
    </xf>
    <xf numFmtId="3" fontId="6" fillId="0" borderId="1" xfId="1" applyNumberFormat="1" applyFont="1" applyFill="1" applyBorder="1" applyAlignment="1">
      <alignment horizontal="right" wrapText="1"/>
    </xf>
    <xf numFmtId="10" fontId="0" fillId="0" borderId="0" xfId="0" applyNumberFormat="1" applyFill="1"/>
    <xf numFmtId="38" fontId="6" fillId="0" borderId="1" xfId="1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center" wrapText="1"/>
    </xf>
    <xf numFmtId="10" fontId="0" fillId="0" borderId="1" xfId="0" applyNumberFormat="1" applyFill="1" applyBorder="1"/>
    <xf numFmtId="10" fontId="0" fillId="0" borderId="4" xfId="0" applyNumberFormat="1" applyFill="1" applyBorder="1"/>
    <xf numFmtId="167" fontId="0" fillId="0" borderId="4" xfId="9" applyNumberFormat="1" applyFont="1" applyFill="1" applyBorder="1"/>
    <xf numFmtId="1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4" fillId="0" borderId="1" xfId="7" applyFont="1" applyFill="1" applyBorder="1" applyAlignment="1">
      <alignment horizontal="center" wrapText="1"/>
    </xf>
    <xf numFmtId="3" fontId="4" fillId="0" borderId="1" xfId="7" applyNumberFormat="1" applyFont="1" applyFill="1" applyBorder="1" applyAlignment="1">
      <alignment horizontal="center" wrapText="1"/>
    </xf>
    <xf numFmtId="10" fontId="7" fillId="0" borderId="1" xfId="0" applyNumberFormat="1" applyFont="1" applyFill="1" applyBorder="1" applyAlignment="1">
      <alignment horizontal="center" wrapText="1"/>
    </xf>
    <xf numFmtId="1" fontId="4" fillId="0" borderId="1" xfId="7" applyNumberFormat="1" applyFont="1" applyFill="1" applyBorder="1" applyAlignment="1">
      <alignment horizontal="center" wrapText="1" shrinkToFit="1"/>
    </xf>
    <xf numFmtId="0" fontId="4" fillId="0" borderId="6" xfId="7" applyFont="1" applyFill="1" applyBorder="1" applyAlignment="1">
      <alignment horizontal="center" wrapText="1"/>
    </xf>
    <xf numFmtId="38" fontId="6" fillId="0" borderId="6" xfId="3" applyNumberFormat="1" applyFont="1" applyFill="1" applyBorder="1" applyAlignment="1">
      <alignment horizontal="center"/>
    </xf>
    <xf numFmtId="3" fontId="4" fillId="0" borderId="0" xfId="7" applyNumberFormat="1" applyFont="1" applyFill="1" applyBorder="1" applyAlignment="1">
      <alignment horizontal="center" wrapText="1"/>
    </xf>
    <xf numFmtId="3" fontId="4" fillId="0" borderId="0" xfId="7" applyNumberFormat="1" applyFont="1" applyFill="1" applyBorder="1" applyAlignment="1">
      <alignment horizontal="center"/>
    </xf>
    <xf numFmtId="38" fontId="6" fillId="0" borderId="4" xfId="3" applyNumberFormat="1" applyFont="1" applyFill="1" applyBorder="1" applyAlignment="1">
      <alignment horizontal="right" wrapText="1"/>
    </xf>
    <xf numFmtId="10" fontId="6" fillId="0" borderId="8" xfId="7" applyNumberFormat="1" applyFont="1" applyFill="1" applyBorder="1" applyAlignment="1">
      <alignment horizontal="right" wrapText="1"/>
    </xf>
    <xf numFmtId="3" fontId="6" fillId="0" borderId="1" xfId="7" applyNumberFormat="1" applyFont="1" applyFill="1" applyBorder="1" applyAlignment="1">
      <alignment horizontal="right" wrapText="1"/>
    </xf>
    <xf numFmtId="10" fontId="0" fillId="0" borderId="0" xfId="9" applyNumberFormat="1" applyFont="1" applyFill="1"/>
    <xf numFmtId="4" fontId="0" fillId="0" borderId="0" xfId="0" applyNumberFormat="1" applyFill="1"/>
    <xf numFmtId="170" fontId="0" fillId="0" borderId="0" xfId="0" applyNumberFormat="1" applyFill="1"/>
    <xf numFmtId="0" fontId="13" fillId="0" borderId="0" xfId="0" applyFont="1" applyFill="1" applyAlignment="1"/>
    <xf numFmtId="0" fontId="0" fillId="0" borderId="0" xfId="0" applyFill="1" applyAlignment="1"/>
    <xf numFmtId="0" fontId="3" fillId="0" borderId="0" xfId="0" applyFont="1" applyFill="1"/>
    <xf numFmtId="0" fontId="16" fillId="0" borderId="0" xfId="0" applyFont="1" applyFill="1"/>
    <xf numFmtId="0" fontId="16" fillId="0" borderId="0" xfId="0" applyFont="1" applyFill="1" applyBorder="1" applyAlignment="1"/>
    <xf numFmtId="38" fontId="7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wrapText="1"/>
    </xf>
    <xf numFmtId="38" fontId="4" fillId="0" borderId="0" xfId="7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168" fontId="0" fillId="0" borderId="0" xfId="0" applyNumberFormat="1" applyFill="1"/>
    <xf numFmtId="3" fontId="0" fillId="0" borderId="0" xfId="0" applyNumberFormat="1" applyFill="1" applyBorder="1"/>
    <xf numFmtId="49" fontId="8" fillId="0" borderId="0" xfId="0" applyNumberFormat="1" applyFont="1" applyFill="1" applyAlignment="1"/>
    <xf numFmtId="10" fontId="4" fillId="0" borderId="0" xfId="7" applyNumberFormat="1" applyFont="1" applyFill="1" applyBorder="1" applyAlignment="1">
      <alignment horizontal="right" wrapText="1"/>
    </xf>
    <xf numFmtId="49" fontId="0" fillId="0" borderId="0" xfId="0" applyNumberFormat="1" applyFill="1" applyAlignment="1"/>
    <xf numFmtId="168" fontId="6" fillId="0" borderId="0" xfId="1" applyNumberFormat="1" applyFont="1" applyFill="1" applyBorder="1" applyAlignment="1">
      <alignment horizontal="right" wrapText="1"/>
    </xf>
    <xf numFmtId="0" fontId="7" fillId="5" borderId="0" xfId="0" applyFont="1" applyFill="1" applyBorder="1"/>
    <xf numFmtId="168" fontId="6" fillId="0" borderId="4" xfId="1" applyNumberFormat="1" applyFont="1" applyFill="1" applyBorder="1" applyAlignment="1">
      <alignment horizontal="right" wrapText="1"/>
    </xf>
    <xf numFmtId="0" fontId="7" fillId="6" borderId="19" xfId="0" applyFont="1" applyFill="1" applyBorder="1" applyAlignment="1">
      <alignment horizontal="center" wrapText="1"/>
    </xf>
    <xf numFmtId="0" fontId="0" fillId="6" borderId="0" xfId="0" applyFill="1"/>
    <xf numFmtId="168" fontId="0" fillId="0" borderId="0" xfId="0" applyNumberFormat="1"/>
    <xf numFmtId="0" fontId="13" fillId="0" borderId="0" xfId="0" applyFont="1" applyFill="1" applyBorder="1"/>
    <xf numFmtId="0" fontId="7" fillId="0" borderId="3" xfId="0" applyFont="1" applyFill="1" applyBorder="1"/>
    <xf numFmtId="0" fontId="4" fillId="0" borderId="2" xfId="7" applyFont="1" applyFill="1" applyBorder="1" applyAlignment="1">
      <alignment horizontal="center" wrapText="1"/>
    </xf>
    <xf numFmtId="0" fontId="6" fillId="0" borderId="1" xfId="4" applyFont="1" applyFill="1" applyBorder="1" applyAlignment="1">
      <alignment horizontal="center"/>
    </xf>
    <xf numFmtId="38" fontId="6" fillId="0" borderId="1" xfId="4" applyNumberFormat="1" applyFont="1" applyFill="1" applyBorder="1" applyAlignment="1">
      <alignment horizontal="right" wrapText="1"/>
    </xf>
    <xf numFmtId="38" fontId="3" fillId="0" borderId="1" xfId="4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49" fontId="7" fillId="0" borderId="7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/>
    </xf>
    <xf numFmtId="38" fontId="7" fillId="0" borderId="5" xfId="0" applyNumberFormat="1" applyFont="1" applyFill="1" applyBorder="1" applyAlignment="1">
      <alignment horizontal="center" wrapText="1"/>
    </xf>
    <xf numFmtId="0" fontId="6" fillId="0" borderId="15" xfId="5" applyFont="1" applyFill="1" applyBorder="1" applyAlignment="1">
      <alignment horizontal="center"/>
    </xf>
    <xf numFmtId="0" fontId="6" fillId="0" borderId="0" xfId="7" applyFont="1" applyFill="1" applyBorder="1" applyAlignment="1">
      <alignment horizontal="center"/>
    </xf>
    <xf numFmtId="38" fontId="6" fillId="0" borderId="1" xfId="5" applyNumberFormat="1" applyFont="1" applyFill="1" applyBorder="1" applyAlignment="1">
      <alignment horizontal="right" wrapText="1"/>
    </xf>
    <xf numFmtId="164" fontId="0" fillId="0" borderId="0" xfId="0" applyNumberFormat="1" applyFill="1"/>
    <xf numFmtId="166" fontId="0" fillId="0" borderId="0" xfId="0" applyNumberFormat="1" applyFill="1"/>
    <xf numFmtId="165" fontId="0" fillId="0" borderId="0" xfId="0" applyNumberFormat="1" applyFill="1"/>
    <xf numFmtId="43" fontId="0" fillId="0" borderId="0" xfId="0" applyNumberFormat="1"/>
    <xf numFmtId="3" fontId="7" fillId="0" borderId="2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0" borderId="10" xfId="7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/>
    </xf>
    <xf numFmtId="38" fontId="15" fillId="0" borderId="1" xfId="7" applyNumberFormat="1" applyFont="1" applyFill="1" applyBorder="1" applyAlignment="1">
      <alignment horizontal="right"/>
    </xf>
    <xf numFmtId="38" fontId="6" fillId="0" borderId="4" xfId="7" applyNumberFormat="1" applyFont="1" applyFill="1" applyBorder="1" applyAlignment="1">
      <alignment horizontal="right"/>
    </xf>
    <xf numFmtId="3" fontId="6" fillId="0" borderId="0" xfId="7" applyNumberFormat="1" applyFont="1" applyFill="1" applyBorder="1" applyAlignment="1">
      <alignment horizontal="right"/>
    </xf>
    <xf numFmtId="9" fontId="0" fillId="0" borderId="0" xfId="9" applyFont="1" applyFill="1"/>
    <xf numFmtId="167" fontId="0" fillId="0" borderId="0" xfId="9" applyNumberFormat="1" applyFont="1" applyFill="1"/>
    <xf numFmtId="9" fontId="7" fillId="0" borderId="0" xfId="0" applyNumberFormat="1" applyFont="1" applyFill="1"/>
    <xf numFmtId="0" fontId="7" fillId="0" borderId="0" xfId="0" applyFont="1" applyAlignment="1">
      <alignment horizontal="center"/>
    </xf>
    <xf numFmtId="3" fontId="6" fillId="0" borderId="0" xfId="7" applyNumberFormat="1" applyFont="1" applyFill="1" applyBorder="1" applyAlignment="1">
      <alignment horizontal="center" wrapText="1"/>
    </xf>
    <xf numFmtId="0" fontId="3" fillId="0" borderId="0" xfId="0" applyFont="1"/>
    <xf numFmtId="168" fontId="7" fillId="0" borderId="0" xfId="0" applyNumberFormat="1" applyFont="1"/>
    <xf numFmtId="167" fontId="7" fillId="0" borderId="0" xfId="9" applyNumberFormat="1" applyFont="1" applyFill="1" applyBorder="1"/>
    <xf numFmtId="3" fontId="3" fillId="7" borderId="19" xfId="1" applyNumberFormat="1" applyFont="1" applyFill="1" applyBorder="1"/>
    <xf numFmtId="38" fontId="7" fillId="0" borderId="2" xfId="0" applyNumberFormat="1" applyFont="1" applyFill="1" applyBorder="1" applyAlignment="1">
      <alignment horizontal="center" wrapText="1"/>
    </xf>
    <xf numFmtId="9" fontId="0" fillId="0" borderId="0" xfId="9" applyNumberFormat="1" applyFont="1" applyFill="1"/>
    <xf numFmtId="38" fontId="4" fillId="0" borderId="0" xfId="7" applyNumberFormat="1" applyFont="1" applyFill="1" applyBorder="1" applyAlignment="1">
      <alignment horizontal="right" wrapText="1"/>
    </xf>
    <xf numFmtId="168" fontId="0" fillId="0" borderId="0" xfId="1" applyNumberFormat="1" applyFont="1" applyBorder="1"/>
    <xf numFmtId="0" fontId="7" fillId="2" borderId="21" xfId="0" applyFont="1" applyFill="1" applyBorder="1" applyAlignment="1">
      <alignment horizontal="center" wrapText="1"/>
    </xf>
    <xf numFmtId="0" fontId="4" fillId="2" borderId="21" xfId="8" applyFont="1" applyFill="1" applyBorder="1" applyAlignment="1">
      <alignment horizontal="center" wrapText="1"/>
    </xf>
    <xf numFmtId="38" fontId="7" fillId="2" borderId="20" xfId="0" applyNumberFormat="1" applyFont="1" applyFill="1" applyBorder="1" applyAlignment="1">
      <alignment horizontal="center" wrapText="1"/>
    </xf>
    <xf numFmtId="49" fontId="6" fillId="0" borderId="21" xfId="7" applyNumberFormat="1" applyFont="1" applyFill="1" applyBorder="1" applyAlignment="1">
      <alignment horizontal="center" wrapText="1"/>
    </xf>
    <xf numFmtId="0" fontId="6" fillId="0" borderId="21" xfId="7" applyFont="1" applyFill="1" applyBorder="1" applyAlignment="1">
      <alignment horizontal="left" wrapText="1"/>
    </xf>
    <xf numFmtId="38" fontId="0" fillId="0" borderId="21" xfId="0" applyNumberFormat="1" applyBorder="1"/>
    <xf numFmtId="10" fontId="0" fillId="0" borderId="21" xfId="9" applyNumberFormat="1" applyFont="1" applyBorder="1"/>
    <xf numFmtId="38" fontId="0" fillId="0" borderId="21" xfId="0" applyNumberFormat="1" applyFill="1" applyBorder="1"/>
    <xf numFmtId="3" fontId="0" fillId="0" borderId="21" xfId="0" applyNumberFormat="1" applyFill="1" applyBorder="1"/>
    <xf numFmtId="3" fontId="0" fillId="0" borderId="21" xfId="0" applyNumberFormat="1" applyBorder="1"/>
    <xf numFmtId="0" fontId="6" fillId="0" borderId="21" xfId="7" applyFont="1" applyFill="1" applyBorder="1" applyAlignment="1">
      <alignment horizontal="left"/>
    </xf>
    <xf numFmtId="38" fontId="3" fillId="0" borderId="0" xfId="0" applyNumberFormat="1" applyFont="1"/>
    <xf numFmtId="10" fontId="3" fillId="0" borderId="0" xfId="9" applyNumberFormat="1" applyFont="1"/>
    <xf numFmtId="0" fontId="13" fillId="0" borderId="0" xfId="10" applyFont="1" applyFill="1"/>
    <xf numFmtId="0" fontId="3" fillId="0" borderId="0" xfId="10" applyFill="1"/>
    <xf numFmtId="3" fontId="3" fillId="0" borderId="0" xfId="10" applyNumberFormat="1" applyFill="1"/>
    <xf numFmtId="38" fontId="3" fillId="0" borderId="0" xfId="10" applyNumberFormat="1" applyFill="1"/>
    <xf numFmtId="10" fontId="3" fillId="0" borderId="0" xfId="10" applyNumberFormat="1" applyFill="1"/>
    <xf numFmtId="0" fontId="7" fillId="0" borderId="0" xfId="10" applyFont="1" applyFill="1"/>
    <xf numFmtId="0" fontId="7" fillId="0" borderId="0" xfId="10" applyFont="1" applyFill="1" applyAlignment="1">
      <alignment horizontal="left"/>
    </xf>
    <xf numFmtId="0" fontId="7" fillId="0" borderId="0" xfId="10" applyFont="1" applyFill="1" applyAlignment="1">
      <alignment horizontal="center"/>
    </xf>
    <xf numFmtId="3" fontId="7" fillId="0" borderId="0" xfId="10" applyNumberFormat="1" applyFont="1" applyFill="1" applyAlignment="1">
      <alignment horizontal="center"/>
    </xf>
    <xf numFmtId="38" fontId="7" fillId="0" borderId="0" xfId="10" applyNumberFormat="1" applyFont="1" applyFill="1" applyAlignment="1">
      <alignment horizontal="center"/>
    </xf>
    <xf numFmtId="10" fontId="7" fillId="0" borderId="0" xfId="10" applyNumberFormat="1" applyFont="1" applyFill="1" applyAlignment="1">
      <alignment horizontal="center"/>
    </xf>
    <xf numFmtId="0" fontId="3" fillId="0" borderId="0" xfId="10" applyFill="1" applyAlignment="1">
      <alignment horizontal="center"/>
    </xf>
    <xf numFmtId="0" fontId="4" fillId="0" borderId="22" xfId="7" applyFont="1" applyFill="1" applyBorder="1" applyAlignment="1">
      <alignment horizontal="center" wrapText="1"/>
    </xf>
    <xf numFmtId="3" fontId="17" fillId="0" borderId="22" xfId="7" applyNumberFormat="1" applyFont="1" applyFill="1" applyBorder="1" applyAlignment="1">
      <alignment horizontal="center" wrapText="1"/>
    </xf>
    <xf numFmtId="38" fontId="18" fillId="0" borderId="22" xfId="10" applyNumberFormat="1" applyFont="1" applyFill="1" applyBorder="1" applyAlignment="1">
      <alignment horizontal="center" wrapText="1"/>
    </xf>
    <xf numFmtId="38" fontId="17" fillId="0" borderId="22" xfId="7" applyNumberFormat="1" applyFont="1" applyFill="1" applyBorder="1" applyAlignment="1">
      <alignment horizontal="center" wrapText="1"/>
    </xf>
    <xf numFmtId="10" fontId="7" fillId="0" borderId="0" xfId="10" applyNumberFormat="1" applyFont="1" applyFill="1" applyBorder="1" applyAlignment="1">
      <alignment horizontal="center" wrapText="1"/>
    </xf>
    <xf numFmtId="10" fontId="7" fillId="0" borderId="22" xfId="10" applyNumberFormat="1" applyFont="1" applyFill="1" applyBorder="1" applyAlignment="1">
      <alignment horizontal="center" wrapText="1"/>
    </xf>
    <xf numFmtId="0" fontId="3" fillId="0" borderId="0" xfId="10" applyFill="1" applyAlignment="1">
      <alignment wrapText="1"/>
    </xf>
    <xf numFmtId="38" fontId="4" fillId="0" borderId="22" xfId="7" applyNumberFormat="1" applyFont="1" applyFill="1" applyBorder="1" applyAlignment="1">
      <alignment horizontal="center" wrapText="1"/>
    </xf>
    <xf numFmtId="38" fontId="3" fillId="0" borderId="0" xfId="10" applyNumberFormat="1" applyFill="1" applyBorder="1" applyAlignment="1">
      <alignment horizontal="center" wrapText="1"/>
    </xf>
    <xf numFmtId="10" fontId="3" fillId="0" borderId="0" xfId="10" applyNumberFormat="1" applyFill="1" applyAlignment="1">
      <alignment wrapText="1"/>
    </xf>
    <xf numFmtId="0" fontId="6" fillId="0" borderId="23" xfId="7" applyFont="1" applyFill="1" applyBorder="1" applyAlignment="1">
      <alignment horizontal="center" wrapText="1"/>
    </xf>
    <xf numFmtId="0" fontId="6" fillId="0" borderId="22" xfId="7" applyFont="1" applyFill="1" applyBorder="1" applyAlignment="1">
      <alignment horizontal="left" wrapText="1"/>
    </xf>
    <xf numFmtId="168" fontId="6" fillId="0" borderId="23" xfId="6" applyNumberFormat="1" applyFont="1" applyFill="1" applyBorder="1" applyAlignment="1">
      <alignment horizontal="right" wrapText="1"/>
    </xf>
    <xf numFmtId="38" fontId="6" fillId="0" borderId="24" xfId="7" applyNumberFormat="1" applyFont="1" applyFill="1" applyBorder="1" applyAlignment="1">
      <alignment horizontal="right" wrapText="1"/>
    </xf>
    <xf numFmtId="38" fontId="6" fillId="0" borderId="25" xfId="7" applyNumberFormat="1" applyFont="1" applyFill="1" applyBorder="1" applyAlignment="1">
      <alignment horizontal="right" wrapText="1"/>
    </xf>
    <xf numFmtId="38" fontId="3" fillId="0" borderId="23" xfId="10" applyNumberFormat="1" applyFill="1" applyBorder="1" applyAlignment="1">
      <alignment horizontal="right"/>
    </xf>
    <xf numFmtId="10" fontId="3" fillId="0" borderId="0" xfId="10" applyNumberFormat="1" applyFill="1" applyBorder="1" applyAlignment="1">
      <alignment horizontal="right"/>
    </xf>
    <xf numFmtId="168" fontId="6" fillId="0" borderId="23" xfId="1" applyNumberFormat="1" applyFont="1" applyFill="1" applyBorder="1" applyAlignment="1">
      <alignment horizontal="right" wrapText="1"/>
    </xf>
    <xf numFmtId="0" fontId="6" fillId="0" borderId="22" xfId="7" applyFont="1" applyFill="1" applyBorder="1" applyAlignment="1">
      <alignment horizontal="left"/>
    </xf>
    <xf numFmtId="49" fontId="6" fillId="0" borderId="22" xfId="7" applyNumberFormat="1" applyFont="1" applyFill="1" applyBorder="1" applyAlignment="1">
      <alignment horizontal="center" wrapText="1"/>
    </xf>
    <xf numFmtId="49" fontId="6" fillId="0" borderId="23" xfId="7" applyNumberFormat="1" applyFont="1" applyFill="1" applyBorder="1" applyAlignment="1">
      <alignment horizontal="center" wrapText="1"/>
    </xf>
    <xf numFmtId="3" fontId="3" fillId="0" borderId="0" xfId="10" applyNumberFormat="1" applyFill="1" applyAlignment="1">
      <alignment horizontal="right"/>
    </xf>
    <xf numFmtId="38" fontId="3" fillId="0" borderId="0" xfId="10" applyNumberFormat="1" applyFill="1" applyAlignment="1">
      <alignment horizontal="right"/>
    </xf>
    <xf numFmtId="0" fontId="3" fillId="0" borderId="0" xfId="10" applyFill="1" applyAlignment="1">
      <alignment horizontal="right"/>
    </xf>
    <xf numFmtId="10" fontId="3" fillId="0" borderId="0" xfId="10" applyNumberFormat="1" applyFill="1" applyAlignment="1">
      <alignment horizontal="right"/>
    </xf>
    <xf numFmtId="0" fontId="3" fillId="0" borderId="0" xfId="10" applyFont="1" applyFill="1" applyAlignment="1">
      <alignment horizontal="left"/>
    </xf>
    <xf numFmtId="0" fontId="3" fillId="0" borderId="0" xfId="10" applyFill="1" applyAlignment="1">
      <alignment horizontal="left"/>
    </xf>
    <xf numFmtId="49" fontId="8" fillId="0" borderId="0" xfId="10" applyNumberFormat="1" applyFont="1" applyFill="1" applyAlignment="1">
      <alignment horizontal="left"/>
    </xf>
    <xf numFmtId="0" fontId="7" fillId="0" borderId="0" xfId="0" applyFont="1" applyFill="1" applyBorder="1"/>
    <xf numFmtId="0" fontId="19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 wrapText="1"/>
    </xf>
    <xf numFmtId="0" fontId="4" fillId="0" borderId="22" xfId="7" applyFont="1" applyFill="1" applyBorder="1" applyAlignment="1">
      <alignment horizontal="center"/>
    </xf>
    <xf numFmtId="0" fontId="4" fillId="10" borderId="22" xfId="7" applyFont="1" applyFill="1" applyBorder="1" applyAlignment="1">
      <alignment horizontal="center" wrapText="1"/>
    </xf>
    <xf numFmtId="38" fontId="4" fillId="10" borderId="22" xfId="7" applyNumberFormat="1" applyFont="1" applyFill="1" applyBorder="1" applyAlignment="1">
      <alignment horizontal="center" wrapText="1"/>
    </xf>
    <xf numFmtId="38" fontId="4" fillId="8" borderId="22" xfId="7" applyNumberFormat="1" applyFont="1" applyFill="1" applyBorder="1" applyAlignment="1">
      <alignment horizontal="center" wrapText="1"/>
    </xf>
    <xf numFmtId="10" fontId="7" fillId="0" borderId="22" xfId="0" applyNumberFormat="1" applyFont="1" applyFill="1" applyBorder="1" applyAlignment="1">
      <alignment horizontal="center" wrapText="1"/>
    </xf>
    <xf numFmtId="3" fontId="7" fillId="0" borderId="23" xfId="0" applyNumberFormat="1" applyFont="1" applyFill="1" applyBorder="1" applyAlignment="1">
      <alignment horizontal="center" wrapText="1"/>
    </xf>
    <xf numFmtId="0" fontId="4" fillId="0" borderId="25" xfId="7" applyFont="1" applyFill="1" applyBorder="1" applyAlignment="1">
      <alignment horizontal="center"/>
    </xf>
    <xf numFmtId="38" fontId="4" fillId="10" borderId="0" xfId="7" applyNumberFormat="1" applyFont="1" applyFill="1" applyBorder="1" applyAlignment="1">
      <alignment horizontal="center" wrapText="1"/>
    </xf>
    <xf numFmtId="38" fontId="4" fillId="10" borderId="25" xfId="7" applyNumberFormat="1" applyFont="1" applyFill="1" applyBorder="1" applyAlignment="1">
      <alignment horizontal="center" wrapText="1"/>
    </xf>
    <xf numFmtId="38" fontId="4" fillId="8" borderId="25" xfId="7" applyNumberFormat="1" applyFont="1" applyFill="1" applyBorder="1" applyAlignment="1">
      <alignment horizontal="center" wrapText="1"/>
    </xf>
    <xf numFmtId="38" fontId="4" fillId="0" borderId="25" xfId="7" applyNumberFormat="1" applyFont="1" applyFill="1" applyBorder="1" applyAlignment="1">
      <alignment horizontal="center" wrapText="1"/>
    </xf>
    <xf numFmtId="3" fontId="7" fillId="0" borderId="26" xfId="0" applyNumberFormat="1" applyFont="1" applyFill="1" applyBorder="1" applyAlignment="1">
      <alignment horizontal="center" wrapText="1"/>
    </xf>
    <xf numFmtId="0" fontId="6" fillId="0" borderId="22" xfId="7" applyFont="1" applyFill="1" applyBorder="1" applyAlignment="1">
      <alignment horizontal="center" wrapText="1"/>
    </xf>
    <xf numFmtId="3" fontId="0" fillId="10" borderId="23" xfId="0" applyNumberFormat="1" applyFill="1" applyBorder="1"/>
    <xf numFmtId="38" fontId="6" fillId="10" borderId="22" xfId="7" applyNumberFormat="1" applyFont="1" applyFill="1" applyBorder="1" applyAlignment="1">
      <alignment horizontal="right" wrapText="1"/>
    </xf>
    <xf numFmtId="38" fontId="6" fillId="8" borderId="22" xfId="7" applyNumberFormat="1" applyFont="1" applyFill="1" applyBorder="1" applyAlignment="1">
      <alignment horizontal="right" wrapText="1"/>
    </xf>
    <xf numFmtId="38" fontId="6" fillId="0" borderId="22" xfId="7" applyNumberFormat="1" applyFont="1" applyFill="1" applyBorder="1" applyAlignment="1">
      <alignment horizontal="right" wrapText="1"/>
    </xf>
    <xf numFmtId="10" fontId="0" fillId="0" borderId="23" xfId="0" applyNumberFormat="1" applyFill="1" applyBorder="1" applyAlignment="1">
      <alignment horizontal="right"/>
    </xf>
    <xf numFmtId="168" fontId="6" fillId="0" borderId="22" xfId="1" applyNumberFormat="1" applyFont="1" applyFill="1" applyBorder="1" applyAlignment="1">
      <alignment horizontal="right" wrapText="1"/>
    </xf>
    <xf numFmtId="3" fontId="0" fillId="0" borderId="23" xfId="0" applyNumberFormat="1" applyFill="1" applyBorder="1"/>
    <xf numFmtId="168" fontId="0" fillId="0" borderId="19" xfId="0" applyNumberFormat="1" applyFill="1" applyBorder="1"/>
    <xf numFmtId="9" fontId="7" fillId="0" borderId="0" xfId="9" applyFont="1" applyFill="1"/>
    <xf numFmtId="167" fontId="3" fillId="0" borderId="0" xfId="9" applyNumberFormat="1" applyFill="1"/>
    <xf numFmtId="167" fontId="3" fillId="0" borderId="0" xfId="10" applyNumberFormat="1" applyFill="1"/>
    <xf numFmtId="38" fontId="0" fillId="0" borderId="0" xfId="0" applyNumberFormat="1" applyBorder="1"/>
    <xf numFmtId="0" fontId="22" fillId="0" borderId="10" xfId="13" applyFont="1" applyFill="1" applyBorder="1" applyAlignment="1">
      <alignment horizontal="center"/>
    </xf>
    <xf numFmtId="0" fontId="22" fillId="0" borderId="23" xfId="13" applyFont="1" applyFill="1" applyBorder="1" applyAlignment="1">
      <alignment horizontal="center"/>
    </xf>
    <xf numFmtId="0" fontId="24" fillId="0" borderId="11" xfId="14" applyFont="1" applyFill="1" applyBorder="1" applyAlignment="1">
      <alignment wrapText="1"/>
    </xf>
    <xf numFmtId="0" fontId="22" fillId="0" borderId="11" xfId="14" applyFont="1" applyFill="1" applyBorder="1" applyAlignment="1">
      <alignment wrapText="1"/>
    </xf>
    <xf numFmtId="0" fontId="22" fillId="0" borderId="29" xfId="14" applyFont="1" applyFill="1" applyBorder="1" applyAlignment="1">
      <alignment wrapText="1"/>
    </xf>
    <xf numFmtId="38" fontId="0" fillId="0" borderId="4" xfId="0" applyNumberFormat="1" applyFill="1" applyBorder="1"/>
    <xf numFmtId="167" fontId="0" fillId="0" borderId="0" xfId="9" applyNumberFormat="1" applyFont="1"/>
    <xf numFmtId="0" fontId="26" fillId="0" borderId="0" xfId="18" applyFont="1" applyAlignment="1">
      <alignment horizontal="left"/>
    </xf>
    <xf numFmtId="0" fontId="26" fillId="0" borderId="0" xfId="18" applyFont="1" applyFill="1" applyAlignment="1">
      <alignment horizontal="left"/>
    </xf>
    <xf numFmtId="0" fontId="25" fillId="0" borderId="0" xfId="18" applyAlignment="1">
      <alignment horizontal="centerContinuous"/>
    </xf>
    <xf numFmtId="0" fontId="25" fillId="0" borderId="0" xfId="18"/>
    <xf numFmtId="0" fontId="25" fillId="5" borderId="23" xfId="18" applyFill="1" applyBorder="1"/>
    <xf numFmtId="0" fontId="27" fillId="0" borderId="30" xfId="18" applyFont="1" applyFill="1" applyBorder="1" applyAlignment="1">
      <alignment horizontal="center"/>
    </xf>
    <xf numFmtId="0" fontId="25" fillId="0" borderId="30" xfId="18" applyBorder="1"/>
    <xf numFmtId="0" fontId="27" fillId="0" borderId="30" xfId="18" applyFont="1" applyBorder="1" applyAlignment="1">
      <alignment horizontal="center"/>
    </xf>
    <xf numFmtId="0" fontId="7" fillId="0" borderId="31" xfId="18" applyNumberFormat="1" applyFont="1" applyBorder="1" applyAlignment="1" applyProtection="1">
      <alignment horizontal="left"/>
      <protection locked="0"/>
    </xf>
    <xf numFmtId="3" fontId="7" fillId="10" borderId="31" xfId="18" quotePrefix="1" applyNumberFormat="1" applyFont="1" applyFill="1" applyBorder="1" applyAlignment="1" applyProtection="1">
      <alignment horizontal="center" vertical="center" wrapText="1"/>
      <protection locked="0"/>
    </xf>
    <xf numFmtId="3" fontId="7" fillId="11" borderId="31" xfId="18" quotePrefix="1" applyNumberFormat="1" applyFont="1" applyFill="1" applyBorder="1" applyAlignment="1" applyProtection="1">
      <alignment horizontal="center" vertical="center" wrapText="1"/>
      <protection locked="0"/>
    </xf>
    <xf numFmtId="3" fontId="7" fillId="0" borderId="31" xfId="18" applyNumberFormat="1" applyFont="1" applyFill="1" applyBorder="1" applyAlignment="1" applyProtection="1">
      <alignment horizontal="center" vertical="center" wrapText="1"/>
      <protection locked="0"/>
    </xf>
    <xf numFmtId="3" fontId="7" fillId="11" borderId="31" xfId="18" applyNumberFormat="1" applyFont="1" applyFill="1" applyBorder="1" applyAlignment="1" applyProtection="1">
      <alignment horizontal="center" vertical="center" wrapText="1"/>
      <protection locked="0"/>
    </xf>
    <xf numFmtId="0" fontId="7" fillId="0" borderId="31" xfId="18" applyFont="1" applyBorder="1" applyAlignment="1" applyProtection="1">
      <alignment horizontal="center" vertical="center" wrapText="1"/>
      <protection locked="0"/>
    </xf>
    <xf numFmtId="0" fontId="7" fillId="10" borderId="31" xfId="18" applyFont="1" applyFill="1" applyBorder="1" applyAlignment="1" applyProtection="1">
      <alignment horizontal="center" vertical="center" wrapText="1"/>
      <protection locked="0"/>
    </xf>
    <xf numFmtId="0" fontId="7" fillId="11" borderId="31" xfId="18" applyFont="1" applyFill="1" applyBorder="1" applyAlignment="1" applyProtection="1">
      <alignment horizontal="center" vertical="center" wrapText="1"/>
      <protection locked="0"/>
    </xf>
    <xf numFmtId="3" fontId="7" fillId="0" borderId="32" xfId="18" applyNumberFormat="1" applyFont="1" applyBorder="1" applyAlignment="1" applyProtection="1">
      <alignment horizontal="center" vertical="center" wrapText="1"/>
      <protection locked="0"/>
    </xf>
    <xf numFmtId="0" fontId="3" fillId="0" borderId="0" xfId="18" applyFont="1" applyAlignment="1" applyProtection="1">
      <alignment horizontal="right"/>
      <protection locked="0"/>
    </xf>
    <xf numFmtId="0" fontId="6" fillId="0" borderId="23" xfId="19" applyFont="1" applyFill="1" applyBorder="1" applyAlignment="1">
      <alignment wrapText="1"/>
    </xf>
    <xf numFmtId="3" fontId="3" fillId="10" borderId="33" xfId="18" quotePrefix="1" applyNumberFormat="1" applyFont="1" applyFill="1" applyBorder="1" applyProtection="1">
      <protection locked="0"/>
    </xf>
    <xf numFmtId="3" fontId="3" fillId="11" borderId="33" xfId="18" quotePrefix="1" applyNumberFormat="1" applyFont="1" applyFill="1" applyBorder="1" applyProtection="1">
      <protection locked="0"/>
    </xf>
    <xf numFmtId="3" fontId="3" fillId="0" borderId="33" xfId="18" quotePrefix="1" applyNumberFormat="1" applyFont="1" applyFill="1" applyBorder="1" applyProtection="1">
      <protection locked="0"/>
    </xf>
    <xf numFmtId="3" fontId="3" fillId="0" borderId="34" xfId="18" applyNumberFormat="1" applyFont="1" applyFill="1" applyBorder="1" applyProtection="1">
      <protection locked="0"/>
    </xf>
    <xf numFmtId="167" fontId="3" fillId="0" borderId="35" xfId="20" applyNumberFormat="1" applyFont="1" applyBorder="1" applyProtection="1">
      <protection locked="0"/>
    </xf>
    <xf numFmtId="1" fontId="3" fillId="10" borderId="29" xfId="18" applyNumberFormat="1" applyFont="1" applyFill="1" applyBorder="1" applyProtection="1">
      <protection locked="0"/>
    </xf>
    <xf numFmtId="1" fontId="3" fillId="11" borderId="29" xfId="18" applyNumberFormat="1" applyFont="1" applyFill="1" applyBorder="1" applyProtection="1">
      <protection locked="0"/>
    </xf>
    <xf numFmtId="3" fontId="3" fillId="10" borderId="29" xfId="18" applyNumberFormat="1" applyFont="1" applyFill="1" applyBorder="1" applyProtection="1">
      <protection locked="0"/>
    </xf>
    <xf numFmtId="167" fontId="3" fillId="0" borderId="23" xfId="20" applyNumberFormat="1" applyFont="1" applyBorder="1" applyProtection="1">
      <protection locked="0"/>
    </xf>
    <xf numFmtId="0" fontId="3" fillId="0" borderId="0" xfId="18" applyFont="1" applyProtection="1">
      <protection locked="0"/>
    </xf>
    <xf numFmtId="0" fontId="3" fillId="0" borderId="36" xfId="18" quotePrefix="1" applyNumberFormat="1" applyFont="1" applyBorder="1" applyProtection="1">
      <protection locked="0"/>
    </xf>
    <xf numFmtId="3" fontId="3" fillId="0" borderId="28" xfId="18" quotePrefix="1" applyNumberFormat="1" applyFont="1" applyFill="1" applyBorder="1" applyProtection="1">
      <protection locked="0"/>
    </xf>
    <xf numFmtId="3" fontId="3" fillId="11" borderId="28" xfId="18" quotePrefix="1" applyNumberFormat="1" applyFont="1" applyFill="1" applyBorder="1" applyProtection="1">
      <protection locked="0"/>
    </xf>
    <xf numFmtId="3" fontId="3" fillId="0" borderId="23" xfId="18" applyNumberFormat="1" applyFont="1" applyFill="1" applyBorder="1" applyProtection="1">
      <protection locked="0"/>
    </xf>
    <xf numFmtId="1" fontId="3" fillId="10" borderId="23" xfId="18" applyNumberFormat="1" applyFont="1" applyFill="1" applyBorder="1" applyProtection="1">
      <protection locked="0"/>
    </xf>
    <xf numFmtId="168" fontId="3" fillId="11" borderId="23" xfId="21" applyNumberFormat="1" applyFont="1" applyFill="1" applyBorder="1" applyProtection="1">
      <protection locked="0"/>
    </xf>
    <xf numFmtId="3" fontId="3" fillId="10" borderId="23" xfId="18" applyNumberFormat="1" applyFont="1" applyFill="1" applyBorder="1" applyProtection="1">
      <protection locked="0"/>
    </xf>
    <xf numFmtId="0" fontId="3" fillId="0" borderId="36" xfId="18" quotePrefix="1" applyNumberFormat="1" applyFont="1" applyBorder="1" applyAlignment="1" applyProtection="1">
      <alignment horizontal="left"/>
      <protection locked="0"/>
    </xf>
    <xf numFmtId="0" fontId="7" fillId="0" borderId="37" xfId="18" applyNumberFormat="1" applyFont="1" applyBorder="1" applyProtection="1">
      <protection locked="0"/>
    </xf>
    <xf numFmtId="3" fontId="7" fillId="10" borderId="23" xfId="18" quotePrefix="1" applyNumberFormat="1" applyFont="1" applyFill="1" applyBorder="1" applyProtection="1">
      <protection locked="0"/>
    </xf>
    <xf numFmtId="3" fontId="7" fillId="11" borderId="23" xfId="18" quotePrefix="1" applyNumberFormat="1" applyFont="1" applyFill="1" applyBorder="1" applyProtection="1">
      <protection locked="0"/>
    </xf>
    <xf numFmtId="3" fontId="7" fillId="0" borderId="23" xfId="18" quotePrefix="1" applyNumberFormat="1" applyFont="1" applyFill="1" applyBorder="1" applyProtection="1">
      <protection locked="0"/>
    </xf>
    <xf numFmtId="3" fontId="7" fillId="0" borderId="23" xfId="18" applyNumberFormat="1" applyFont="1" applyFill="1" applyBorder="1" applyProtection="1">
      <protection locked="0"/>
    </xf>
    <xf numFmtId="167" fontId="7" fillId="0" borderId="23" xfId="20" quotePrefix="1" applyNumberFormat="1" applyFont="1" applyBorder="1" applyProtection="1">
      <protection locked="0"/>
    </xf>
    <xf numFmtId="1" fontId="7" fillId="10" borderId="23" xfId="18" applyNumberFormat="1" applyFont="1" applyFill="1" applyBorder="1" applyProtection="1">
      <protection locked="0"/>
    </xf>
    <xf numFmtId="168" fontId="7" fillId="11" borderId="23" xfId="21" applyNumberFormat="1" applyFont="1" applyFill="1" applyBorder="1" applyProtection="1">
      <protection locked="0"/>
    </xf>
    <xf numFmtId="3" fontId="7" fillId="10" borderId="23" xfId="18" applyNumberFormat="1" applyFont="1" applyFill="1" applyBorder="1" applyProtection="1">
      <protection locked="0"/>
    </xf>
    <xf numFmtId="0" fontId="3" fillId="0" borderId="36" xfId="18" applyNumberFormat="1" applyFont="1" applyBorder="1" applyAlignment="1" applyProtection="1">
      <alignment horizontal="left" indent="2"/>
      <protection locked="0"/>
    </xf>
    <xf numFmtId="0" fontId="3" fillId="0" borderId="38" xfId="18" quotePrefix="1" applyNumberFormat="1" applyFont="1" applyBorder="1" applyProtection="1">
      <protection locked="0"/>
    </xf>
    <xf numFmtId="167" fontId="3" fillId="0" borderId="30" xfId="20" applyNumberFormat="1" applyFont="1" applyBorder="1" applyProtection="1">
      <protection locked="0"/>
    </xf>
    <xf numFmtId="1" fontId="3" fillId="11" borderId="23" xfId="18" applyNumberFormat="1" applyFont="1" applyFill="1" applyBorder="1" applyProtection="1">
      <protection locked="0"/>
    </xf>
    <xf numFmtId="0" fontId="7" fillId="0" borderId="39" xfId="18" applyNumberFormat="1" applyFont="1" applyBorder="1" applyProtection="1">
      <protection locked="0"/>
    </xf>
    <xf numFmtId="3" fontId="7" fillId="10" borderId="40" xfId="18" applyNumberFormat="1" applyFont="1" applyFill="1" applyBorder="1" applyProtection="1">
      <protection locked="0"/>
    </xf>
    <xf numFmtId="3" fontId="7" fillId="11" borderId="40" xfId="18" applyNumberFormat="1" applyFont="1" applyFill="1" applyBorder="1" applyProtection="1">
      <protection locked="0"/>
    </xf>
    <xf numFmtId="3" fontId="7" fillId="0" borderId="40" xfId="18" applyNumberFormat="1" applyFont="1" applyFill="1" applyBorder="1" applyProtection="1">
      <protection locked="0"/>
    </xf>
    <xf numFmtId="167" fontId="7" fillId="0" borderId="41" xfId="20" applyNumberFormat="1" applyFont="1" applyBorder="1" applyProtection="1">
      <protection locked="0"/>
    </xf>
    <xf numFmtId="0" fontId="7" fillId="0" borderId="0" xfId="18" applyFont="1" applyProtection="1">
      <protection locked="0"/>
    </xf>
    <xf numFmtId="0" fontId="7" fillId="0" borderId="0" xfId="18" applyNumberFormat="1" applyFont="1" applyBorder="1" applyProtection="1">
      <protection locked="0"/>
    </xf>
    <xf numFmtId="3" fontId="3" fillId="0" borderId="0" xfId="18" applyNumberFormat="1" applyFont="1" applyBorder="1" applyProtection="1">
      <protection locked="0"/>
    </xf>
    <xf numFmtId="3" fontId="3" fillId="0" borderId="0" xfId="18" applyNumberFormat="1" applyFont="1" applyFill="1" applyBorder="1" applyProtection="1">
      <protection locked="0"/>
    </xf>
    <xf numFmtId="0" fontId="3" fillId="0" borderId="0" xfId="18" applyFont="1" applyFill="1" applyProtection="1">
      <protection locked="0"/>
    </xf>
    <xf numFmtId="167" fontId="3" fillId="0" borderId="0" xfId="20" applyNumberFormat="1" applyFont="1" applyProtection="1">
      <protection locked="0"/>
    </xf>
    <xf numFmtId="0" fontId="7" fillId="0" borderId="31" xfId="18" applyNumberFormat="1" applyFont="1" applyBorder="1" applyProtection="1">
      <protection locked="0"/>
    </xf>
    <xf numFmtId="3" fontId="3" fillId="0" borderId="42" xfId="18" quotePrefix="1" applyNumberFormat="1" applyFont="1" applyBorder="1" applyProtection="1">
      <protection locked="0"/>
    </xf>
    <xf numFmtId="3" fontId="3" fillId="0" borderId="42" xfId="18" quotePrefix="1" applyNumberFormat="1" applyFont="1" applyFill="1" applyBorder="1" applyProtection="1">
      <protection locked="0"/>
    </xf>
    <xf numFmtId="3" fontId="3" fillId="0" borderId="0" xfId="18" quotePrefix="1" applyNumberFormat="1" applyFont="1" applyFill="1" applyBorder="1" applyProtection="1">
      <protection locked="0"/>
    </xf>
    <xf numFmtId="0" fontId="3" fillId="0" borderId="0" xfId="18" applyFont="1" applyFill="1" applyBorder="1" applyProtection="1">
      <protection locked="0"/>
    </xf>
    <xf numFmtId="0" fontId="3" fillId="0" borderId="0" xfId="18" applyFont="1" applyBorder="1" applyProtection="1">
      <protection locked="0"/>
    </xf>
    <xf numFmtId="0" fontId="3" fillId="0" borderId="33" xfId="18" quotePrefix="1" applyNumberFormat="1" applyFont="1" applyBorder="1" applyProtection="1">
      <protection locked="0"/>
    </xf>
    <xf numFmtId="3" fontId="3" fillId="0" borderId="35" xfId="18" quotePrefix="1" applyNumberFormat="1" applyFont="1" applyFill="1" applyBorder="1" applyProtection="1">
      <protection locked="0"/>
    </xf>
    <xf numFmtId="3" fontId="3" fillId="11" borderId="35" xfId="18" quotePrefix="1" applyNumberFormat="1" applyFont="1" applyFill="1" applyBorder="1" applyProtection="1">
      <protection locked="0"/>
    </xf>
    <xf numFmtId="3" fontId="3" fillId="0" borderId="35" xfId="18" applyNumberFormat="1" applyFont="1" applyFill="1" applyBorder="1" applyProtection="1">
      <protection locked="0"/>
    </xf>
    <xf numFmtId="167" fontId="3" fillId="0" borderId="10" xfId="20" applyNumberFormat="1" applyFont="1" applyBorder="1" applyProtection="1">
      <protection locked="0"/>
    </xf>
    <xf numFmtId="3" fontId="7" fillId="12" borderId="40" xfId="18" applyNumberFormat="1" applyFont="1" applyFill="1" applyBorder="1" applyProtection="1">
      <protection locked="0"/>
    </xf>
    <xf numFmtId="0" fontId="7" fillId="0" borderId="43" xfId="18" applyNumberFormat="1" applyFont="1" applyBorder="1" applyProtection="1">
      <protection locked="0"/>
    </xf>
    <xf numFmtId="3" fontId="7" fillId="10" borderId="43" xfId="18" applyNumberFormat="1" applyFont="1" applyFill="1" applyBorder="1" applyProtection="1">
      <protection locked="0"/>
    </xf>
    <xf numFmtId="3" fontId="7" fillId="11" borderId="43" xfId="18" applyNumberFormat="1" applyFont="1" applyFill="1" applyBorder="1" applyProtection="1">
      <protection locked="0"/>
    </xf>
    <xf numFmtId="3" fontId="7" fillId="0" borderId="43" xfId="18" applyNumberFormat="1" applyFont="1" applyFill="1" applyBorder="1" applyProtection="1">
      <protection locked="0"/>
    </xf>
    <xf numFmtId="167" fontId="7" fillId="0" borderId="43" xfId="20" applyNumberFormat="1" applyFont="1" applyBorder="1" applyProtection="1">
      <protection locked="0"/>
    </xf>
    <xf numFmtId="0" fontId="7" fillId="0" borderId="44" xfId="18" applyFont="1" applyBorder="1"/>
    <xf numFmtId="0" fontId="25" fillId="0" borderId="45" xfId="18" applyBorder="1"/>
    <xf numFmtId="0" fontId="25" fillId="0" borderId="46" xfId="18" applyBorder="1"/>
    <xf numFmtId="0" fontId="25" fillId="0" borderId="47" xfId="18" applyFill="1" applyBorder="1"/>
    <xf numFmtId="0" fontId="25" fillId="0" borderId="47" xfId="18" applyBorder="1"/>
    <xf numFmtId="1" fontId="3" fillId="0" borderId="29" xfId="18" applyNumberFormat="1" applyFont="1" applyBorder="1" applyProtection="1">
      <protection locked="0"/>
    </xf>
    <xf numFmtId="1" fontId="3" fillId="0" borderId="0" xfId="18" applyNumberFormat="1" applyFont="1" applyBorder="1" applyProtection="1">
      <protection locked="0"/>
    </xf>
    <xf numFmtId="0" fontId="25" fillId="0" borderId="0" xfId="18" applyFill="1"/>
    <xf numFmtId="3" fontId="25" fillId="0" borderId="0" xfId="18" applyNumberFormat="1"/>
    <xf numFmtId="0" fontId="7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68" fontId="3" fillId="0" borderId="0" xfId="1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3" fillId="0" borderId="0" xfId="0" applyNumberFormat="1" applyFont="1" applyAlignment="1">
      <alignment horizontal="left"/>
    </xf>
    <xf numFmtId="38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7" fontId="0" fillId="0" borderId="0" xfId="9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0" fontId="0" fillId="0" borderId="0" xfId="0" applyNumberFormat="1" applyFill="1" applyBorder="1"/>
    <xf numFmtId="3" fontId="3" fillId="6" borderId="19" xfId="1" applyNumberFormat="1" applyFont="1" applyFill="1" applyBorder="1"/>
    <xf numFmtId="168" fontId="0" fillId="9" borderId="0" xfId="1" applyNumberFormat="1" applyFont="1" applyFill="1"/>
    <xf numFmtId="167" fontId="8" fillId="0" borderId="0" xfId="9" applyNumberFormat="1" applyFont="1" applyFill="1" applyBorder="1" applyAlignment="1">
      <alignment horizontal="center"/>
    </xf>
    <xf numFmtId="10" fontId="3" fillId="0" borderId="23" xfId="10" applyNumberFormat="1" applyFill="1" applyBorder="1" applyAlignment="1">
      <alignment horizontal="right"/>
    </xf>
    <xf numFmtId="0" fontId="7" fillId="12" borderId="19" xfId="0" applyFont="1" applyFill="1" applyBorder="1" applyAlignment="1">
      <alignment horizontal="center" wrapText="1"/>
    </xf>
    <xf numFmtId="0" fontId="0" fillId="12" borderId="0" xfId="0" applyFill="1"/>
    <xf numFmtId="168" fontId="3" fillId="13" borderId="19" xfId="1" applyNumberFormat="1" applyFont="1" applyFill="1" applyBorder="1"/>
    <xf numFmtId="168" fontId="3" fillId="12" borderId="19" xfId="1" applyNumberFormat="1" applyFont="1" applyFill="1" applyBorder="1"/>
    <xf numFmtId="0" fontId="21" fillId="0" borderId="0" xfId="22" applyFont="1"/>
    <xf numFmtId="167" fontId="21" fillId="0" borderId="0" xfId="22" applyNumberFormat="1" applyFont="1"/>
    <xf numFmtId="0" fontId="20" fillId="0" borderId="23" xfId="22" applyFont="1" applyBorder="1" applyAlignment="1">
      <alignment wrapText="1"/>
    </xf>
    <xf numFmtId="167" fontId="20" fillId="0" borderId="27" xfId="22" applyNumberFormat="1" applyFont="1" applyBorder="1" applyAlignment="1">
      <alignment horizontal="center" vertical="center" wrapText="1"/>
    </xf>
    <xf numFmtId="0" fontId="21" fillId="0" borderId="0" xfId="22" applyFont="1" applyAlignment="1">
      <alignment wrapText="1"/>
    </xf>
    <xf numFmtId="0" fontId="21" fillId="0" borderId="11" xfId="22" applyFont="1" applyBorder="1"/>
    <xf numFmtId="0" fontId="21" fillId="0" borderId="10" xfId="22" applyFont="1" applyBorder="1"/>
    <xf numFmtId="171" fontId="21" fillId="0" borderId="10" xfId="22" applyNumberFormat="1" applyFont="1" applyBorder="1"/>
    <xf numFmtId="171" fontId="21" fillId="0" borderId="11" xfId="24" applyNumberFormat="1" applyFont="1" applyBorder="1"/>
    <xf numFmtId="171" fontId="21" fillId="0" borderId="11" xfId="22" applyNumberFormat="1" applyFont="1" applyBorder="1"/>
    <xf numFmtId="0" fontId="20" fillId="0" borderId="11" xfId="22" applyFont="1" applyBorder="1"/>
    <xf numFmtId="171" fontId="20" fillId="0" borderId="11" xfId="24" applyNumberFormat="1" applyFont="1" applyBorder="1"/>
    <xf numFmtId="171" fontId="20" fillId="0" borderId="11" xfId="22" applyNumberFormat="1" applyFont="1" applyBorder="1"/>
    <xf numFmtId="171" fontId="20" fillId="0" borderId="29" xfId="24" applyNumberFormat="1" applyFont="1" applyBorder="1"/>
    <xf numFmtId="0" fontId="20" fillId="0" borderId="29" xfId="22" applyFont="1" applyBorder="1"/>
    <xf numFmtId="167" fontId="20" fillId="0" borderId="29" xfId="22" applyNumberFormat="1" applyFont="1" applyBorder="1"/>
    <xf numFmtId="3" fontId="21" fillId="0" borderId="0" xfId="22" applyNumberFormat="1" applyFont="1"/>
    <xf numFmtId="3" fontId="20" fillId="0" borderId="23" xfId="22" applyNumberFormat="1" applyFont="1" applyBorder="1" applyAlignment="1">
      <alignment horizontal="center" vertical="center" wrapText="1"/>
    </xf>
    <xf numFmtId="167" fontId="20" fillId="0" borderId="23" xfId="22" applyNumberFormat="1" applyFont="1" applyBorder="1" applyAlignment="1">
      <alignment horizontal="center" vertical="center" wrapText="1"/>
    </xf>
    <xf numFmtId="4" fontId="20" fillId="0" borderId="23" xfId="22" applyNumberFormat="1" applyFont="1" applyBorder="1" applyAlignment="1">
      <alignment horizontal="center" vertical="center" wrapText="1"/>
    </xf>
    <xf numFmtId="167" fontId="20" fillId="0" borderId="24" xfId="22" applyNumberFormat="1" applyFont="1" applyBorder="1" applyAlignment="1">
      <alignment horizontal="center" vertical="center" wrapText="1"/>
    </xf>
    <xf numFmtId="3" fontId="21" fillId="0" borderId="11" xfId="22" applyNumberFormat="1" applyFont="1" applyBorder="1"/>
    <xf numFmtId="167" fontId="21" fillId="0" borderId="11" xfId="22" applyNumberFormat="1" applyFont="1" applyBorder="1"/>
    <xf numFmtId="171" fontId="21" fillId="0" borderId="17" xfId="24" applyNumberFormat="1" applyFont="1" applyBorder="1"/>
    <xf numFmtId="3" fontId="20" fillId="0" borderId="11" xfId="22" applyNumberFormat="1" applyFont="1" applyBorder="1"/>
    <xf numFmtId="167" fontId="20" fillId="0" borderId="11" xfId="22" applyNumberFormat="1" applyFont="1" applyBorder="1"/>
    <xf numFmtId="171" fontId="20" fillId="0" borderId="17" xfId="24" applyNumberFormat="1" applyFont="1" applyBorder="1"/>
    <xf numFmtId="3" fontId="20" fillId="0" borderId="29" xfId="22" applyNumberFormat="1" applyFont="1" applyBorder="1"/>
    <xf numFmtId="171" fontId="20" fillId="0" borderId="48" xfId="24" applyNumberFormat="1" applyFont="1" applyBorder="1"/>
    <xf numFmtId="0" fontId="20" fillId="0" borderId="13" xfId="22" applyFont="1" applyBorder="1"/>
    <xf numFmtId="3" fontId="20" fillId="0" borderId="26" xfId="22" applyNumberFormat="1" applyFont="1" applyBorder="1"/>
    <xf numFmtId="167" fontId="20" fillId="0" borderId="26" xfId="22" applyNumberFormat="1" applyFont="1" applyBorder="1"/>
    <xf numFmtId="171" fontId="20" fillId="0" borderId="23" xfId="24" applyNumberFormat="1" applyFont="1" applyBorder="1"/>
    <xf numFmtId="0" fontId="24" fillId="0" borderId="10" xfId="14" applyFont="1" applyFill="1" applyBorder="1" applyAlignment="1">
      <alignment wrapText="1"/>
    </xf>
    <xf numFmtId="0" fontId="22" fillId="0" borderId="11" xfId="17" applyFont="1" applyFill="1" applyBorder="1" applyAlignment="1">
      <alignment wrapText="1"/>
    </xf>
    <xf numFmtId="0" fontId="20" fillId="0" borderId="26" xfId="22" applyFont="1" applyBorder="1"/>
    <xf numFmtId="0" fontId="24" fillId="0" borderId="11" xfId="14" applyFont="1" applyFill="1" applyBorder="1" applyAlignment="1"/>
    <xf numFmtId="38" fontId="6" fillId="0" borderId="9" xfId="7" applyNumberFormat="1" applyFont="1" applyFill="1" applyBorder="1" applyAlignment="1">
      <alignment horizontal="right" wrapText="1"/>
    </xf>
    <xf numFmtId="168" fontId="6" fillId="0" borderId="7" xfId="5" applyNumberFormat="1" applyFont="1" applyFill="1" applyBorder="1" applyAlignment="1">
      <alignment horizontal="right" wrapText="1"/>
    </xf>
    <xf numFmtId="168" fontId="6" fillId="0" borderId="9" xfId="7" applyNumberFormat="1" applyFont="1" applyFill="1" applyBorder="1" applyAlignment="1">
      <alignment horizontal="right" wrapText="1"/>
    </xf>
    <xf numFmtId="0" fontId="28" fillId="0" borderId="0" xfId="0" applyFont="1" applyBorder="1" applyAlignment="1">
      <alignment horizontal="center"/>
    </xf>
    <xf numFmtId="0" fontId="27" fillId="0" borderId="0" xfId="18" applyFont="1" applyAlignment="1">
      <alignment horizontal="centerContinuous"/>
    </xf>
    <xf numFmtId="6" fontId="7" fillId="0" borderId="0" xfId="0" applyNumberFormat="1" applyFont="1" applyFill="1"/>
    <xf numFmtId="0" fontId="20" fillId="0" borderId="0" xfId="22" applyFont="1" applyAlignment="1">
      <alignment horizontal="right"/>
    </xf>
    <xf numFmtId="0" fontId="7" fillId="0" borderId="0" xfId="0" applyFont="1" applyAlignment="1">
      <alignment horizontal="right"/>
    </xf>
    <xf numFmtId="38" fontId="7" fillId="0" borderId="0" xfId="0" applyNumberFormat="1" applyFont="1" applyAlignment="1">
      <alignment horizontal="right"/>
    </xf>
    <xf numFmtId="10" fontId="7" fillId="0" borderId="0" xfId="10" applyNumberFormat="1" applyFont="1" applyFill="1" applyAlignment="1">
      <alignment horizontal="right"/>
    </xf>
    <xf numFmtId="0" fontId="28" fillId="0" borderId="0" xfId="0" applyFont="1" applyBorder="1" applyAlignment="1">
      <alignment horizontal="right"/>
    </xf>
    <xf numFmtId="1" fontId="7" fillId="0" borderId="0" xfId="0" applyNumberFormat="1" applyFont="1" applyFill="1" applyAlignment="1">
      <alignment horizontal="right"/>
    </xf>
    <xf numFmtId="168" fontId="0" fillId="9" borderId="23" xfId="1" applyNumberFormat="1" applyFont="1" applyFill="1" applyBorder="1"/>
    <xf numFmtId="0" fontId="4" fillId="8" borderId="22" xfId="7" applyFont="1" applyFill="1" applyBorder="1" applyAlignment="1">
      <alignment horizontal="center" wrapText="1"/>
    </xf>
    <xf numFmtId="38" fontId="4" fillId="8" borderId="0" xfId="7" applyNumberFormat="1" applyFont="1" applyFill="1" applyBorder="1" applyAlignment="1">
      <alignment horizontal="center" wrapText="1"/>
    </xf>
    <xf numFmtId="3" fontId="0" fillId="8" borderId="23" xfId="0" applyNumberFormat="1" applyFill="1" applyBorder="1"/>
    <xf numFmtId="0" fontId="21" fillId="0" borderId="0" xfId="0" applyFont="1"/>
    <xf numFmtId="0" fontId="20" fillId="0" borderId="10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167" fontId="21" fillId="0" borderId="11" xfId="9" applyNumberFormat="1" applyFont="1" applyBorder="1"/>
    <xf numFmtId="167" fontId="20" fillId="0" borderId="11" xfId="9" applyNumberFormat="1" applyFont="1" applyBorder="1"/>
    <xf numFmtId="38" fontId="6" fillId="0" borderId="22" xfId="1" applyNumberFormat="1" applyFont="1" applyFill="1" applyBorder="1" applyAlignment="1">
      <alignment horizontal="right" wrapText="1"/>
    </xf>
    <xf numFmtId="49" fontId="7" fillId="0" borderId="26" xfId="0" applyNumberFormat="1" applyFont="1" applyFill="1" applyBorder="1" applyAlignment="1">
      <alignment horizontal="center"/>
    </xf>
    <xf numFmtId="3" fontId="0" fillId="4" borderId="0" xfId="9" applyNumberFormat="1" applyFont="1" applyFill="1"/>
    <xf numFmtId="3" fontId="0" fillId="4" borderId="0" xfId="1" applyNumberFormat="1" applyFont="1" applyFill="1"/>
    <xf numFmtId="38" fontId="0" fillId="4" borderId="0" xfId="9" applyNumberFormat="1" applyFont="1" applyFill="1"/>
    <xf numFmtId="38" fontId="7" fillId="0" borderId="13" xfId="0" applyNumberFormat="1" applyFont="1" applyFill="1" applyBorder="1" applyAlignment="1">
      <alignment horizontal="center"/>
    </xf>
    <xf numFmtId="38" fontId="7" fillId="0" borderId="23" xfId="0" applyNumberFormat="1" applyFont="1" applyFill="1" applyBorder="1" applyAlignment="1">
      <alignment horizontal="center" wrapText="1"/>
    </xf>
    <xf numFmtId="38" fontId="6" fillId="0" borderId="49" xfId="5" applyNumberFormat="1" applyFont="1" applyFill="1" applyBorder="1" applyAlignment="1">
      <alignment horizontal="center"/>
    </xf>
    <xf numFmtId="0" fontId="7" fillId="9" borderId="50" xfId="0" applyFont="1" applyFill="1" applyBorder="1" applyAlignment="1">
      <alignment horizontal="center" wrapText="1"/>
    </xf>
    <xf numFmtId="168" fontId="6" fillId="0" borderId="8" xfId="1" applyNumberFormat="1" applyFont="1" applyFill="1" applyBorder="1" applyAlignment="1">
      <alignment horizontal="right" wrapText="1"/>
    </xf>
    <xf numFmtId="0" fontId="29" fillId="0" borderId="0" xfId="10" applyFont="1" applyFill="1" applyAlignment="1">
      <alignment wrapText="1"/>
    </xf>
    <xf numFmtId="0" fontId="6" fillId="0" borderId="1" xfId="7" applyFont="1" applyFill="1" applyBorder="1" applyAlignment="1"/>
    <xf numFmtId="38" fontId="3" fillId="0" borderId="0" xfId="0" applyNumberFormat="1" applyFont="1" applyFill="1"/>
    <xf numFmtId="167" fontId="24" fillId="0" borderId="51" xfId="9" applyNumberFormat="1" applyFont="1" applyFill="1" applyBorder="1" applyAlignment="1">
      <alignment horizontal="right" wrapText="1"/>
    </xf>
    <xf numFmtId="168" fontId="21" fillId="0" borderId="0" xfId="1" applyNumberFormat="1" applyFont="1"/>
    <xf numFmtId="167" fontId="24" fillId="0" borderId="11" xfId="9" applyNumberFormat="1" applyFont="1" applyFill="1" applyBorder="1" applyAlignment="1">
      <alignment horizontal="right" wrapText="1"/>
    </xf>
    <xf numFmtId="167" fontId="22" fillId="0" borderId="11" xfId="9" applyNumberFormat="1" applyFont="1" applyFill="1" applyBorder="1" applyAlignment="1">
      <alignment horizontal="right" wrapText="1"/>
    </xf>
    <xf numFmtId="168" fontId="20" fillId="0" borderId="0" xfId="1" applyNumberFormat="1" applyFont="1"/>
    <xf numFmtId="168" fontId="20" fillId="0" borderId="11" xfId="1" applyNumberFormat="1" applyFont="1" applyBorder="1"/>
    <xf numFmtId="167" fontId="22" fillId="0" borderId="52" xfId="9" applyNumberFormat="1" applyFont="1" applyFill="1" applyBorder="1" applyAlignment="1">
      <alignment horizontal="right" wrapText="1"/>
    </xf>
    <xf numFmtId="168" fontId="20" fillId="0" borderId="52" xfId="1" applyNumberFormat="1" applyFont="1" applyBorder="1"/>
    <xf numFmtId="0" fontId="23" fillId="0" borderId="50" xfId="26" applyFont="1" applyFill="1" applyBorder="1" applyAlignment="1">
      <alignment horizontal="center" wrapText="1"/>
    </xf>
    <xf numFmtId="0" fontId="22" fillId="0" borderId="50" xfId="13" applyFont="1" applyFill="1" applyBorder="1" applyAlignment="1">
      <alignment horizontal="center"/>
    </xf>
    <xf numFmtId="0" fontId="20" fillId="0" borderId="53" xfId="0" applyFont="1" applyBorder="1" applyAlignment="1">
      <alignment horizontal="center"/>
    </xf>
    <xf numFmtId="2" fontId="20" fillId="0" borderId="11" xfId="9" applyNumberFormat="1" applyFont="1" applyBorder="1"/>
    <xf numFmtId="167" fontId="28" fillId="0" borderId="0" xfId="0" applyNumberFormat="1" applyFont="1" applyFill="1"/>
    <xf numFmtId="10" fontId="0" fillId="0" borderId="0" xfId="9" applyNumberFormat="1" applyFont="1"/>
    <xf numFmtId="38" fontId="0" fillId="5" borderId="0" xfId="0" applyNumberFormat="1" applyFill="1"/>
    <xf numFmtId="38" fontId="0" fillId="0" borderId="0" xfId="9" applyNumberFormat="1" applyFont="1"/>
    <xf numFmtId="49" fontId="8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26" fillId="0" borderId="0" xfId="18" applyFont="1" applyAlignment="1">
      <alignment horizontal="left"/>
    </xf>
    <xf numFmtId="0" fontId="7" fillId="0" borderId="0" xfId="18" applyFont="1" applyFill="1" applyAlignment="1" applyProtection="1">
      <alignment horizontal="left"/>
      <protection locked="0"/>
    </xf>
    <xf numFmtId="0" fontId="7" fillId="0" borderId="16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/>
    <xf numFmtId="0" fontId="20" fillId="0" borderId="0" xfId="22" applyFont="1" applyAlignment="1">
      <alignment horizontal="center"/>
    </xf>
    <xf numFmtId="0" fontId="20" fillId="0" borderId="0" xfId="0" applyFont="1" applyBorder="1" applyAlignment="1">
      <alignment horizontal="center"/>
    </xf>
  </cellXfs>
  <cellStyles count="27">
    <cellStyle name="Comma" xfId="1" builtinId="3"/>
    <cellStyle name="Comma 2" xfId="16"/>
    <cellStyle name="Comma 3" xfId="21"/>
    <cellStyle name="Comma 4" xfId="23"/>
    <cellStyle name="Currency" xfId="2" builtinId="4"/>
    <cellStyle name="Currency 2" xfId="12"/>
    <cellStyle name="Currency 3" xfId="24"/>
    <cellStyle name="Normal" xfId="0" builtinId="0"/>
    <cellStyle name="Normal 2" xfId="10"/>
    <cellStyle name="Normal 3" xfId="11"/>
    <cellStyle name="Normal 4" xfId="18"/>
    <cellStyle name="Normal 5" xfId="22"/>
    <cellStyle name="Normal_Academic Support Per FYE" xfId="3"/>
    <cellStyle name="Normal_Denominator 2" xfId="26"/>
    <cellStyle name="Normal_FY2006 Detail" xfId="4"/>
    <cellStyle name="Normal_INSTRUCTION" xfId="5"/>
    <cellStyle name="Normal_Revenue Offset" xfId="6"/>
    <cellStyle name="Normal_Sheet1" xfId="7"/>
    <cellStyle name="Normal_Sheet1 2" xfId="13"/>
    <cellStyle name="Normal_Sheet1 3" xfId="19"/>
    <cellStyle name="Normal_Sheet2" xfId="8"/>
    <cellStyle name="Normal_Sheet2 2" xfId="17"/>
    <cellStyle name="Normal_Sheet3" xfId="14"/>
    <cellStyle name="Percent" xfId="9" builtinId="5"/>
    <cellStyle name="Percent 2" xfId="15"/>
    <cellStyle name="Percent 3" xfId="20"/>
    <cellStyle name="Percent 4" xfId="2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ents%20Of%20Color%20-%20Term3%20Rates%20-%20FY%20Januar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e\bargain\000_Allocation%20Framework\TAC\FY2017%20meetings\Analysis\Transition\FY2017%20Institutional%20Allocations%20for%20analysis%20all%20recs%20except%20student%20success_0928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nominator"/>
      <sheetName val="Numerator"/>
      <sheetName val="Rate"/>
      <sheetName val="Improvement Allocation"/>
      <sheetName val="Source"/>
    </sheetNames>
    <sheetDataSet>
      <sheetData sheetId="0">
        <row r="5">
          <cell r="I5">
            <v>2018</v>
          </cell>
        </row>
        <row r="6">
          <cell r="I6">
            <v>80</v>
          </cell>
        </row>
        <row r="7">
          <cell r="I7">
            <v>803</v>
          </cell>
        </row>
        <row r="8">
          <cell r="I8">
            <v>202</v>
          </cell>
        </row>
        <row r="9">
          <cell r="I9">
            <v>160</v>
          </cell>
        </row>
        <row r="10">
          <cell r="I10">
            <v>1342</v>
          </cell>
        </row>
        <row r="11">
          <cell r="I11">
            <v>356</v>
          </cell>
        </row>
        <row r="12">
          <cell r="I12">
            <v>142</v>
          </cell>
        </row>
        <row r="13">
          <cell r="I13">
            <v>971</v>
          </cell>
        </row>
        <row r="14">
          <cell r="I14">
            <v>502</v>
          </cell>
        </row>
        <row r="15">
          <cell r="I15">
            <v>216</v>
          </cell>
        </row>
        <row r="16">
          <cell r="I16">
            <v>1609</v>
          </cell>
        </row>
        <row r="17">
          <cell r="I17">
            <v>136</v>
          </cell>
        </row>
        <row r="18">
          <cell r="I18">
            <v>558</v>
          </cell>
        </row>
        <row r="19">
          <cell r="I19">
            <v>254</v>
          </cell>
        </row>
        <row r="20">
          <cell r="I20">
            <v>1502</v>
          </cell>
        </row>
        <row r="21">
          <cell r="I21">
            <v>1248</v>
          </cell>
        </row>
        <row r="22">
          <cell r="I22">
            <v>471</v>
          </cell>
        </row>
        <row r="23">
          <cell r="I23">
            <v>97</v>
          </cell>
        </row>
        <row r="24">
          <cell r="I24">
            <v>116</v>
          </cell>
        </row>
        <row r="25">
          <cell r="I25">
            <v>129</v>
          </cell>
        </row>
        <row r="26">
          <cell r="I26">
            <v>45</v>
          </cell>
        </row>
        <row r="27">
          <cell r="I27">
            <v>84</v>
          </cell>
        </row>
        <row r="28">
          <cell r="I28">
            <v>283</v>
          </cell>
        </row>
        <row r="29">
          <cell r="I29">
            <v>77</v>
          </cell>
        </row>
        <row r="30">
          <cell r="I30">
            <v>71</v>
          </cell>
        </row>
        <row r="31">
          <cell r="I31">
            <v>287</v>
          </cell>
        </row>
        <row r="32">
          <cell r="I32">
            <v>233</v>
          </cell>
        </row>
        <row r="33">
          <cell r="I33">
            <v>565</v>
          </cell>
        </row>
        <row r="34">
          <cell r="I34">
            <v>589</v>
          </cell>
        </row>
        <row r="35">
          <cell r="I35">
            <v>1729</v>
          </cell>
        </row>
        <row r="36">
          <cell r="I36">
            <v>335</v>
          </cell>
        </row>
        <row r="37">
          <cell r="I37">
            <v>14721</v>
          </cell>
        </row>
        <row r="38">
          <cell r="I38">
            <v>224</v>
          </cell>
        </row>
        <row r="39">
          <cell r="I39">
            <v>1307</v>
          </cell>
        </row>
        <row r="40">
          <cell r="I40">
            <v>715</v>
          </cell>
        </row>
        <row r="41">
          <cell r="I41">
            <v>236</v>
          </cell>
        </row>
        <row r="42">
          <cell r="I42">
            <v>763</v>
          </cell>
        </row>
        <row r="43">
          <cell r="I43">
            <v>117</v>
          </cell>
        </row>
        <row r="44">
          <cell r="I44">
            <v>331</v>
          </cell>
        </row>
        <row r="45">
          <cell r="I45">
            <v>3693</v>
          </cell>
        </row>
        <row r="46">
          <cell r="I46">
            <v>18414</v>
          </cell>
        </row>
      </sheetData>
      <sheetData sheetId="1" refreshError="1"/>
      <sheetData sheetId="2">
        <row r="5">
          <cell r="G5">
            <v>2016</v>
          </cell>
          <cell r="H5">
            <v>2017</v>
          </cell>
          <cell r="I5">
            <v>2018</v>
          </cell>
        </row>
        <row r="6">
          <cell r="G6">
            <v>0.58974358974358998</v>
          </cell>
          <cell r="H6">
            <v>0.56000000000000005</v>
          </cell>
          <cell r="I6">
            <v>0.625</v>
          </cell>
        </row>
        <row r="7">
          <cell r="G7">
            <v>0.57634730538922196</v>
          </cell>
          <cell r="H7">
            <v>0.60650887573964496</v>
          </cell>
          <cell r="I7">
            <v>0.65753424657534199</v>
          </cell>
        </row>
        <row r="8">
          <cell r="G8">
            <v>0.54807692307692302</v>
          </cell>
          <cell r="H8">
            <v>0.60360360360360399</v>
          </cell>
          <cell r="I8">
            <v>0.61386138613861396</v>
          </cell>
        </row>
        <row r="9">
          <cell r="G9">
            <v>0.57055214723926395</v>
          </cell>
          <cell r="H9">
            <v>0.62091503267973902</v>
          </cell>
          <cell r="I9">
            <v>0.625</v>
          </cell>
        </row>
        <row r="10">
          <cell r="G10">
            <v>0.62</v>
          </cell>
          <cell r="H10">
            <v>0.60497667185070003</v>
          </cell>
          <cell r="I10">
            <v>0.59836065573770503</v>
          </cell>
        </row>
        <row r="11">
          <cell r="G11">
            <v>0.66885245901639301</v>
          </cell>
          <cell r="H11">
            <v>0.67353951890034403</v>
          </cell>
          <cell r="I11">
            <v>0.66292134831460703</v>
          </cell>
        </row>
        <row r="12">
          <cell r="G12">
            <v>0.48901098901098899</v>
          </cell>
          <cell r="H12">
            <v>0.60355029585798803</v>
          </cell>
          <cell r="I12">
            <v>0.57746478873239404</v>
          </cell>
        </row>
        <row r="13">
          <cell r="G13">
            <v>0.60915157292659705</v>
          </cell>
          <cell r="H13">
            <v>0.61061946902654896</v>
          </cell>
          <cell r="I13">
            <v>0.58702368692069995</v>
          </cell>
        </row>
        <row r="14">
          <cell r="G14">
            <v>0.56891495601173003</v>
          </cell>
          <cell r="H14">
            <v>0.610510046367852</v>
          </cell>
          <cell r="I14">
            <v>0.62549800796812705</v>
          </cell>
        </row>
        <row r="15">
          <cell r="G15">
            <v>0.58415841584158401</v>
          </cell>
          <cell r="H15">
            <v>0.57894736842105299</v>
          </cell>
          <cell r="I15">
            <v>0.62037037037037002</v>
          </cell>
        </row>
        <row r="16">
          <cell r="G16">
            <v>0.53111111111111098</v>
          </cell>
          <cell r="H16">
            <v>0.53958587088915999</v>
          </cell>
          <cell r="I16">
            <v>0.58483530142945905</v>
          </cell>
        </row>
        <row r="17">
          <cell r="G17">
            <v>0.65151515151515105</v>
          </cell>
          <cell r="H17">
            <v>0.60504201680672298</v>
          </cell>
          <cell r="I17">
            <v>0.66911764705882304</v>
          </cell>
        </row>
        <row r="18">
          <cell r="G18">
            <v>0.51953125</v>
          </cell>
          <cell r="H18">
            <v>0.56635514018691602</v>
          </cell>
          <cell r="I18">
            <v>0.54838709677419395</v>
          </cell>
        </row>
        <row r="19">
          <cell r="G19">
            <v>0.71818181818181803</v>
          </cell>
          <cell r="H19">
            <v>0.56950672645739897</v>
          </cell>
          <cell r="I19">
            <v>0.56692913385826804</v>
          </cell>
        </row>
        <row r="20">
          <cell r="G20">
            <v>0.60549777117384795</v>
          </cell>
          <cell r="H20">
            <v>0.62194315928618604</v>
          </cell>
          <cell r="I20">
            <v>0.61384820239680404</v>
          </cell>
        </row>
        <row r="21">
          <cell r="G21">
            <v>0.59744168547780296</v>
          </cell>
          <cell r="H21">
            <v>0.57829328914664502</v>
          </cell>
          <cell r="I21">
            <v>0.58653846153846201</v>
          </cell>
        </row>
        <row r="22">
          <cell r="G22">
            <v>0.61250000000000004</v>
          </cell>
          <cell r="H22">
            <v>0.66063348416289591</v>
          </cell>
          <cell r="I22">
            <v>0.63057324840764328</v>
          </cell>
        </row>
        <row r="23">
          <cell r="G23">
            <v>0.66666666666666696</v>
          </cell>
          <cell r="H23">
            <v>0.64948453608247403</v>
          </cell>
          <cell r="I23">
            <v>0.70103092783505105</v>
          </cell>
        </row>
        <row r="24">
          <cell r="G24">
            <v>0.54237288135593198</v>
          </cell>
          <cell r="H24">
            <v>0.58536585365853699</v>
          </cell>
          <cell r="I24">
            <v>0.63793103448275901</v>
          </cell>
        </row>
        <row r="25">
          <cell r="G25">
            <v>0.60824742268041199</v>
          </cell>
          <cell r="H25">
            <v>0.69662921348314599</v>
          </cell>
          <cell r="I25">
            <v>0.55038759689922501</v>
          </cell>
        </row>
        <row r="26">
          <cell r="G26">
            <v>0.67500000000000004</v>
          </cell>
          <cell r="H26">
            <v>0.71153846153846201</v>
          </cell>
          <cell r="I26">
            <v>0.68888888888888899</v>
          </cell>
        </row>
        <row r="27">
          <cell r="G27">
            <v>0.63793103448275901</v>
          </cell>
          <cell r="H27">
            <v>0.71604938271604901</v>
          </cell>
          <cell r="I27">
            <v>0.63095238095238104</v>
          </cell>
        </row>
        <row r="28">
          <cell r="G28">
            <v>0.54609929078014197</v>
          </cell>
          <cell r="H28">
            <v>0.56307692307692303</v>
          </cell>
          <cell r="I28">
            <v>0.55830388692579502</v>
          </cell>
        </row>
        <row r="29">
          <cell r="G29">
            <v>0.56000000000000005</v>
          </cell>
          <cell r="H29">
            <v>0.46428571428571402</v>
          </cell>
          <cell r="I29">
            <v>0.48051948051948101</v>
          </cell>
        </row>
        <row r="30">
          <cell r="G30">
            <v>0.56818181818181801</v>
          </cell>
          <cell r="H30">
            <v>0.59016393442622905</v>
          </cell>
          <cell r="I30">
            <v>0.676056338028169</v>
          </cell>
        </row>
        <row r="31">
          <cell r="G31">
            <v>0.61395348837209296</v>
          </cell>
          <cell r="H31">
            <v>0.55000000000000004</v>
          </cell>
          <cell r="I31">
            <v>0.59930313588850204</v>
          </cell>
        </row>
        <row r="32">
          <cell r="G32">
            <v>0.68421052631578905</v>
          </cell>
          <cell r="H32">
            <v>0.57894736842105299</v>
          </cell>
          <cell r="I32">
            <v>0.60085836909871204</v>
          </cell>
        </row>
        <row r="33">
          <cell r="G33">
            <v>0.55613126079447295</v>
          </cell>
          <cell r="H33">
            <v>0.58034026465028399</v>
          </cell>
          <cell r="I33">
            <v>0.589380530973451</v>
          </cell>
        </row>
        <row r="34">
          <cell r="G34">
            <v>0.51626016260162599</v>
          </cell>
          <cell r="H34">
            <v>0.51950354609929095</v>
          </cell>
          <cell r="I34">
            <v>0.57385398981324298</v>
          </cell>
        </row>
        <row r="35">
          <cell r="G35">
            <v>0.59204275534441797</v>
          </cell>
          <cell r="H35">
            <v>0.57815964523281604</v>
          </cell>
          <cell r="I35">
            <v>0.59803354540196596</v>
          </cell>
        </row>
        <row r="36">
          <cell r="G36">
            <v>0.64</v>
          </cell>
          <cell r="H36">
            <v>0.68768768768768795</v>
          </cell>
          <cell r="I36">
            <v>0.60298507462686601</v>
          </cell>
        </row>
        <row r="37">
          <cell r="G37">
            <v>0.58555080656280156</v>
          </cell>
          <cell r="H37">
            <v>0.58970849869987685</v>
          </cell>
          <cell r="I37">
            <v>0.60023096257047759</v>
          </cell>
        </row>
        <row r="38">
          <cell r="G38">
            <v>0.76142131979695404</v>
          </cell>
          <cell r="H38">
            <v>0.76855895196506596</v>
          </cell>
          <cell r="I38">
            <v>0.72321428571428603</v>
          </cell>
        </row>
        <row r="39">
          <cell r="G39">
            <v>0.77573822825219496</v>
          </cell>
          <cell r="H39">
            <v>0.77444187836797496</v>
          </cell>
          <cell r="I39">
            <v>0.78576893649579205</v>
          </cell>
        </row>
        <row r="40">
          <cell r="G40">
            <v>0.79782903663500704</v>
          </cell>
          <cell r="H40">
            <v>0.82990397805212601</v>
          </cell>
          <cell r="I40">
            <v>0.82237762237762202</v>
          </cell>
        </row>
        <row r="41">
          <cell r="G41">
            <v>0.74371859296482401</v>
          </cell>
          <cell r="H41">
            <v>0.74122807017543901</v>
          </cell>
          <cell r="I41">
            <v>0.78389830508474601</v>
          </cell>
        </row>
        <row r="42">
          <cell r="G42">
            <v>0.78471337579617795</v>
          </cell>
          <cell r="H42">
            <v>0.78543563068920697</v>
          </cell>
          <cell r="I42">
            <v>0.78899082568807299</v>
          </cell>
        </row>
        <row r="43">
          <cell r="G43">
            <v>0.74825174825174801</v>
          </cell>
          <cell r="H43">
            <v>0.74316939890710398</v>
          </cell>
          <cell r="I43">
            <v>0.77777777777777801</v>
          </cell>
        </row>
        <row r="44">
          <cell r="G44">
            <v>0.84640522875817004</v>
          </cell>
          <cell r="H44">
            <v>0.87414965986394599</v>
          </cell>
          <cell r="I44">
            <v>0.83685800604229599</v>
          </cell>
        </row>
        <row r="45">
          <cell r="G45">
            <v>0.78453038674033149</v>
          </cell>
          <cell r="H45">
            <v>0.79147681586705976</v>
          </cell>
          <cell r="I45">
            <v>0.79393447062009204</v>
          </cell>
        </row>
        <row r="46">
          <cell r="G46">
            <v>0.62528963919232039</v>
          </cell>
          <cell r="H46">
            <v>0.63074407195421101</v>
          </cell>
          <cell r="I46">
            <v>0.63907896165960687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15 Detail"/>
      <sheetName val="Alloc Dif (2)"/>
      <sheetName val="Alloc Dif"/>
      <sheetName val="FY15 Detail"/>
      <sheetName val="Instruction"/>
      <sheetName val="Academic Support Per FYE"/>
      <sheetName val="Student Success"/>
      <sheetName val="Student &amp; Institutional Sup (2"/>
      <sheetName val="Student &amp; Institutional Support"/>
      <sheetName val="Facilities"/>
      <sheetName val="Library"/>
      <sheetName val="Research"/>
      <sheetName val="Enrollment"/>
      <sheetName val="Enrollment Detail"/>
      <sheetName val="Revenue Offset"/>
      <sheetName val="Research (2)"/>
      <sheetName val="Revenue Offse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0">
          <cell r="G40">
            <v>0.58953142624222721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0.39997558519241921"/>
  </sheetPr>
  <dimension ref="A1:D40"/>
  <sheetViews>
    <sheetView zoomScale="80" workbookViewId="0">
      <pane xSplit="3" ySplit="5" topLeftCell="D30" activePane="bottomRight" state="frozen"/>
      <selection activeCell="F2" sqref="F2"/>
      <selection pane="topRight" activeCell="F2" sqref="F2"/>
      <selection pane="bottomLeft" activeCell="F2" sqref="F2"/>
      <selection pane="bottomRight" activeCell="B41" sqref="B41"/>
    </sheetView>
  </sheetViews>
  <sheetFormatPr defaultRowHeight="12.75" x14ac:dyDescent="0.2"/>
  <cols>
    <col min="1" max="1" width="4.7109375" hidden="1" customWidth="1"/>
    <col min="2" max="2" width="5" customWidth="1"/>
    <col min="3" max="3" width="30.7109375" customWidth="1"/>
    <col min="4" max="4" width="8" style="54" customWidth="1"/>
  </cols>
  <sheetData>
    <row r="1" spans="1:4" s="15" customFormat="1" ht="15.75" x14ac:dyDescent="0.25">
      <c r="A1" s="21"/>
      <c r="B1" s="39"/>
      <c r="D1" s="177"/>
    </row>
    <row r="2" spans="1:4" s="15" customFormat="1" ht="24.75" customHeight="1" x14ac:dyDescent="0.2">
      <c r="A2" s="21"/>
      <c r="B2" s="21"/>
      <c r="C2" s="21"/>
      <c r="D2" s="91"/>
    </row>
    <row r="3" spans="1:4" s="15" customFormat="1" x14ac:dyDescent="0.2">
      <c r="A3" s="29"/>
      <c r="B3" s="19"/>
      <c r="C3" s="19"/>
      <c r="D3" s="178"/>
    </row>
    <row r="4" spans="1:4" ht="92.25" customHeight="1" x14ac:dyDescent="0.2">
      <c r="B4" s="1" t="s">
        <v>0</v>
      </c>
      <c r="C4" s="1" t="s">
        <v>1</v>
      </c>
      <c r="D4" s="179" t="s">
        <v>290</v>
      </c>
    </row>
    <row r="5" spans="1:4" x14ac:dyDescent="0.2">
      <c r="B5" s="2"/>
      <c r="C5" s="2"/>
      <c r="D5" s="180"/>
    </row>
    <row r="6" spans="1:4" x14ac:dyDescent="0.2">
      <c r="A6">
        <v>1</v>
      </c>
      <c r="B6" s="10" t="s">
        <v>2</v>
      </c>
      <c r="C6" s="3" t="s">
        <v>3</v>
      </c>
    </row>
    <row r="7" spans="1:4" s="54" customFormat="1" x14ac:dyDescent="0.2">
      <c r="A7" s="54">
        <v>2</v>
      </c>
      <c r="B7" s="10" t="s">
        <v>4</v>
      </c>
      <c r="C7" s="3" t="s">
        <v>124</v>
      </c>
    </row>
    <row r="8" spans="1:4" ht="12" customHeight="1" x14ac:dyDescent="0.2">
      <c r="A8">
        <v>4</v>
      </c>
      <c r="B8" s="10" t="s">
        <v>5</v>
      </c>
      <c r="C8" s="3" t="s">
        <v>113</v>
      </c>
    </row>
    <row r="9" spans="1:4" x14ac:dyDescent="0.2">
      <c r="A9">
        <v>3</v>
      </c>
      <c r="B9" s="37" t="s">
        <v>6</v>
      </c>
      <c r="C9" s="3" t="s">
        <v>7</v>
      </c>
    </row>
    <row r="10" spans="1:4" x14ac:dyDescent="0.2">
      <c r="A10">
        <v>3</v>
      </c>
      <c r="B10" s="37" t="s">
        <v>8</v>
      </c>
      <c r="C10" s="3" t="s">
        <v>9</v>
      </c>
    </row>
    <row r="11" spans="1:4" x14ac:dyDescent="0.2">
      <c r="A11">
        <v>1</v>
      </c>
      <c r="B11" s="37" t="s">
        <v>10</v>
      </c>
      <c r="C11" s="3" t="s">
        <v>11</v>
      </c>
    </row>
    <row r="12" spans="1:4" x14ac:dyDescent="0.2">
      <c r="A12">
        <v>2</v>
      </c>
      <c r="B12" s="37" t="s">
        <v>12</v>
      </c>
      <c r="C12" s="3" t="s">
        <v>13</v>
      </c>
    </row>
    <row r="13" spans="1:4" x14ac:dyDescent="0.2">
      <c r="A13">
        <v>1</v>
      </c>
      <c r="B13" s="37" t="s">
        <v>14</v>
      </c>
      <c r="C13" s="3" t="s">
        <v>15</v>
      </c>
    </row>
    <row r="14" spans="1:4" x14ac:dyDescent="0.2">
      <c r="A14">
        <v>3</v>
      </c>
      <c r="B14" s="37" t="s">
        <v>16</v>
      </c>
      <c r="C14" s="3" t="s">
        <v>17</v>
      </c>
    </row>
    <row r="15" spans="1:4" x14ac:dyDescent="0.2">
      <c r="A15">
        <v>4</v>
      </c>
      <c r="B15" s="37" t="s">
        <v>18</v>
      </c>
      <c r="C15" s="3" t="s">
        <v>68</v>
      </c>
    </row>
    <row r="16" spans="1:4" x14ac:dyDescent="0.2">
      <c r="A16">
        <v>3</v>
      </c>
      <c r="B16" s="37" t="s">
        <v>19</v>
      </c>
      <c r="C16" s="3" t="s">
        <v>20</v>
      </c>
    </row>
    <row r="17" spans="1:3" ht="12" customHeight="1" x14ac:dyDescent="0.2">
      <c r="A17">
        <v>1</v>
      </c>
      <c r="B17" s="37" t="s">
        <v>21</v>
      </c>
      <c r="C17" s="3" t="s">
        <v>71</v>
      </c>
    </row>
    <row r="18" spans="1:3" ht="12" customHeight="1" x14ac:dyDescent="0.2">
      <c r="B18" s="37" t="s">
        <v>109</v>
      </c>
      <c r="C18" s="3" t="s">
        <v>112</v>
      </c>
    </row>
    <row r="19" spans="1:3" x14ac:dyDescent="0.2">
      <c r="A19">
        <v>4</v>
      </c>
      <c r="B19" s="37" t="s">
        <v>26</v>
      </c>
      <c r="C19" s="3" t="s">
        <v>62</v>
      </c>
    </row>
    <row r="20" spans="1:3" x14ac:dyDescent="0.2">
      <c r="A20">
        <v>4</v>
      </c>
      <c r="B20" s="37" t="s">
        <v>22</v>
      </c>
      <c r="C20" s="3" t="s">
        <v>23</v>
      </c>
    </row>
    <row r="21" spans="1:3" x14ac:dyDescent="0.2">
      <c r="A21">
        <v>3</v>
      </c>
      <c r="B21" s="37" t="s">
        <v>24</v>
      </c>
      <c r="C21" s="3" t="s">
        <v>25</v>
      </c>
    </row>
    <row r="22" spans="1:3" x14ac:dyDescent="0.2">
      <c r="A22">
        <v>2</v>
      </c>
      <c r="B22" s="37" t="s">
        <v>27</v>
      </c>
      <c r="C22" s="3" t="s">
        <v>28</v>
      </c>
    </row>
    <row r="23" spans="1:3" x14ac:dyDescent="0.2">
      <c r="A23">
        <v>2</v>
      </c>
      <c r="B23" s="37" t="s">
        <v>29</v>
      </c>
      <c r="C23" s="3" t="s">
        <v>30</v>
      </c>
    </row>
    <row r="24" spans="1:3" ht="12.75" customHeight="1" x14ac:dyDescent="0.2">
      <c r="A24">
        <v>3</v>
      </c>
      <c r="B24" s="37" t="s">
        <v>118</v>
      </c>
      <c r="C24" s="3" t="s">
        <v>63</v>
      </c>
    </row>
    <row r="25" spans="1:3" x14ac:dyDescent="0.2">
      <c r="A25">
        <v>3</v>
      </c>
      <c r="B25" s="37" t="s">
        <v>110</v>
      </c>
      <c r="C25" s="3" t="s">
        <v>32</v>
      </c>
    </row>
    <row r="26" spans="1:3" x14ac:dyDescent="0.2">
      <c r="A26">
        <v>1</v>
      </c>
      <c r="B26" s="37" t="s">
        <v>33</v>
      </c>
      <c r="C26" s="3" t="s">
        <v>34</v>
      </c>
    </row>
    <row r="27" spans="1:3" x14ac:dyDescent="0.2">
      <c r="A27">
        <v>3</v>
      </c>
      <c r="B27" s="37" t="s">
        <v>35</v>
      </c>
      <c r="C27" s="3" t="s">
        <v>36</v>
      </c>
    </row>
    <row r="28" spans="1:3" x14ac:dyDescent="0.2">
      <c r="A28">
        <v>3</v>
      </c>
      <c r="B28" s="37" t="s">
        <v>37</v>
      </c>
      <c r="C28" s="3" t="s">
        <v>38</v>
      </c>
    </row>
    <row r="29" spans="1:3" x14ac:dyDescent="0.2">
      <c r="A29">
        <v>3</v>
      </c>
      <c r="B29" s="37" t="s">
        <v>39</v>
      </c>
      <c r="C29" s="3" t="s">
        <v>40</v>
      </c>
    </row>
    <row r="30" spans="1:3" x14ac:dyDescent="0.2">
      <c r="A30">
        <v>1</v>
      </c>
      <c r="B30" s="37" t="s">
        <v>46</v>
      </c>
      <c r="C30" s="3" t="s">
        <v>70</v>
      </c>
    </row>
    <row r="31" spans="1:3" x14ac:dyDescent="0.2">
      <c r="A31">
        <v>4</v>
      </c>
      <c r="B31" s="37" t="s">
        <v>41</v>
      </c>
      <c r="C31" s="3" t="s">
        <v>117</v>
      </c>
    </row>
    <row r="32" spans="1:3" x14ac:dyDescent="0.2">
      <c r="A32">
        <v>4</v>
      </c>
      <c r="B32" s="37" t="s">
        <v>42</v>
      </c>
      <c r="C32" s="3" t="s">
        <v>69</v>
      </c>
    </row>
    <row r="33" spans="1:4" x14ac:dyDescent="0.2">
      <c r="A33">
        <v>1</v>
      </c>
      <c r="B33" s="37" t="s">
        <v>43</v>
      </c>
      <c r="C33" s="3" t="s">
        <v>44</v>
      </c>
    </row>
    <row r="34" spans="1:4" x14ac:dyDescent="0.2">
      <c r="A34">
        <v>1</v>
      </c>
      <c r="B34" s="37" t="s">
        <v>45</v>
      </c>
      <c r="C34" s="3" t="s">
        <v>122</v>
      </c>
    </row>
    <row r="35" spans="1:4" x14ac:dyDescent="0.2">
      <c r="A35">
        <v>4</v>
      </c>
      <c r="B35" s="37" t="s">
        <v>47</v>
      </c>
      <c r="C35" s="3" t="s">
        <v>48</v>
      </c>
    </row>
    <row r="37" spans="1:4" x14ac:dyDescent="0.2">
      <c r="B37" s="4"/>
      <c r="C37" s="4" t="s">
        <v>49</v>
      </c>
      <c r="D37" s="183">
        <f>SUM(D36:D36)</f>
        <v>0</v>
      </c>
    </row>
    <row r="38" spans="1:4" ht="14.25" customHeight="1" x14ac:dyDescent="0.2">
      <c r="B38" s="4"/>
      <c r="C38" s="4"/>
      <c r="D38" s="183"/>
    </row>
    <row r="39" spans="1:4" ht="16.5" customHeight="1" x14ac:dyDescent="0.2">
      <c r="B39" s="16" t="s">
        <v>50</v>
      </c>
    </row>
    <row r="40" spans="1:4" ht="12" customHeight="1" x14ac:dyDescent="0.2">
      <c r="B40" s="498" t="s">
        <v>319</v>
      </c>
      <c r="C40" s="499"/>
    </row>
  </sheetData>
  <mergeCells count="1">
    <mergeCell ref="B40:C40"/>
  </mergeCells>
  <phoneticPr fontId="11" type="noConversion"/>
  <pageMargins left="0.3" right="0.08" top="0.82" bottom="0.13" header="0.18" footer="0.13"/>
  <pageSetup scale="80" orientation="landscape" copies="4" r:id="rId1"/>
  <headerFooter alignWithMargins="0">
    <oddHeader xml:space="preserve">&amp;C&amp;"Arial,Bold"Minnesota State Colleges and Universities
FY2015
COLLEGE/UNIVERSITY ALLOCATIONS
(FRAMEWORK BASED ON FY2013 DATA) -  Draft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pane xSplit="1" ySplit="5" topLeftCell="B9" activePane="bottomRight" state="frozen"/>
      <selection activeCell="B30" sqref="B30"/>
      <selection pane="topRight" activeCell="B30" sqref="B30"/>
      <selection pane="bottomLeft" activeCell="B30" sqref="B30"/>
      <selection pane="bottomRight" activeCell="J23" sqref="J23"/>
    </sheetView>
  </sheetViews>
  <sheetFormatPr defaultRowHeight="12.75" x14ac:dyDescent="0.2"/>
  <cols>
    <col min="1" max="1" width="40.28515625" style="411" customWidth="1"/>
    <col min="2" max="2" width="6.42578125" style="427" bestFit="1" customWidth="1"/>
    <col min="3" max="3" width="7.28515625" style="427" bestFit="1" customWidth="1"/>
    <col min="4" max="4" width="5.85546875" style="412" bestFit="1" customWidth="1"/>
    <col min="5" max="5" width="8.140625" style="412" bestFit="1" customWidth="1"/>
    <col min="6" max="6" width="8.140625" style="427" customWidth="1"/>
    <col min="7" max="7" width="6.5703125" style="412" customWidth="1"/>
    <col min="8" max="8" width="8.5703125" style="427" customWidth="1"/>
    <col min="9" max="9" width="8.140625" style="427" customWidth="1"/>
    <col min="10" max="10" width="11.140625" style="411" customWidth="1"/>
    <col min="11" max="11" width="4.28515625" style="411" customWidth="1"/>
    <col min="12" max="16384" width="9.140625" style="411"/>
  </cols>
  <sheetData>
    <row r="1" spans="1:11" ht="15" customHeight="1" x14ac:dyDescent="0.2">
      <c r="A1" s="509" t="s">
        <v>304</v>
      </c>
      <c r="B1" s="509"/>
      <c r="C1" s="509"/>
      <c r="D1" s="509"/>
      <c r="E1" s="509"/>
      <c r="F1" s="509"/>
      <c r="G1" s="509"/>
      <c r="H1" s="509"/>
      <c r="I1" s="509"/>
      <c r="J1" s="509"/>
    </row>
    <row r="2" spans="1:11" ht="15" customHeight="1" x14ac:dyDescent="0.2">
      <c r="A2" s="509" t="s">
        <v>72</v>
      </c>
      <c r="B2" s="509"/>
      <c r="C2" s="509"/>
      <c r="D2" s="509"/>
      <c r="E2" s="509"/>
      <c r="F2" s="509"/>
      <c r="G2" s="509"/>
      <c r="H2" s="509"/>
      <c r="I2" s="509"/>
      <c r="J2" s="509"/>
    </row>
    <row r="3" spans="1:11" ht="15" customHeight="1" x14ac:dyDescent="0.2">
      <c r="A3" s="509" t="s">
        <v>332</v>
      </c>
      <c r="B3" s="509"/>
      <c r="C3" s="509"/>
      <c r="D3" s="509"/>
      <c r="E3" s="509"/>
      <c r="F3" s="509"/>
      <c r="G3" s="509"/>
      <c r="H3" s="509"/>
      <c r="I3" s="509"/>
      <c r="J3" s="509"/>
    </row>
    <row r="4" spans="1:11" ht="15" customHeight="1" x14ac:dyDescent="0.2">
      <c r="J4" s="454" t="s">
        <v>286</v>
      </c>
    </row>
    <row r="5" spans="1:11" ht="63.75" x14ac:dyDescent="0.2">
      <c r="A5" s="413" t="s">
        <v>181</v>
      </c>
      <c r="B5" s="428" t="s">
        <v>182</v>
      </c>
      <c r="C5" s="428" t="s">
        <v>183</v>
      </c>
      <c r="D5" s="429" t="s">
        <v>184</v>
      </c>
      <c r="E5" s="429" t="s">
        <v>185</v>
      </c>
      <c r="F5" s="430" t="s">
        <v>276</v>
      </c>
      <c r="G5" s="429" t="s">
        <v>186</v>
      </c>
      <c r="H5" s="430" t="s">
        <v>187</v>
      </c>
      <c r="I5" s="414" t="s">
        <v>277</v>
      </c>
      <c r="J5" s="431" t="s">
        <v>188</v>
      </c>
      <c r="K5" s="415"/>
    </row>
    <row r="6" spans="1:11" ht="15" customHeight="1" x14ac:dyDescent="0.2">
      <c r="A6" s="416" t="s">
        <v>189</v>
      </c>
      <c r="B6" s="432">
        <v>772</v>
      </c>
      <c r="C6" s="432">
        <v>552</v>
      </c>
      <c r="D6" s="467">
        <v>0.71502590673575128</v>
      </c>
      <c r="E6" s="433">
        <v>0.70020524928102412</v>
      </c>
      <c r="F6" s="432">
        <v>540.5584524449506</v>
      </c>
      <c r="G6" s="433">
        <v>0.70653156658199168</v>
      </c>
      <c r="H6" s="432">
        <v>545.44236940129758</v>
      </c>
      <c r="I6" s="432">
        <v>7</v>
      </c>
      <c r="J6" s="434">
        <f>I6*$J$47</f>
        <v>70000</v>
      </c>
    </row>
    <row r="7" spans="1:11" ht="15" customHeight="1" x14ac:dyDescent="0.2">
      <c r="A7" s="416" t="s">
        <v>190</v>
      </c>
      <c r="B7" s="432">
        <v>2603</v>
      </c>
      <c r="C7" s="432">
        <v>1730</v>
      </c>
      <c r="D7" s="467">
        <v>0.66461774875144064</v>
      </c>
      <c r="E7" s="433">
        <v>0.63393318367990747</v>
      </c>
      <c r="F7" s="432">
        <v>1650.1280771187992</v>
      </c>
      <c r="G7" s="433">
        <v>0.63948235608781301</v>
      </c>
      <c r="H7" s="432">
        <v>1664.5725728965772</v>
      </c>
      <c r="I7" s="432">
        <v>65</v>
      </c>
      <c r="J7" s="434">
        <f t="shared" ref="J7:J21" si="0">I7*$J$47</f>
        <v>650000</v>
      </c>
    </row>
    <row r="8" spans="1:11" ht="15" customHeight="1" x14ac:dyDescent="0.2">
      <c r="A8" s="416" t="s">
        <v>191</v>
      </c>
      <c r="B8" s="432">
        <v>907</v>
      </c>
      <c r="C8" s="432">
        <v>612</v>
      </c>
      <c r="D8" s="467">
        <v>0.67475192943770668</v>
      </c>
      <c r="E8" s="433">
        <v>0.65491365416879277</v>
      </c>
      <c r="F8" s="432">
        <v>594.00668433109502</v>
      </c>
      <c r="G8" s="433">
        <v>0.66079007669742296</v>
      </c>
      <c r="H8" s="432">
        <v>599.33659956456268</v>
      </c>
      <c r="I8" s="432">
        <v>13</v>
      </c>
      <c r="J8" s="434">
        <f t="shared" si="0"/>
        <v>130000</v>
      </c>
    </row>
    <row r="9" spans="1:11" ht="15" customHeight="1" x14ac:dyDescent="0.2">
      <c r="A9" s="416" t="s">
        <v>7</v>
      </c>
      <c r="B9" s="432">
        <v>962</v>
      </c>
      <c r="C9" s="432">
        <v>609</v>
      </c>
      <c r="D9" s="467">
        <v>0.63305613305613306</v>
      </c>
      <c r="E9" s="433">
        <v>0.67436698369751469</v>
      </c>
      <c r="F9" s="432">
        <v>648.74103831700916</v>
      </c>
      <c r="G9" s="433">
        <v>0.67965575833595282</v>
      </c>
      <c r="H9" s="432">
        <v>653.82883951918666</v>
      </c>
      <c r="I9" s="432">
        <v>0</v>
      </c>
      <c r="J9" s="434">
        <f t="shared" si="0"/>
        <v>0</v>
      </c>
    </row>
    <row r="10" spans="1:11" ht="15" customHeight="1" x14ac:dyDescent="0.2">
      <c r="A10" s="416" t="s">
        <v>9</v>
      </c>
      <c r="B10" s="432">
        <v>3109</v>
      </c>
      <c r="C10" s="432">
        <v>1972</v>
      </c>
      <c r="D10" s="467">
        <v>0.63428755226761013</v>
      </c>
      <c r="E10" s="433">
        <v>0.64450669295985819</v>
      </c>
      <c r="F10" s="432">
        <v>2003.771308412199</v>
      </c>
      <c r="G10" s="433">
        <v>0.64819517379011993</v>
      </c>
      <c r="H10" s="432">
        <v>2015.2387953134828</v>
      </c>
      <c r="I10" s="432">
        <v>0</v>
      </c>
      <c r="J10" s="434">
        <f t="shared" si="0"/>
        <v>0</v>
      </c>
    </row>
    <row r="11" spans="1:11" ht="15" customHeight="1" x14ac:dyDescent="0.2">
      <c r="A11" s="416" t="s">
        <v>192</v>
      </c>
      <c r="B11" s="432">
        <v>1234</v>
      </c>
      <c r="C11" s="432">
        <v>867</v>
      </c>
      <c r="D11" s="467">
        <v>0.70259319286871957</v>
      </c>
      <c r="E11" s="433">
        <v>0.68693541252537904</v>
      </c>
      <c r="F11" s="432">
        <v>847.67829905631777</v>
      </c>
      <c r="G11" s="433">
        <v>0.69213608199411802</v>
      </c>
      <c r="H11" s="432">
        <v>854.09592518074169</v>
      </c>
      <c r="I11" s="432">
        <v>13</v>
      </c>
      <c r="J11" s="434">
        <f t="shared" si="0"/>
        <v>130000</v>
      </c>
    </row>
    <row r="12" spans="1:11" ht="15" customHeight="1" x14ac:dyDescent="0.2">
      <c r="A12" s="300" t="s">
        <v>221</v>
      </c>
      <c r="B12" s="432">
        <v>318</v>
      </c>
      <c r="C12" s="432">
        <v>194</v>
      </c>
      <c r="D12" s="467">
        <v>0.61006289308176098</v>
      </c>
      <c r="E12" s="433">
        <v>0.61887233223274896</v>
      </c>
      <c r="F12" s="432">
        <v>196.80140165001416</v>
      </c>
      <c r="G12" s="433">
        <v>0.62899337271151778</v>
      </c>
      <c r="H12" s="432">
        <v>200.01989252226267</v>
      </c>
      <c r="I12" s="432">
        <v>0</v>
      </c>
      <c r="J12" s="434">
        <f t="shared" si="0"/>
        <v>0</v>
      </c>
    </row>
    <row r="13" spans="1:11" ht="15" customHeight="1" x14ac:dyDescent="0.2">
      <c r="A13" s="416" t="s">
        <v>139</v>
      </c>
      <c r="B13" s="432">
        <v>2133</v>
      </c>
      <c r="C13" s="432">
        <v>1383</v>
      </c>
      <c r="D13" s="467">
        <v>0.64838255977496484</v>
      </c>
      <c r="E13" s="433">
        <v>0.64133519470937661</v>
      </c>
      <c r="F13" s="432">
        <v>1367.9679703151003</v>
      </c>
      <c r="G13" s="433">
        <v>0.64575935065383727</v>
      </c>
      <c r="H13" s="432">
        <v>1377.4046949446349</v>
      </c>
      <c r="I13" s="432">
        <v>6</v>
      </c>
      <c r="J13" s="434">
        <f t="shared" si="0"/>
        <v>60000</v>
      </c>
    </row>
    <row r="14" spans="1:11" ht="15" customHeight="1" x14ac:dyDescent="0.2">
      <c r="A14" s="416" t="s">
        <v>193</v>
      </c>
      <c r="B14" s="432">
        <v>1417</v>
      </c>
      <c r="C14" s="432">
        <v>909</v>
      </c>
      <c r="D14" s="467">
        <v>0.64149611856033872</v>
      </c>
      <c r="E14" s="433">
        <v>0.65092055157780759</v>
      </c>
      <c r="F14" s="432">
        <v>922.35442158575336</v>
      </c>
      <c r="G14" s="433">
        <v>0.65680944995967661</v>
      </c>
      <c r="H14" s="432">
        <v>930.69899059286172</v>
      </c>
      <c r="I14" s="432">
        <v>0</v>
      </c>
      <c r="J14" s="434">
        <f t="shared" si="0"/>
        <v>0</v>
      </c>
    </row>
    <row r="15" spans="1:11" ht="15" customHeight="1" x14ac:dyDescent="0.2">
      <c r="A15" s="416" t="s">
        <v>17</v>
      </c>
      <c r="B15" s="432">
        <v>1422</v>
      </c>
      <c r="C15" s="432">
        <v>963</v>
      </c>
      <c r="D15" s="467">
        <v>0.67721518987341767</v>
      </c>
      <c r="E15" s="433">
        <v>0.65283805234420655</v>
      </c>
      <c r="F15" s="432">
        <v>928.33571043346171</v>
      </c>
      <c r="G15" s="433">
        <v>0.65753670603370118</v>
      </c>
      <c r="H15" s="432">
        <v>935.01719597992303</v>
      </c>
      <c r="I15" s="432">
        <v>28</v>
      </c>
      <c r="J15" s="434">
        <f t="shared" si="0"/>
        <v>280000</v>
      </c>
    </row>
    <row r="16" spans="1:11" ht="15" customHeight="1" x14ac:dyDescent="0.2">
      <c r="A16" s="416" t="s">
        <v>194</v>
      </c>
      <c r="B16" s="432">
        <v>2720</v>
      </c>
      <c r="C16" s="432">
        <v>1689</v>
      </c>
      <c r="D16" s="467">
        <v>0.62095588235294119</v>
      </c>
      <c r="E16" s="433">
        <v>0.61577465120990726</v>
      </c>
      <c r="F16" s="432">
        <v>1674.9070512909477</v>
      </c>
      <c r="G16" s="433">
        <v>0.62109949087551508</v>
      </c>
      <c r="H16" s="432">
        <v>1689.390615181401</v>
      </c>
      <c r="I16" s="432">
        <v>0</v>
      </c>
      <c r="J16" s="434">
        <f t="shared" si="0"/>
        <v>0</v>
      </c>
    </row>
    <row r="17" spans="1:10" ht="15" customHeight="1" x14ac:dyDescent="0.2">
      <c r="A17" s="416" t="s">
        <v>222</v>
      </c>
      <c r="B17" s="432">
        <v>680</v>
      </c>
      <c r="C17" s="432">
        <v>457</v>
      </c>
      <c r="D17" s="467">
        <v>0.67205882352941182</v>
      </c>
      <c r="E17" s="433">
        <v>0.65920220282773023</v>
      </c>
      <c r="F17" s="432">
        <v>448.25749792285654</v>
      </c>
      <c r="G17" s="433">
        <v>0.66290228436136556</v>
      </c>
      <c r="H17" s="432">
        <v>450.77355336572856</v>
      </c>
      <c r="I17" s="432">
        <v>6</v>
      </c>
      <c r="J17" s="434">
        <f t="shared" si="0"/>
        <v>60000</v>
      </c>
    </row>
    <row r="18" spans="1:10" ht="15" customHeight="1" x14ac:dyDescent="0.2">
      <c r="A18" s="416" t="s">
        <v>196</v>
      </c>
      <c r="B18" s="432">
        <v>2010</v>
      </c>
      <c r="C18" s="432">
        <v>1321</v>
      </c>
      <c r="D18" s="467">
        <v>0.6572139303482587</v>
      </c>
      <c r="E18" s="433">
        <v>0.63832001831448493</v>
      </c>
      <c r="F18" s="432">
        <v>1283.0232368121146</v>
      </c>
      <c r="G18" s="433">
        <v>0.64263326232344087</v>
      </c>
      <c r="H18" s="432">
        <v>1291.6928572701161</v>
      </c>
      <c r="I18" s="432">
        <v>29</v>
      </c>
      <c r="J18" s="434">
        <f t="shared" si="0"/>
        <v>290000</v>
      </c>
    </row>
    <row r="19" spans="1:10" ht="15" customHeight="1" x14ac:dyDescent="0.2">
      <c r="A19" s="416" t="s">
        <v>223</v>
      </c>
      <c r="B19" s="432">
        <v>728</v>
      </c>
      <c r="C19" s="432">
        <v>494</v>
      </c>
      <c r="D19" s="467">
        <v>0.6785714285714286</v>
      </c>
      <c r="E19" s="433">
        <v>0.67614119374803072</v>
      </c>
      <c r="F19" s="432">
        <v>492.23078904856635</v>
      </c>
      <c r="G19" s="433">
        <v>0.68255980210357492</v>
      </c>
      <c r="H19" s="432">
        <v>496.90353593140253</v>
      </c>
      <c r="I19" s="432">
        <v>0</v>
      </c>
      <c r="J19" s="434">
        <f t="shared" si="0"/>
        <v>0</v>
      </c>
    </row>
    <row r="20" spans="1:10" ht="15" customHeight="1" x14ac:dyDescent="0.2">
      <c r="A20" s="416" t="s">
        <v>132</v>
      </c>
      <c r="B20" s="432">
        <v>3216</v>
      </c>
      <c r="C20" s="432">
        <v>2089</v>
      </c>
      <c r="D20" s="467">
        <v>0.64956467661691542</v>
      </c>
      <c r="E20" s="433">
        <v>0.63941236663586598</v>
      </c>
      <c r="F20" s="432">
        <v>2056.3501711009449</v>
      </c>
      <c r="G20" s="433">
        <v>0.64475512494507126</v>
      </c>
      <c r="H20" s="432">
        <v>2073.5324818233494</v>
      </c>
      <c r="I20" s="432">
        <v>15</v>
      </c>
      <c r="J20" s="434">
        <f t="shared" si="0"/>
        <v>150000</v>
      </c>
    </row>
    <row r="21" spans="1:10" ht="15" customHeight="1" x14ac:dyDescent="0.2">
      <c r="A21" s="416" t="s">
        <v>133</v>
      </c>
      <c r="B21" s="432">
        <v>2208</v>
      </c>
      <c r="C21" s="432">
        <v>1372</v>
      </c>
      <c r="D21" s="467">
        <v>0.62137681159420288</v>
      </c>
      <c r="E21" s="433">
        <v>0.61934088010693589</v>
      </c>
      <c r="F21" s="432">
        <v>1367.5046632761143</v>
      </c>
      <c r="G21" s="433">
        <v>0.62349027633807685</v>
      </c>
      <c r="H21" s="432">
        <v>1376.6665301544738</v>
      </c>
      <c r="I21" s="432">
        <v>0</v>
      </c>
      <c r="J21" s="434">
        <f t="shared" si="0"/>
        <v>0</v>
      </c>
    </row>
    <row r="22" spans="1:10" ht="15" customHeight="1" x14ac:dyDescent="0.2">
      <c r="A22" s="421" t="s">
        <v>63</v>
      </c>
      <c r="B22" s="435">
        <v>1779</v>
      </c>
      <c r="C22" s="435">
        <v>1265</v>
      </c>
      <c r="D22" s="468">
        <v>0.70561144114411445</v>
      </c>
      <c r="E22" s="493">
        <v>0.68186662257324837</v>
      </c>
      <c r="F22" s="435">
        <v>1204.5629515728556</v>
      </c>
      <c r="G22" s="493">
        <v>0.68829776528046316</v>
      </c>
      <c r="H22" s="435">
        <v>1214.6795096542678</v>
      </c>
      <c r="I22" s="435">
        <v>53</v>
      </c>
      <c r="J22" s="437">
        <f>I22*$J$47</f>
        <v>530000</v>
      </c>
    </row>
    <row r="23" spans="1:10" ht="15" customHeight="1" x14ac:dyDescent="0.2">
      <c r="A23" s="416" t="s">
        <v>197</v>
      </c>
      <c r="B23" s="432">
        <v>500</v>
      </c>
      <c r="C23" s="432">
        <v>374</v>
      </c>
      <c r="D23" s="467">
        <v>0.748</v>
      </c>
      <c r="E23" s="433">
        <v>0.68743685735184612</v>
      </c>
      <c r="F23" s="432">
        <v>343.71842867592306</v>
      </c>
      <c r="G23" s="433">
        <v>0.69325806268266432</v>
      </c>
      <c r="H23" s="432">
        <v>346.62903134133217</v>
      </c>
      <c r="I23" s="432">
        <v>27</v>
      </c>
      <c r="J23" s="434">
        <f t="shared" ref="J23:J44" si="1">I23*$J$47</f>
        <v>270000</v>
      </c>
    </row>
    <row r="24" spans="1:10" ht="15" customHeight="1" x14ac:dyDescent="0.2">
      <c r="A24" s="416" t="s">
        <v>198</v>
      </c>
      <c r="B24" s="432">
        <v>500</v>
      </c>
      <c r="C24" s="432">
        <v>354</v>
      </c>
      <c r="D24" s="467">
        <v>0.70799999999999996</v>
      </c>
      <c r="E24" s="433">
        <v>0.65915262252520834</v>
      </c>
      <c r="F24" s="432">
        <v>329.57631126260418</v>
      </c>
      <c r="G24" s="433">
        <v>0.66439292594732768</v>
      </c>
      <c r="H24" s="432">
        <v>332.19646297366387</v>
      </c>
      <c r="I24" s="432">
        <v>22</v>
      </c>
      <c r="J24" s="434">
        <f t="shared" si="1"/>
        <v>220000</v>
      </c>
    </row>
    <row r="25" spans="1:10" ht="15" customHeight="1" x14ac:dyDescent="0.2">
      <c r="A25" s="416" t="s">
        <v>199</v>
      </c>
      <c r="B25" s="432">
        <v>390</v>
      </c>
      <c r="C25" s="432">
        <v>260</v>
      </c>
      <c r="D25" s="467">
        <v>0.66666666666666663</v>
      </c>
      <c r="E25" s="433">
        <v>0.6634019288600318</v>
      </c>
      <c r="F25" s="432">
        <v>258.72675225541241</v>
      </c>
      <c r="G25" s="433">
        <v>0.66764813921386013</v>
      </c>
      <c r="H25" s="432">
        <v>260.38277429340548</v>
      </c>
      <c r="I25" s="432">
        <v>0</v>
      </c>
      <c r="J25" s="434">
        <f t="shared" si="1"/>
        <v>0</v>
      </c>
    </row>
    <row r="26" spans="1:10" ht="15" customHeight="1" x14ac:dyDescent="0.2">
      <c r="A26" s="416" t="s">
        <v>200</v>
      </c>
      <c r="B26" s="432">
        <v>101</v>
      </c>
      <c r="C26" s="432">
        <v>69</v>
      </c>
      <c r="D26" s="467">
        <v>0.68316831683168322</v>
      </c>
      <c r="E26" s="433">
        <v>0.69769492732770577</v>
      </c>
      <c r="F26" s="432">
        <v>70.46718766009829</v>
      </c>
      <c r="G26" s="433">
        <v>0.70797535903193098</v>
      </c>
      <c r="H26" s="432">
        <v>71.505511262225028</v>
      </c>
      <c r="I26" s="432">
        <v>0</v>
      </c>
      <c r="J26" s="434">
        <f t="shared" si="1"/>
        <v>0</v>
      </c>
    </row>
    <row r="27" spans="1:10" ht="15" customHeight="1" x14ac:dyDescent="0.2">
      <c r="A27" s="416" t="s">
        <v>201</v>
      </c>
      <c r="B27" s="432">
        <v>288</v>
      </c>
      <c r="C27" s="432">
        <v>208</v>
      </c>
      <c r="D27" s="467">
        <v>0.72222222222222221</v>
      </c>
      <c r="E27" s="433">
        <v>0.70164677680145016</v>
      </c>
      <c r="F27" s="432">
        <v>202.07427171881764</v>
      </c>
      <c r="G27" s="433">
        <v>0.70821433952653223</v>
      </c>
      <c r="H27" s="432">
        <v>203.96572978364128</v>
      </c>
      <c r="I27" s="432">
        <v>4</v>
      </c>
      <c r="J27" s="434">
        <f t="shared" si="1"/>
        <v>40000</v>
      </c>
    </row>
    <row r="28" spans="1:10" ht="15" customHeight="1" x14ac:dyDescent="0.2">
      <c r="A28" s="416" t="s">
        <v>202</v>
      </c>
      <c r="B28" s="432">
        <v>1023</v>
      </c>
      <c r="C28" s="432">
        <v>697</v>
      </c>
      <c r="D28" s="467">
        <v>0.68132942326490709</v>
      </c>
      <c r="E28" s="433">
        <v>0.65366872237270435</v>
      </c>
      <c r="F28" s="432">
        <v>668.70310298727657</v>
      </c>
      <c r="G28" s="433">
        <v>0.65658654333113675</v>
      </c>
      <c r="H28" s="432">
        <v>671.68803382775286</v>
      </c>
      <c r="I28" s="432">
        <v>25</v>
      </c>
      <c r="J28" s="434">
        <f t="shared" si="1"/>
        <v>250000</v>
      </c>
    </row>
    <row r="29" spans="1:10" ht="15" customHeight="1" x14ac:dyDescent="0.2">
      <c r="A29" s="416" t="s">
        <v>203</v>
      </c>
      <c r="B29" s="432">
        <v>342</v>
      </c>
      <c r="C29" s="432">
        <v>223</v>
      </c>
      <c r="D29" s="467">
        <v>0.65204678362573099</v>
      </c>
      <c r="E29" s="433">
        <v>0.63367179201854096</v>
      </c>
      <c r="F29" s="432">
        <v>216.71575287034102</v>
      </c>
      <c r="G29" s="433">
        <v>0.63892092099888442</v>
      </c>
      <c r="H29" s="432">
        <v>218.51095498161848</v>
      </c>
      <c r="I29" s="432">
        <v>4</v>
      </c>
      <c r="J29" s="434">
        <f t="shared" si="1"/>
        <v>40000</v>
      </c>
    </row>
    <row r="30" spans="1:10" ht="15" customHeight="1" x14ac:dyDescent="0.2">
      <c r="A30" s="416" t="s">
        <v>204</v>
      </c>
      <c r="B30" s="432">
        <v>391</v>
      </c>
      <c r="C30" s="432">
        <v>239</v>
      </c>
      <c r="D30" s="467">
        <v>0.61125319693094626</v>
      </c>
      <c r="E30" s="433">
        <v>0.62084261291298115</v>
      </c>
      <c r="F30" s="432">
        <v>242.74946164897563</v>
      </c>
      <c r="G30" s="433">
        <v>0.62517436724693265</v>
      </c>
      <c r="H30" s="432">
        <v>244.44317759355067</v>
      </c>
      <c r="I30" s="432">
        <v>0</v>
      </c>
      <c r="J30" s="434">
        <f t="shared" si="1"/>
        <v>0</v>
      </c>
    </row>
    <row r="31" spans="1:10" ht="15" customHeight="1" x14ac:dyDescent="0.2">
      <c r="A31" s="416" t="s">
        <v>36</v>
      </c>
      <c r="B31" s="432">
        <v>1214</v>
      </c>
      <c r="C31" s="432">
        <v>817</v>
      </c>
      <c r="D31" s="467">
        <v>0.67298187808896215</v>
      </c>
      <c r="E31" s="433">
        <v>0.67658467987663373</v>
      </c>
      <c r="F31" s="432">
        <v>821.37380137023331</v>
      </c>
      <c r="G31" s="433">
        <v>0.68084651697824261</v>
      </c>
      <c r="H31" s="432">
        <v>826.54767161158657</v>
      </c>
      <c r="I31" s="432">
        <v>0</v>
      </c>
      <c r="J31" s="434">
        <f t="shared" si="1"/>
        <v>0</v>
      </c>
    </row>
    <row r="32" spans="1:10" ht="15" customHeight="1" x14ac:dyDescent="0.2">
      <c r="A32" s="416" t="s">
        <v>131</v>
      </c>
      <c r="B32" s="432">
        <v>791</v>
      </c>
      <c r="C32" s="432">
        <v>488</v>
      </c>
      <c r="D32" s="467">
        <v>0.61694058154235143</v>
      </c>
      <c r="E32" s="433">
        <v>0.66085740343903043</v>
      </c>
      <c r="F32" s="432">
        <v>522.73820612027305</v>
      </c>
      <c r="G32" s="433">
        <v>0.66839524930842531</v>
      </c>
      <c r="H32" s="432">
        <v>528.70064220296445</v>
      </c>
      <c r="I32" s="432">
        <v>0</v>
      </c>
      <c r="J32" s="434">
        <f t="shared" si="1"/>
        <v>0</v>
      </c>
    </row>
    <row r="33" spans="1:14" ht="15" customHeight="1" x14ac:dyDescent="0.2">
      <c r="A33" s="416" t="s">
        <v>205</v>
      </c>
      <c r="B33" s="432">
        <v>1818</v>
      </c>
      <c r="C33" s="432">
        <v>1175</v>
      </c>
      <c r="D33" s="467">
        <v>0.64631463146314627</v>
      </c>
      <c r="E33" s="433">
        <v>0.64732037461781788</v>
      </c>
      <c r="F33" s="432">
        <v>1176.828441055193</v>
      </c>
      <c r="G33" s="433">
        <v>0.65112259693284225</v>
      </c>
      <c r="H33" s="432">
        <v>1183.7408812239073</v>
      </c>
      <c r="I33" s="432">
        <v>0</v>
      </c>
      <c r="J33" s="434">
        <f t="shared" si="1"/>
        <v>0</v>
      </c>
    </row>
    <row r="34" spans="1:14" ht="15" customHeight="1" x14ac:dyDescent="0.2">
      <c r="A34" s="416" t="s">
        <v>206</v>
      </c>
      <c r="B34" s="432">
        <v>1848</v>
      </c>
      <c r="C34" s="432">
        <v>1185</v>
      </c>
      <c r="D34" s="467">
        <v>0.64123376623376627</v>
      </c>
      <c r="E34" s="433">
        <v>0.64666758192947693</v>
      </c>
      <c r="F34" s="432">
        <v>1195.0416914056734</v>
      </c>
      <c r="G34" s="433">
        <v>0.65118463983050612</v>
      </c>
      <c r="H34" s="432">
        <v>1203.3892144067754</v>
      </c>
      <c r="I34" s="432">
        <v>0</v>
      </c>
      <c r="J34" s="434">
        <f t="shared" si="1"/>
        <v>0</v>
      </c>
    </row>
    <row r="35" spans="1:14" ht="15" customHeight="1" x14ac:dyDescent="0.2">
      <c r="A35" s="416" t="s">
        <v>70</v>
      </c>
      <c r="B35" s="432">
        <v>2617</v>
      </c>
      <c r="C35" s="432">
        <v>1658</v>
      </c>
      <c r="D35" s="467">
        <v>0.63354986625907528</v>
      </c>
      <c r="E35" s="433">
        <v>0.59484701913324056</v>
      </c>
      <c r="F35" s="432">
        <v>1556.7146490716905</v>
      </c>
      <c r="G35" s="433">
        <v>0.60046997531730273</v>
      </c>
      <c r="H35" s="432">
        <v>1571.4299254053813</v>
      </c>
      <c r="I35" s="432">
        <v>87</v>
      </c>
      <c r="J35" s="434">
        <f t="shared" si="1"/>
        <v>870000</v>
      </c>
    </row>
    <row r="36" spans="1:14" ht="15" customHeight="1" x14ac:dyDescent="0.2">
      <c r="A36" s="416" t="s">
        <v>117</v>
      </c>
      <c r="B36" s="432">
        <v>1153</v>
      </c>
      <c r="C36" s="432">
        <v>749</v>
      </c>
      <c r="D36" s="467">
        <v>0.64960971379011279</v>
      </c>
      <c r="E36" s="433">
        <v>0.66453731922508152</v>
      </c>
      <c r="F36" s="432">
        <v>766.21152906651901</v>
      </c>
      <c r="G36" s="433">
        <v>0.66832797739479632</v>
      </c>
      <c r="H36" s="432">
        <v>770.58215793620013</v>
      </c>
      <c r="I36" s="432">
        <v>0</v>
      </c>
      <c r="J36" s="434">
        <f t="shared" si="1"/>
        <v>0</v>
      </c>
    </row>
    <row r="37" spans="1:14" ht="15" customHeight="1" x14ac:dyDescent="0.2">
      <c r="A37" s="421" t="s">
        <v>207</v>
      </c>
      <c r="B37" s="435">
        <v>39415</v>
      </c>
      <c r="C37" s="435">
        <v>25709</v>
      </c>
      <c r="D37" s="494">
        <v>0.66115159414468572</v>
      </c>
      <c r="E37" s="494">
        <v>0.65384497461371072</v>
      </c>
      <c r="F37" s="435">
        <v>25394.256360285279</v>
      </c>
      <c r="G37" s="436">
        <v>0.6591949249178195</v>
      </c>
      <c r="H37" s="435">
        <v>25588.327618486011</v>
      </c>
      <c r="I37" s="435">
        <v>351</v>
      </c>
      <c r="J37" s="437">
        <f>SUM(J6:J22,J28:J36)</f>
        <v>3510000</v>
      </c>
    </row>
    <row r="38" spans="1:14" ht="15" customHeight="1" x14ac:dyDescent="0.2">
      <c r="A38" s="416" t="s">
        <v>208</v>
      </c>
      <c r="B38" s="432">
        <v>1589</v>
      </c>
      <c r="C38" s="432">
        <v>1300</v>
      </c>
      <c r="D38" s="433">
        <v>0.81812460667086218</v>
      </c>
      <c r="E38" s="433">
        <v>0.84142026148296334</v>
      </c>
      <c r="F38" s="432">
        <v>1337.0167954964288</v>
      </c>
      <c r="G38" s="433">
        <v>0.84638055156521508</v>
      </c>
      <c r="H38" s="432">
        <v>1344.8986964371268</v>
      </c>
      <c r="I38" s="432">
        <v>0</v>
      </c>
      <c r="J38" s="434">
        <f t="shared" si="1"/>
        <v>0</v>
      </c>
      <c r="M38" s="412"/>
      <c r="N38" s="412"/>
    </row>
    <row r="39" spans="1:14" ht="15" customHeight="1" x14ac:dyDescent="0.2">
      <c r="A39" s="416" t="s">
        <v>140</v>
      </c>
      <c r="B39" s="432">
        <v>2760</v>
      </c>
      <c r="C39" s="432">
        <v>2183</v>
      </c>
      <c r="D39" s="433">
        <v>0.79094202898550725</v>
      </c>
      <c r="E39" s="433">
        <v>0.79210271045297986</v>
      </c>
      <c r="F39" s="432">
        <v>2186.2034808502244</v>
      </c>
      <c r="G39" s="433">
        <v>0.79786869899685531</v>
      </c>
      <c r="H39" s="432">
        <v>2202.1176092313208</v>
      </c>
      <c r="I39" s="432">
        <v>0</v>
      </c>
      <c r="J39" s="434">
        <f t="shared" si="1"/>
        <v>0</v>
      </c>
      <c r="M39" s="412"/>
      <c r="N39" s="412"/>
    </row>
    <row r="40" spans="1:14" ht="15" customHeight="1" x14ac:dyDescent="0.2">
      <c r="A40" s="416" t="s">
        <v>209</v>
      </c>
      <c r="B40" s="432">
        <v>3831</v>
      </c>
      <c r="C40" s="432">
        <v>3310</v>
      </c>
      <c r="D40" s="433">
        <v>0.86400417645523364</v>
      </c>
      <c r="E40" s="433">
        <v>0.84950050204286831</v>
      </c>
      <c r="F40" s="432">
        <v>3254.4364233262286</v>
      </c>
      <c r="G40" s="433">
        <v>0.85367013985388773</v>
      </c>
      <c r="H40" s="432">
        <v>3270.410305780244</v>
      </c>
      <c r="I40" s="432">
        <v>40</v>
      </c>
      <c r="J40" s="434">
        <f t="shared" si="1"/>
        <v>400000</v>
      </c>
      <c r="M40" s="412"/>
      <c r="N40" s="412"/>
    </row>
    <row r="41" spans="1:14" ht="15" customHeight="1" x14ac:dyDescent="0.2">
      <c r="A41" s="416" t="s">
        <v>210</v>
      </c>
      <c r="B41" s="432">
        <v>1559</v>
      </c>
      <c r="C41" s="432">
        <v>1303</v>
      </c>
      <c r="D41" s="433">
        <v>0.83579217447081466</v>
      </c>
      <c r="E41" s="433">
        <v>0.86867862942339424</v>
      </c>
      <c r="F41" s="432">
        <v>1354.2699832710716</v>
      </c>
      <c r="G41" s="433">
        <v>0.87243918855976699</v>
      </c>
      <c r="H41" s="432">
        <v>1360.1326949646768</v>
      </c>
      <c r="I41" s="432">
        <v>0</v>
      </c>
      <c r="J41" s="434">
        <f t="shared" si="1"/>
        <v>0</v>
      </c>
      <c r="M41" s="412"/>
      <c r="N41" s="412"/>
    </row>
    <row r="42" spans="1:14" ht="15" customHeight="1" x14ac:dyDescent="0.2">
      <c r="A42" s="416" t="s">
        <v>211</v>
      </c>
      <c r="B42" s="432">
        <v>2975</v>
      </c>
      <c r="C42" s="432">
        <v>2448</v>
      </c>
      <c r="D42" s="433">
        <v>0.82285714285714284</v>
      </c>
      <c r="E42" s="433">
        <v>0.82588148957884999</v>
      </c>
      <c r="F42" s="432">
        <v>2456.9974314970787</v>
      </c>
      <c r="G42" s="433">
        <v>0.829779089404306</v>
      </c>
      <c r="H42" s="432">
        <v>2468.5927909778102</v>
      </c>
      <c r="I42" s="432">
        <v>0</v>
      </c>
      <c r="J42" s="434">
        <f t="shared" si="1"/>
        <v>0</v>
      </c>
      <c r="M42" s="412"/>
      <c r="N42" s="412"/>
    </row>
    <row r="43" spans="1:14" ht="15" customHeight="1" x14ac:dyDescent="0.2">
      <c r="A43" s="416" t="s">
        <v>212</v>
      </c>
      <c r="B43" s="432">
        <v>663</v>
      </c>
      <c r="C43" s="432">
        <v>550</v>
      </c>
      <c r="D43" s="433">
        <v>0.82956259426847667</v>
      </c>
      <c r="E43" s="433">
        <v>0.84943279802352478</v>
      </c>
      <c r="F43" s="432">
        <v>563.17394508959694</v>
      </c>
      <c r="G43" s="433">
        <v>0.85197936486410464</v>
      </c>
      <c r="H43" s="432">
        <v>564.86231890490137</v>
      </c>
      <c r="I43" s="432">
        <v>0</v>
      </c>
      <c r="J43" s="434">
        <f t="shared" si="1"/>
        <v>0</v>
      </c>
      <c r="M43" s="412"/>
      <c r="N43" s="412"/>
    </row>
    <row r="44" spans="1:14" ht="15" customHeight="1" x14ac:dyDescent="0.2">
      <c r="A44" s="416" t="s">
        <v>213</v>
      </c>
      <c r="B44" s="432">
        <v>2282</v>
      </c>
      <c r="C44" s="432">
        <v>2075</v>
      </c>
      <c r="D44" s="433">
        <v>0.90929009640666081</v>
      </c>
      <c r="E44" s="433">
        <v>0.90722979542722237</v>
      </c>
      <c r="F44" s="432">
        <v>2070.2983931649214</v>
      </c>
      <c r="G44" s="433">
        <v>0.91116245777232163</v>
      </c>
      <c r="H44" s="432">
        <v>2079.2727286364379</v>
      </c>
      <c r="I44" s="432">
        <v>0</v>
      </c>
      <c r="J44" s="434">
        <f t="shared" si="1"/>
        <v>0</v>
      </c>
      <c r="M44" s="412"/>
      <c r="N44" s="412"/>
    </row>
    <row r="45" spans="1:14" ht="15" customHeight="1" x14ac:dyDescent="0.2">
      <c r="A45" s="421" t="s">
        <v>214</v>
      </c>
      <c r="B45" s="435">
        <v>15659</v>
      </c>
      <c r="C45" s="435">
        <v>13169</v>
      </c>
      <c r="D45" s="436">
        <v>0.8386532600163854</v>
      </c>
      <c r="E45" s="436">
        <v>0.84774945520454337</v>
      </c>
      <c r="F45" s="435">
        <v>13222.39645269555</v>
      </c>
      <c r="G45" s="436">
        <v>0.8518970701452081</v>
      </c>
      <c r="H45" s="435">
        <v>13290.287144932518</v>
      </c>
      <c r="I45" s="435">
        <v>40</v>
      </c>
      <c r="J45" s="437">
        <f>SUM(J38:J44)</f>
        <v>400000</v>
      </c>
    </row>
    <row r="46" spans="1:14" ht="15" customHeight="1" x14ac:dyDescent="0.2">
      <c r="A46" s="425" t="s">
        <v>215</v>
      </c>
      <c r="B46" s="438">
        <f>B37+B45</f>
        <v>55074</v>
      </c>
      <c r="C46" s="438">
        <f>C37+C45</f>
        <v>38878</v>
      </c>
      <c r="D46" s="426">
        <v>0.69473299039068304</v>
      </c>
      <c r="E46" s="426">
        <v>0.69052960607684122</v>
      </c>
      <c r="F46" s="438">
        <f>F37+F45</f>
        <v>38616.652812980828</v>
      </c>
      <c r="G46" s="426">
        <v>0.69565208752840646</v>
      </c>
      <c r="H46" s="438">
        <f>H37+H45</f>
        <v>38878.614763418533</v>
      </c>
      <c r="I46" s="438">
        <v>342.25194841033112</v>
      </c>
      <c r="J46" s="439">
        <f>J45+J37</f>
        <v>3910000</v>
      </c>
    </row>
    <row r="47" spans="1:14" ht="15" customHeight="1" x14ac:dyDescent="0.2">
      <c r="A47" s="440" t="s">
        <v>278</v>
      </c>
      <c r="B47" s="441"/>
      <c r="C47" s="441"/>
      <c r="D47" s="442"/>
      <c r="E47" s="442"/>
      <c r="F47" s="441"/>
      <c r="G47" s="442"/>
      <c r="H47" s="441"/>
      <c r="I47" s="441"/>
      <c r="J47" s="443">
        <v>10000</v>
      </c>
    </row>
  </sheetData>
  <mergeCells count="3">
    <mergeCell ref="A1:J1"/>
    <mergeCell ref="A2:J2"/>
    <mergeCell ref="A3:J3"/>
  </mergeCells>
  <printOptions horizontalCentered="1"/>
  <pageMargins left="0.1" right="0.1" top="0.5" bottom="0.5" header="0" footer="0.3"/>
  <pageSetup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pane xSplit="1" ySplit="5" topLeftCell="B6" activePane="bottomRight" state="frozen"/>
      <selection activeCell="B30" sqref="B30"/>
      <selection pane="topRight" activeCell="B30" sqref="B30"/>
      <selection pane="bottomLeft" activeCell="B30" sqref="B30"/>
      <selection pane="bottomRight" activeCell="H23" sqref="H23"/>
    </sheetView>
  </sheetViews>
  <sheetFormatPr defaultRowHeight="15" customHeight="1" x14ac:dyDescent="0.2"/>
  <cols>
    <col min="1" max="1" width="40.28515625" style="411" customWidth="1"/>
    <col min="2" max="4" width="5.7109375" style="411" bestFit="1" customWidth="1"/>
    <col min="5" max="5" width="9.5703125" style="411" bestFit="1" customWidth="1"/>
    <col min="6" max="6" width="11.42578125" style="411" bestFit="1" customWidth="1"/>
    <col min="7" max="7" width="12.28515625" style="411" bestFit="1" customWidth="1"/>
    <col min="8" max="8" width="11" style="411" customWidth="1"/>
    <col min="9" max="16384" width="9.140625" style="411"/>
  </cols>
  <sheetData>
    <row r="1" spans="1:8" ht="15" customHeight="1" x14ac:dyDescent="0.2">
      <c r="A1" s="509" t="s">
        <v>305</v>
      </c>
      <c r="B1" s="509"/>
      <c r="C1" s="509"/>
      <c r="D1" s="509"/>
      <c r="E1" s="509"/>
      <c r="F1" s="509"/>
      <c r="G1" s="509"/>
      <c r="H1" s="509"/>
    </row>
    <row r="2" spans="1:8" ht="15" customHeight="1" x14ac:dyDescent="0.2">
      <c r="A2" s="509" t="s">
        <v>72</v>
      </c>
      <c r="B2" s="509"/>
      <c r="C2" s="509"/>
      <c r="D2" s="509"/>
      <c r="E2" s="509"/>
      <c r="F2" s="509"/>
      <c r="G2" s="509"/>
      <c r="H2" s="509"/>
    </row>
    <row r="3" spans="1:8" ht="15" customHeight="1" x14ac:dyDescent="0.2">
      <c r="A3" s="509" t="s">
        <v>331</v>
      </c>
      <c r="B3" s="509"/>
      <c r="C3" s="509"/>
      <c r="D3" s="509"/>
      <c r="E3" s="509"/>
      <c r="F3" s="509"/>
      <c r="G3" s="509"/>
      <c r="H3" s="509"/>
    </row>
    <row r="4" spans="1:8" ht="15" customHeight="1" x14ac:dyDescent="0.2">
      <c r="A4" s="464"/>
      <c r="B4" s="510"/>
      <c r="C4" s="510"/>
      <c r="D4" s="510"/>
      <c r="E4" s="298" t="s">
        <v>216</v>
      </c>
      <c r="F4" s="492">
        <f>[1]Denominator!I5</f>
        <v>2018</v>
      </c>
      <c r="G4" s="465" t="s">
        <v>217</v>
      </c>
      <c r="H4" s="454" t="s">
        <v>287</v>
      </c>
    </row>
    <row r="5" spans="1:8" x14ac:dyDescent="0.25">
      <c r="A5" s="299" t="s">
        <v>218</v>
      </c>
      <c r="B5" s="490">
        <f>[1]Rate!G5</f>
        <v>2016</v>
      </c>
      <c r="C5" s="490">
        <f>[1]Rate!H5</f>
        <v>2017</v>
      </c>
      <c r="D5" s="490">
        <f>[1]Rate!I5</f>
        <v>2018</v>
      </c>
      <c r="E5" s="491" t="s">
        <v>330</v>
      </c>
      <c r="F5" s="466" t="s">
        <v>219</v>
      </c>
      <c r="G5" s="299" t="s">
        <v>220</v>
      </c>
      <c r="H5" s="299" t="s">
        <v>188</v>
      </c>
    </row>
    <row r="6" spans="1:8" ht="15" customHeight="1" x14ac:dyDescent="0.2">
      <c r="A6" s="444" t="s">
        <v>189</v>
      </c>
      <c r="B6" s="482">
        <f>[1]Rate!G6</f>
        <v>0.58974358974358998</v>
      </c>
      <c r="C6" s="482">
        <f>[1]Rate!H6</f>
        <v>0.56000000000000005</v>
      </c>
      <c r="D6" s="482">
        <f>[1]Rate!I6</f>
        <v>0.625</v>
      </c>
      <c r="E6" s="482">
        <f>D6-B6</f>
        <v>3.525641025641002E-2</v>
      </c>
      <c r="F6" s="483">
        <f>[1]Denominator!I6</f>
        <v>80</v>
      </c>
      <c r="G6" s="417">
        <f>IF(E6&gt;0.005,ROUND((E6-0.005)*F6,0),0)</f>
        <v>2</v>
      </c>
      <c r="H6" s="418">
        <f t="shared" ref="H6:H21" si="0">G6*H$47</f>
        <v>8000</v>
      </c>
    </row>
    <row r="7" spans="1:8" ht="15" customHeight="1" x14ac:dyDescent="0.2">
      <c r="A7" s="300" t="s">
        <v>190</v>
      </c>
      <c r="B7" s="484">
        <f>[1]Rate!G7</f>
        <v>0.57634730538922196</v>
      </c>
      <c r="C7" s="484">
        <f>[1]Rate!H7</f>
        <v>0.60650887573964496</v>
      </c>
      <c r="D7" s="484">
        <f>[1]Rate!I7</f>
        <v>0.65753424657534199</v>
      </c>
      <c r="E7" s="484">
        <f t="shared" ref="E7:E46" si="1">D7-B7</f>
        <v>8.1186941186120021E-2</v>
      </c>
      <c r="F7" s="483">
        <f>[1]Denominator!I7</f>
        <v>803</v>
      </c>
      <c r="G7" s="416">
        <f t="shared" ref="G7:G44" si="2">IF(E7&gt;0.005,ROUND((E7-0.005)*F7,0),0)</f>
        <v>61</v>
      </c>
      <c r="H7" s="420">
        <f>G7*H$47</f>
        <v>244000</v>
      </c>
    </row>
    <row r="8" spans="1:8" ht="15" customHeight="1" x14ac:dyDescent="0.2">
      <c r="A8" s="300" t="s">
        <v>191</v>
      </c>
      <c r="B8" s="484">
        <f>[1]Rate!G8</f>
        <v>0.54807692307692302</v>
      </c>
      <c r="C8" s="484">
        <f>[1]Rate!H8</f>
        <v>0.60360360360360399</v>
      </c>
      <c r="D8" s="484">
        <f>[1]Rate!I8</f>
        <v>0.61386138613861396</v>
      </c>
      <c r="E8" s="484">
        <f t="shared" si="1"/>
        <v>6.5784463061690945E-2</v>
      </c>
      <c r="F8" s="483">
        <f>[1]Denominator!I8</f>
        <v>202</v>
      </c>
      <c r="G8" s="416">
        <f t="shared" si="2"/>
        <v>12</v>
      </c>
      <c r="H8" s="420">
        <f t="shared" si="0"/>
        <v>48000</v>
      </c>
    </row>
    <row r="9" spans="1:8" ht="15" customHeight="1" x14ac:dyDescent="0.2">
      <c r="A9" s="300" t="s">
        <v>7</v>
      </c>
      <c r="B9" s="484">
        <f>[1]Rate!G9</f>
        <v>0.57055214723926395</v>
      </c>
      <c r="C9" s="484">
        <f>[1]Rate!H9</f>
        <v>0.62091503267973902</v>
      </c>
      <c r="D9" s="484">
        <f>[1]Rate!I9</f>
        <v>0.625</v>
      </c>
      <c r="E9" s="484">
        <f t="shared" si="1"/>
        <v>5.4447852760736049E-2</v>
      </c>
      <c r="F9" s="483">
        <f>[1]Denominator!I9</f>
        <v>160</v>
      </c>
      <c r="G9" s="416">
        <f t="shared" si="2"/>
        <v>8</v>
      </c>
      <c r="H9" s="420">
        <f t="shared" si="0"/>
        <v>32000</v>
      </c>
    </row>
    <row r="10" spans="1:8" ht="15" customHeight="1" x14ac:dyDescent="0.2">
      <c r="A10" s="300" t="s">
        <v>9</v>
      </c>
      <c r="B10" s="484">
        <f>[1]Rate!G10</f>
        <v>0.62</v>
      </c>
      <c r="C10" s="484">
        <f>[1]Rate!H10</f>
        <v>0.60497667185070003</v>
      </c>
      <c r="D10" s="484">
        <f>[1]Rate!I10</f>
        <v>0.59836065573770503</v>
      </c>
      <c r="E10" s="484">
        <f t="shared" si="1"/>
        <v>-2.1639344262294968E-2</v>
      </c>
      <c r="F10" s="483">
        <f>[1]Denominator!I10</f>
        <v>1342</v>
      </c>
      <c r="G10" s="416">
        <f t="shared" si="2"/>
        <v>0</v>
      </c>
      <c r="H10" s="420">
        <f t="shared" si="0"/>
        <v>0</v>
      </c>
    </row>
    <row r="11" spans="1:8" ht="15" customHeight="1" x14ac:dyDescent="0.2">
      <c r="A11" s="300" t="s">
        <v>192</v>
      </c>
      <c r="B11" s="484">
        <f>[1]Rate!G11</f>
        <v>0.66885245901639301</v>
      </c>
      <c r="C11" s="484">
        <f>[1]Rate!H11</f>
        <v>0.67353951890034403</v>
      </c>
      <c r="D11" s="484">
        <f>[1]Rate!I11</f>
        <v>0.66292134831460703</v>
      </c>
      <c r="E11" s="484">
        <f t="shared" si="1"/>
        <v>-5.9311107017859799E-3</v>
      </c>
      <c r="F11" s="483">
        <f>[1]Denominator!I11</f>
        <v>356</v>
      </c>
      <c r="G11" s="416">
        <f t="shared" si="2"/>
        <v>0</v>
      </c>
      <c r="H11" s="420">
        <f t="shared" si="0"/>
        <v>0</v>
      </c>
    </row>
    <row r="12" spans="1:8" ht="15" customHeight="1" x14ac:dyDescent="0.2">
      <c r="A12" s="300" t="s">
        <v>221</v>
      </c>
      <c r="B12" s="484">
        <f>[1]Rate!G12</f>
        <v>0.48901098901098899</v>
      </c>
      <c r="C12" s="484">
        <f>[1]Rate!H12</f>
        <v>0.60355029585798803</v>
      </c>
      <c r="D12" s="484">
        <f>[1]Rate!I12</f>
        <v>0.57746478873239404</v>
      </c>
      <c r="E12" s="484">
        <f t="shared" si="1"/>
        <v>8.8453799721405046E-2</v>
      </c>
      <c r="F12" s="483">
        <f>[1]Denominator!I12</f>
        <v>142</v>
      </c>
      <c r="G12" s="416">
        <f t="shared" si="2"/>
        <v>12</v>
      </c>
      <c r="H12" s="420">
        <f t="shared" si="0"/>
        <v>48000</v>
      </c>
    </row>
    <row r="13" spans="1:8" ht="15" customHeight="1" x14ac:dyDescent="0.2">
      <c r="A13" s="300" t="s">
        <v>139</v>
      </c>
      <c r="B13" s="484">
        <f>[1]Rate!G13</f>
        <v>0.60915157292659705</v>
      </c>
      <c r="C13" s="484">
        <f>[1]Rate!H13</f>
        <v>0.61061946902654896</v>
      </c>
      <c r="D13" s="484">
        <f>[1]Rate!I13</f>
        <v>0.58702368692069995</v>
      </c>
      <c r="E13" s="484">
        <f t="shared" si="1"/>
        <v>-2.2127886005897102E-2</v>
      </c>
      <c r="F13" s="483">
        <f>[1]Denominator!I13</f>
        <v>971</v>
      </c>
      <c r="G13" s="416">
        <f t="shared" si="2"/>
        <v>0</v>
      </c>
      <c r="H13" s="420">
        <f t="shared" si="0"/>
        <v>0</v>
      </c>
    </row>
    <row r="14" spans="1:8" ht="15" customHeight="1" x14ac:dyDescent="0.2">
      <c r="A14" s="300" t="s">
        <v>193</v>
      </c>
      <c r="B14" s="484">
        <f>[1]Rate!G14</f>
        <v>0.56891495601173003</v>
      </c>
      <c r="C14" s="484">
        <f>[1]Rate!H14</f>
        <v>0.610510046367852</v>
      </c>
      <c r="D14" s="484">
        <f>[1]Rate!I14</f>
        <v>0.62549800796812705</v>
      </c>
      <c r="E14" s="484">
        <f t="shared" si="1"/>
        <v>5.6583051956397012E-2</v>
      </c>
      <c r="F14" s="483">
        <f>[1]Denominator!I14</f>
        <v>502</v>
      </c>
      <c r="G14" s="416">
        <f t="shared" si="2"/>
        <v>26</v>
      </c>
      <c r="H14" s="420">
        <f t="shared" si="0"/>
        <v>104000</v>
      </c>
    </row>
    <row r="15" spans="1:8" ht="15" customHeight="1" x14ac:dyDescent="0.2">
      <c r="A15" s="300" t="s">
        <v>17</v>
      </c>
      <c r="B15" s="484">
        <f>[1]Rate!G15</f>
        <v>0.58415841584158401</v>
      </c>
      <c r="C15" s="484">
        <f>[1]Rate!H15</f>
        <v>0.57894736842105299</v>
      </c>
      <c r="D15" s="484">
        <f>[1]Rate!I15</f>
        <v>0.62037037037037002</v>
      </c>
      <c r="E15" s="484">
        <f t="shared" si="1"/>
        <v>3.6211954528786006E-2</v>
      </c>
      <c r="F15" s="483">
        <f>[1]Denominator!I15</f>
        <v>216</v>
      </c>
      <c r="G15" s="416">
        <f t="shared" si="2"/>
        <v>7</v>
      </c>
      <c r="H15" s="420">
        <f t="shared" si="0"/>
        <v>28000</v>
      </c>
    </row>
    <row r="16" spans="1:8" ht="15" customHeight="1" x14ac:dyDescent="0.2">
      <c r="A16" s="300" t="s">
        <v>194</v>
      </c>
      <c r="B16" s="484">
        <f>[1]Rate!G16</f>
        <v>0.53111111111111098</v>
      </c>
      <c r="C16" s="484">
        <f>[1]Rate!H16</f>
        <v>0.53958587088915999</v>
      </c>
      <c r="D16" s="484">
        <f>[1]Rate!I16</f>
        <v>0.58483530142945905</v>
      </c>
      <c r="E16" s="484">
        <f t="shared" si="1"/>
        <v>5.3724190318348075E-2</v>
      </c>
      <c r="F16" s="483">
        <f>[1]Denominator!I16</f>
        <v>1609</v>
      </c>
      <c r="G16" s="416">
        <f t="shared" si="2"/>
        <v>78</v>
      </c>
      <c r="H16" s="420">
        <f t="shared" si="0"/>
        <v>312000</v>
      </c>
    </row>
    <row r="17" spans="1:8" ht="15" customHeight="1" x14ac:dyDescent="0.2">
      <c r="A17" s="300" t="s">
        <v>222</v>
      </c>
      <c r="B17" s="484">
        <f>[1]Rate!G17</f>
        <v>0.65151515151515105</v>
      </c>
      <c r="C17" s="484">
        <f>[1]Rate!H17</f>
        <v>0.60504201680672298</v>
      </c>
      <c r="D17" s="484">
        <f>[1]Rate!I17</f>
        <v>0.66911764705882304</v>
      </c>
      <c r="E17" s="484">
        <f t="shared" si="1"/>
        <v>1.7602495543671992E-2</v>
      </c>
      <c r="F17" s="483">
        <f>[1]Denominator!I17</f>
        <v>136</v>
      </c>
      <c r="G17" s="416">
        <f t="shared" si="2"/>
        <v>2</v>
      </c>
      <c r="H17" s="420">
        <f t="shared" si="0"/>
        <v>8000</v>
      </c>
    </row>
    <row r="18" spans="1:8" ht="15" customHeight="1" x14ac:dyDescent="0.2">
      <c r="A18" s="300" t="s">
        <v>196</v>
      </c>
      <c r="B18" s="484">
        <f>[1]Rate!G18</f>
        <v>0.51953125</v>
      </c>
      <c r="C18" s="484">
        <f>[1]Rate!H18</f>
        <v>0.56635514018691602</v>
      </c>
      <c r="D18" s="484">
        <f>[1]Rate!I18</f>
        <v>0.54838709677419395</v>
      </c>
      <c r="E18" s="484">
        <f t="shared" si="1"/>
        <v>2.8855846774193949E-2</v>
      </c>
      <c r="F18" s="483">
        <f>[1]Denominator!I18</f>
        <v>558</v>
      </c>
      <c r="G18" s="416">
        <f t="shared" si="2"/>
        <v>13</v>
      </c>
      <c r="H18" s="420">
        <f t="shared" si="0"/>
        <v>52000</v>
      </c>
    </row>
    <row r="19" spans="1:8" ht="15" customHeight="1" x14ac:dyDescent="0.2">
      <c r="A19" s="447" t="s">
        <v>223</v>
      </c>
      <c r="B19" s="484">
        <f>[1]Rate!G19</f>
        <v>0.71818181818181803</v>
      </c>
      <c r="C19" s="484">
        <f>[1]Rate!H19</f>
        <v>0.56950672645739897</v>
      </c>
      <c r="D19" s="484">
        <f>[1]Rate!I19</f>
        <v>0.56692913385826804</v>
      </c>
      <c r="E19" s="484">
        <f t="shared" si="1"/>
        <v>-0.15125268432354999</v>
      </c>
      <c r="F19" s="483">
        <f>[1]Denominator!I19</f>
        <v>254</v>
      </c>
      <c r="G19" s="416">
        <f t="shared" si="2"/>
        <v>0</v>
      </c>
      <c r="H19" s="420">
        <f t="shared" si="0"/>
        <v>0</v>
      </c>
    </row>
    <row r="20" spans="1:8" ht="15" customHeight="1" x14ac:dyDescent="0.2">
      <c r="A20" s="300" t="s">
        <v>132</v>
      </c>
      <c r="B20" s="484">
        <f>[1]Rate!G20</f>
        <v>0.60549777117384795</v>
      </c>
      <c r="C20" s="484">
        <f>[1]Rate!H20</f>
        <v>0.62194315928618604</v>
      </c>
      <c r="D20" s="484">
        <f>[1]Rate!I20</f>
        <v>0.61384820239680404</v>
      </c>
      <c r="E20" s="484">
        <f t="shared" si="1"/>
        <v>8.3504312229560895E-3</v>
      </c>
      <c r="F20" s="483">
        <f>[1]Denominator!I20</f>
        <v>1502</v>
      </c>
      <c r="G20" s="416">
        <f t="shared" si="2"/>
        <v>5</v>
      </c>
      <c r="H20" s="420">
        <f t="shared" si="0"/>
        <v>20000</v>
      </c>
    </row>
    <row r="21" spans="1:8" ht="15" customHeight="1" x14ac:dyDescent="0.2">
      <c r="A21" s="300" t="s">
        <v>133</v>
      </c>
      <c r="B21" s="484">
        <f>[1]Rate!G21</f>
        <v>0.59744168547780296</v>
      </c>
      <c r="C21" s="484">
        <f>[1]Rate!H21</f>
        <v>0.57829328914664502</v>
      </c>
      <c r="D21" s="484">
        <f>[1]Rate!I21</f>
        <v>0.58653846153846201</v>
      </c>
      <c r="E21" s="484">
        <f t="shared" si="1"/>
        <v>-1.0903223939340956E-2</v>
      </c>
      <c r="F21" s="483">
        <f>[1]Denominator!I21</f>
        <v>1248</v>
      </c>
      <c r="G21" s="416">
        <f t="shared" si="2"/>
        <v>0</v>
      </c>
      <c r="H21" s="420">
        <f t="shared" si="0"/>
        <v>0</v>
      </c>
    </row>
    <row r="22" spans="1:8" ht="15" customHeight="1" x14ac:dyDescent="0.2">
      <c r="A22" s="445" t="s">
        <v>63</v>
      </c>
      <c r="B22" s="485">
        <f>[1]Rate!G22</f>
        <v>0.61250000000000004</v>
      </c>
      <c r="C22" s="485">
        <f>[1]Rate!H22</f>
        <v>0.66063348416289591</v>
      </c>
      <c r="D22" s="485">
        <f>[1]Rate!I22</f>
        <v>0.63057324840764328</v>
      </c>
      <c r="E22" s="485">
        <f t="shared" si="1"/>
        <v>1.8073248407643239E-2</v>
      </c>
      <c r="F22" s="486">
        <f>[1]Denominator!I22</f>
        <v>471</v>
      </c>
      <c r="G22" s="421">
        <f>SUM(G23:G27)</f>
        <v>14</v>
      </c>
      <c r="H22" s="422">
        <f>SUM(H23:H27)</f>
        <v>56000</v>
      </c>
    </row>
    <row r="23" spans="1:8" ht="15" customHeight="1" x14ac:dyDescent="0.2">
      <c r="A23" s="300" t="s">
        <v>271</v>
      </c>
      <c r="B23" s="484">
        <f>[1]Rate!G23</f>
        <v>0.66666666666666696</v>
      </c>
      <c r="C23" s="484">
        <f>[1]Rate!H23</f>
        <v>0.64948453608247403</v>
      </c>
      <c r="D23" s="484">
        <f>[1]Rate!I23</f>
        <v>0.70103092783505105</v>
      </c>
      <c r="E23" s="484">
        <f t="shared" si="1"/>
        <v>3.4364261168384092E-2</v>
      </c>
      <c r="F23" s="483">
        <f>[1]Denominator!I23</f>
        <v>97</v>
      </c>
      <c r="G23" s="416">
        <f t="shared" si="2"/>
        <v>3</v>
      </c>
      <c r="H23" s="420">
        <f t="shared" ref="H23:H36" si="3">G23*H$47</f>
        <v>12000</v>
      </c>
    </row>
    <row r="24" spans="1:8" ht="15" customHeight="1" x14ac:dyDescent="0.2">
      <c r="A24" s="300" t="s">
        <v>272</v>
      </c>
      <c r="B24" s="484">
        <f>[1]Rate!G24</f>
        <v>0.54237288135593198</v>
      </c>
      <c r="C24" s="484">
        <f>[1]Rate!H24</f>
        <v>0.58536585365853699</v>
      </c>
      <c r="D24" s="484">
        <f>[1]Rate!I24</f>
        <v>0.63793103448275901</v>
      </c>
      <c r="E24" s="484">
        <f t="shared" si="1"/>
        <v>9.5558153126827028E-2</v>
      </c>
      <c r="F24" s="483">
        <f>[1]Denominator!I24</f>
        <v>116</v>
      </c>
      <c r="G24" s="416">
        <f t="shared" si="2"/>
        <v>11</v>
      </c>
      <c r="H24" s="420">
        <f t="shared" si="3"/>
        <v>44000</v>
      </c>
    </row>
    <row r="25" spans="1:8" ht="15" customHeight="1" x14ac:dyDescent="0.2">
      <c r="A25" s="300" t="s">
        <v>273</v>
      </c>
      <c r="B25" s="484">
        <f>[1]Rate!G25</f>
        <v>0.60824742268041199</v>
      </c>
      <c r="C25" s="484">
        <f>[1]Rate!H25</f>
        <v>0.69662921348314599</v>
      </c>
      <c r="D25" s="484">
        <f>[1]Rate!I25</f>
        <v>0.55038759689922501</v>
      </c>
      <c r="E25" s="484">
        <f t="shared" si="1"/>
        <v>-5.785982578118698E-2</v>
      </c>
      <c r="F25" s="483">
        <f>[1]Denominator!I25</f>
        <v>129</v>
      </c>
      <c r="G25" s="416">
        <f t="shared" si="2"/>
        <v>0</v>
      </c>
      <c r="H25" s="420">
        <f t="shared" si="3"/>
        <v>0</v>
      </c>
    </row>
    <row r="26" spans="1:8" ht="15" customHeight="1" x14ac:dyDescent="0.2">
      <c r="A26" s="300" t="s">
        <v>274</v>
      </c>
      <c r="B26" s="484">
        <f>[1]Rate!G26</f>
        <v>0.67500000000000004</v>
      </c>
      <c r="C26" s="484">
        <f>[1]Rate!H26</f>
        <v>0.71153846153846201</v>
      </c>
      <c r="D26" s="484">
        <f>[1]Rate!I26</f>
        <v>0.68888888888888899</v>
      </c>
      <c r="E26" s="484">
        <f t="shared" si="1"/>
        <v>1.3888888888888951E-2</v>
      </c>
      <c r="F26" s="483">
        <f>[1]Denominator!I26</f>
        <v>45</v>
      </c>
      <c r="G26" s="416">
        <f t="shared" si="2"/>
        <v>0</v>
      </c>
      <c r="H26" s="420">
        <f t="shared" si="3"/>
        <v>0</v>
      </c>
    </row>
    <row r="27" spans="1:8" ht="15" customHeight="1" x14ac:dyDescent="0.2">
      <c r="A27" s="300" t="s">
        <v>275</v>
      </c>
      <c r="B27" s="484">
        <f>[1]Rate!G27</f>
        <v>0.63793103448275901</v>
      </c>
      <c r="C27" s="484">
        <f>[1]Rate!H27</f>
        <v>0.71604938271604901</v>
      </c>
      <c r="D27" s="484">
        <f>[1]Rate!I27</f>
        <v>0.63095238095238104</v>
      </c>
      <c r="E27" s="484">
        <f t="shared" si="1"/>
        <v>-6.9786535303779651E-3</v>
      </c>
      <c r="F27" s="483">
        <f>[1]Denominator!I27</f>
        <v>84</v>
      </c>
      <c r="G27" s="416">
        <f t="shared" si="2"/>
        <v>0</v>
      </c>
      <c r="H27" s="420">
        <f t="shared" si="3"/>
        <v>0</v>
      </c>
    </row>
    <row r="28" spans="1:8" ht="15" customHeight="1" x14ac:dyDescent="0.2">
      <c r="A28" s="300" t="s">
        <v>229</v>
      </c>
      <c r="B28" s="484">
        <f>[1]Rate!G28</f>
        <v>0.54609929078014197</v>
      </c>
      <c r="C28" s="484">
        <f>[1]Rate!H28</f>
        <v>0.56307692307692303</v>
      </c>
      <c r="D28" s="484">
        <f>[1]Rate!I28</f>
        <v>0.55830388692579502</v>
      </c>
      <c r="E28" s="484">
        <f t="shared" si="1"/>
        <v>1.2204596145653057E-2</v>
      </c>
      <c r="F28" s="483">
        <f>[1]Denominator!I28</f>
        <v>283</v>
      </c>
      <c r="G28" s="416">
        <f t="shared" si="2"/>
        <v>2</v>
      </c>
      <c r="H28" s="420">
        <f t="shared" si="3"/>
        <v>8000</v>
      </c>
    </row>
    <row r="29" spans="1:8" ht="15" customHeight="1" x14ac:dyDescent="0.2">
      <c r="A29" s="300" t="s">
        <v>203</v>
      </c>
      <c r="B29" s="484">
        <f>[1]Rate!G29</f>
        <v>0.56000000000000005</v>
      </c>
      <c r="C29" s="484">
        <f>[1]Rate!H29</f>
        <v>0.46428571428571402</v>
      </c>
      <c r="D29" s="484">
        <f>[1]Rate!I29</f>
        <v>0.48051948051948101</v>
      </c>
      <c r="E29" s="484">
        <f t="shared" si="1"/>
        <v>-7.9480519480519041E-2</v>
      </c>
      <c r="F29" s="483">
        <f>[1]Denominator!I29</f>
        <v>77</v>
      </c>
      <c r="G29" s="416">
        <f t="shared" si="2"/>
        <v>0</v>
      </c>
      <c r="H29" s="420">
        <f t="shared" si="3"/>
        <v>0</v>
      </c>
    </row>
    <row r="30" spans="1:8" ht="15" customHeight="1" x14ac:dyDescent="0.2">
      <c r="A30" s="300" t="s">
        <v>204</v>
      </c>
      <c r="B30" s="484">
        <f>[1]Rate!G30</f>
        <v>0.56818181818181801</v>
      </c>
      <c r="C30" s="484">
        <f>[1]Rate!H30</f>
        <v>0.59016393442622905</v>
      </c>
      <c r="D30" s="484">
        <f>[1]Rate!I30</f>
        <v>0.676056338028169</v>
      </c>
      <c r="E30" s="484">
        <f t="shared" si="1"/>
        <v>0.10787451984635099</v>
      </c>
      <c r="F30" s="483">
        <f>[1]Denominator!I30</f>
        <v>71</v>
      </c>
      <c r="G30" s="416">
        <f t="shared" si="2"/>
        <v>7</v>
      </c>
      <c r="H30" s="420">
        <f t="shared" si="3"/>
        <v>28000</v>
      </c>
    </row>
    <row r="31" spans="1:8" ht="15" customHeight="1" x14ac:dyDescent="0.2">
      <c r="A31" s="300" t="s">
        <v>36</v>
      </c>
      <c r="B31" s="484">
        <f>[1]Rate!G31</f>
        <v>0.61395348837209296</v>
      </c>
      <c r="C31" s="484">
        <f>[1]Rate!H31</f>
        <v>0.55000000000000004</v>
      </c>
      <c r="D31" s="484">
        <f>[1]Rate!I31</f>
        <v>0.59930313588850204</v>
      </c>
      <c r="E31" s="484">
        <f t="shared" si="1"/>
        <v>-1.4650352483590923E-2</v>
      </c>
      <c r="F31" s="483">
        <f>[1]Denominator!I31</f>
        <v>287</v>
      </c>
      <c r="G31" s="416">
        <f t="shared" si="2"/>
        <v>0</v>
      </c>
      <c r="H31" s="420">
        <f t="shared" si="3"/>
        <v>0</v>
      </c>
    </row>
    <row r="32" spans="1:8" ht="15" customHeight="1" x14ac:dyDescent="0.2">
      <c r="A32" s="300" t="s">
        <v>131</v>
      </c>
      <c r="B32" s="484">
        <f>[1]Rate!G32</f>
        <v>0.68421052631578905</v>
      </c>
      <c r="C32" s="484">
        <f>[1]Rate!H32</f>
        <v>0.57894736842105299</v>
      </c>
      <c r="D32" s="484">
        <f>[1]Rate!I32</f>
        <v>0.60085836909871204</v>
      </c>
      <c r="E32" s="484">
        <f t="shared" si="1"/>
        <v>-8.3352157217077005E-2</v>
      </c>
      <c r="F32" s="483">
        <f>[1]Denominator!I32</f>
        <v>233</v>
      </c>
      <c r="G32" s="416">
        <f t="shared" si="2"/>
        <v>0</v>
      </c>
      <c r="H32" s="420">
        <f t="shared" si="3"/>
        <v>0</v>
      </c>
    </row>
    <row r="33" spans="1:8" ht="15" customHeight="1" x14ac:dyDescent="0.2">
      <c r="A33" s="300" t="s">
        <v>205</v>
      </c>
      <c r="B33" s="484">
        <f>[1]Rate!G33</f>
        <v>0.55613126079447295</v>
      </c>
      <c r="C33" s="484">
        <f>[1]Rate!H33</f>
        <v>0.58034026465028399</v>
      </c>
      <c r="D33" s="484">
        <f>[1]Rate!I33</f>
        <v>0.589380530973451</v>
      </c>
      <c r="E33" s="484">
        <f t="shared" si="1"/>
        <v>3.3249270178978052E-2</v>
      </c>
      <c r="F33" s="483">
        <f>[1]Denominator!I33</f>
        <v>565</v>
      </c>
      <c r="G33" s="416">
        <f t="shared" si="2"/>
        <v>16</v>
      </c>
      <c r="H33" s="420">
        <f t="shared" si="3"/>
        <v>64000</v>
      </c>
    </row>
    <row r="34" spans="1:8" ht="15" customHeight="1" x14ac:dyDescent="0.2">
      <c r="A34" s="300" t="s">
        <v>206</v>
      </c>
      <c r="B34" s="484">
        <f>[1]Rate!G34</f>
        <v>0.51626016260162599</v>
      </c>
      <c r="C34" s="484">
        <f>[1]Rate!H34</f>
        <v>0.51950354609929095</v>
      </c>
      <c r="D34" s="484">
        <f>[1]Rate!I34</f>
        <v>0.57385398981324298</v>
      </c>
      <c r="E34" s="484">
        <f t="shared" si="1"/>
        <v>5.7593827211616988E-2</v>
      </c>
      <c r="F34" s="483">
        <f>[1]Denominator!I34</f>
        <v>589</v>
      </c>
      <c r="G34" s="416">
        <f t="shared" si="2"/>
        <v>31</v>
      </c>
      <c r="H34" s="420">
        <f t="shared" si="3"/>
        <v>124000</v>
      </c>
    </row>
    <row r="35" spans="1:8" ht="15" customHeight="1" x14ac:dyDescent="0.2">
      <c r="A35" s="300" t="s">
        <v>70</v>
      </c>
      <c r="B35" s="484">
        <f>[1]Rate!G35</f>
        <v>0.59204275534441797</v>
      </c>
      <c r="C35" s="484">
        <f>[1]Rate!H35</f>
        <v>0.57815964523281604</v>
      </c>
      <c r="D35" s="484">
        <f>[1]Rate!I35</f>
        <v>0.59803354540196596</v>
      </c>
      <c r="E35" s="484">
        <f t="shared" si="1"/>
        <v>5.99079005754799E-3</v>
      </c>
      <c r="F35" s="483">
        <f>[1]Denominator!I35</f>
        <v>1729</v>
      </c>
      <c r="G35" s="416">
        <f t="shared" si="2"/>
        <v>2</v>
      </c>
      <c r="H35" s="420">
        <f t="shared" si="3"/>
        <v>8000</v>
      </c>
    </row>
    <row r="36" spans="1:8" ht="15" customHeight="1" x14ac:dyDescent="0.2">
      <c r="A36" s="300" t="s">
        <v>117</v>
      </c>
      <c r="B36" s="484">
        <f>[1]Rate!G36</f>
        <v>0.64</v>
      </c>
      <c r="C36" s="484">
        <f>[1]Rate!H36</f>
        <v>0.68768768768768795</v>
      </c>
      <c r="D36" s="484">
        <f>[1]Rate!I36</f>
        <v>0.60298507462686601</v>
      </c>
      <c r="E36" s="484">
        <f t="shared" si="1"/>
        <v>-3.7014925373134E-2</v>
      </c>
      <c r="F36" s="483">
        <f>[1]Denominator!I36</f>
        <v>335</v>
      </c>
      <c r="G36" s="416">
        <f t="shared" si="2"/>
        <v>0</v>
      </c>
      <c r="H36" s="420">
        <f t="shared" si="3"/>
        <v>0</v>
      </c>
    </row>
    <row r="37" spans="1:8" ht="15" customHeight="1" x14ac:dyDescent="0.2">
      <c r="A37" s="301" t="s">
        <v>207</v>
      </c>
      <c r="B37" s="485">
        <f>[1]Rate!G37</f>
        <v>0.58555080656280156</v>
      </c>
      <c r="C37" s="485">
        <f>[1]Rate!H37</f>
        <v>0.58970849869987685</v>
      </c>
      <c r="D37" s="485">
        <f>[1]Rate!I37</f>
        <v>0.60023096257047759</v>
      </c>
      <c r="E37" s="485">
        <f t="shared" si="1"/>
        <v>1.4680156007676026E-2</v>
      </c>
      <c r="F37" s="487">
        <f>[1]Denominator!I37</f>
        <v>14721</v>
      </c>
      <c r="G37" s="421">
        <f>SUM(G6:G22,G28:G36)</f>
        <v>298</v>
      </c>
      <c r="H37" s="419">
        <f>SUM(H6:H22,H28:H36)</f>
        <v>1192000</v>
      </c>
    </row>
    <row r="38" spans="1:8" ht="15" customHeight="1" x14ac:dyDescent="0.2">
      <c r="A38" s="300" t="s">
        <v>208</v>
      </c>
      <c r="B38" s="484">
        <f>[1]Rate!G38</f>
        <v>0.76142131979695404</v>
      </c>
      <c r="C38" s="484">
        <f>[1]Rate!H38</f>
        <v>0.76855895196506596</v>
      </c>
      <c r="D38" s="484">
        <f>[1]Rate!I38</f>
        <v>0.72321428571428603</v>
      </c>
      <c r="E38" s="484">
        <f t="shared" si="1"/>
        <v>-3.8207034082668012E-2</v>
      </c>
      <c r="F38" s="483">
        <f>[1]Denominator!I38</f>
        <v>224</v>
      </c>
      <c r="G38" s="416">
        <f t="shared" si="2"/>
        <v>0</v>
      </c>
      <c r="H38" s="420">
        <f t="shared" ref="H38:H45" si="4">G38*H$47</f>
        <v>0</v>
      </c>
    </row>
    <row r="39" spans="1:8" ht="15" customHeight="1" x14ac:dyDescent="0.2">
      <c r="A39" s="300" t="s">
        <v>140</v>
      </c>
      <c r="B39" s="484">
        <f>[1]Rate!G39</f>
        <v>0.77573822825219496</v>
      </c>
      <c r="C39" s="484">
        <f>[1]Rate!H39</f>
        <v>0.77444187836797496</v>
      </c>
      <c r="D39" s="484">
        <f>[1]Rate!I39</f>
        <v>0.78576893649579205</v>
      </c>
      <c r="E39" s="484">
        <f t="shared" si="1"/>
        <v>1.0030708243597086E-2</v>
      </c>
      <c r="F39" s="483">
        <f>[1]Denominator!I39</f>
        <v>1307</v>
      </c>
      <c r="G39" s="416">
        <f t="shared" si="2"/>
        <v>7</v>
      </c>
      <c r="H39" s="420">
        <f t="shared" si="4"/>
        <v>28000</v>
      </c>
    </row>
    <row r="40" spans="1:8" ht="15" customHeight="1" x14ac:dyDescent="0.2">
      <c r="A40" s="300" t="s">
        <v>209</v>
      </c>
      <c r="B40" s="484">
        <f>[1]Rate!G40</f>
        <v>0.79782903663500704</v>
      </c>
      <c r="C40" s="484">
        <f>[1]Rate!H40</f>
        <v>0.82990397805212601</v>
      </c>
      <c r="D40" s="484">
        <f>[1]Rate!I40</f>
        <v>0.82237762237762202</v>
      </c>
      <c r="E40" s="484">
        <f t="shared" si="1"/>
        <v>2.4548585742614981E-2</v>
      </c>
      <c r="F40" s="483">
        <f>[1]Denominator!I40</f>
        <v>715</v>
      </c>
      <c r="G40" s="416">
        <f t="shared" si="2"/>
        <v>14</v>
      </c>
      <c r="H40" s="420">
        <f t="shared" si="4"/>
        <v>56000</v>
      </c>
    </row>
    <row r="41" spans="1:8" ht="15" customHeight="1" x14ac:dyDescent="0.2">
      <c r="A41" s="300" t="s">
        <v>210</v>
      </c>
      <c r="B41" s="484">
        <f>[1]Rate!G41</f>
        <v>0.74371859296482401</v>
      </c>
      <c r="C41" s="484">
        <f>[1]Rate!H41</f>
        <v>0.74122807017543901</v>
      </c>
      <c r="D41" s="484">
        <f>[1]Rate!I41</f>
        <v>0.78389830508474601</v>
      </c>
      <c r="E41" s="484">
        <f t="shared" si="1"/>
        <v>4.0179712119921995E-2</v>
      </c>
      <c r="F41" s="483">
        <f>[1]Denominator!I41</f>
        <v>236</v>
      </c>
      <c r="G41" s="416">
        <f t="shared" si="2"/>
        <v>8</v>
      </c>
      <c r="H41" s="420">
        <f t="shared" si="4"/>
        <v>32000</v>
      </c>
    </row>
    <row r="42" spans="1:8" ht="15" customHeight="1" x14ac:dyDescent="0.2">
      <c r="A42" s="300" t="s">
        <v>211</v>
      </c>
      <c r="B42" s="484">
        <f>[1]Rate!G42</f>
        <v>0.78471337579617795</v>
      </c>
      <c r="C42" s="484">
        <f>[1]Rate!H42</f>
        <v>0.78543563068920697</v>
      </c>
      <c r="D42" s="484">
        <f>[1]Rate!I42</f>
        <v>0.78899082568807299</v>
      </c>
      <c r="E42" s="484">
        <f t="shared" si="1"/>
        <v>4.2774498918950465E-3</v>
      </c>
      <c r="F42" s="483">
        <f>[1]Denominator!I42</f>
        <v>763</v>
      </c>
      <c r="G42" s="416">
        <f t="shared" si="2"/>
        <v>0</v>
      </c>
      <c r="H42" s="420">
        <f t="shared" si="4"/>
        <v>0</v>
      </c>
    </row>
    <row r="43" spans="1:8" ht="15" customHeight="1" x14ac:dyDescent="0.2">
      <c r="A43" s="300" t="s">
        <v>212</v>
      </c>
      <c r="B43" s="484">
        <f>[1]Rate!G43</f>
        <v>0.74825174825174801</v>
      </c>
      <c r="C43" s="484">
        <f>[1]Rate!H43</f>
        <v>0.74316939890710398</v>
      </c>
      <c r="D43" s="484">
        <f>[1]Rate!I43</f>
        <v>0.77777777777777801</v>
      </c>
      <c r="E43" s="484">
        <f t="shared" si="1"/>
        <v>2.9526029526030007E-2</v>
      </c>
      <c r="F43" s="483">
        <f>[1]Denominator!I43</f>
        <v>117</v>
      </c>
      <c r="G43" s="416">
        <f t="shared" si="2"/>
        <v>3</v>
      </c>
      <c r="H43" s="420">
        <f t="shared" si="4"/>
        <v>12000</v>
      </c>
    </row>
    <row r="44" spans="1:8" ht="15" customHeight="1" x14ac:dyDescent="0.2">
      <c r="A44" s="300" t="s">
        <v>213</v>
      </c>
      <c r="B44" s="484">
        <f>[1]Rate!G44</f>
        <v>0.84640522875817004</v>
      </c>
      <c r="C44" s="484">
        <f>[1]Rate!H44</f>
        <v>0.87414965986394599</v>
      </c>
      <c r="D44" s="484">
        <f>[1]Rate!I44</f>
        <v>0.83685800604229599</v>
      </c>
      <c r="E44" s="484">
        <f t="shared" si="1"/>
        <v>-9.5472227158740486E-3</v>
      </c>
      <c r="F44" s="483">
        <f>[1]Denominator!I44</f>
        <v>331</v>
      </c>
      <c r="G44" s="416">
        <f t="shared" si="2"/>
        <v>0</v>
      </c>
      <c r="H44" s="420">
        <f t="shared" si="4"/>
        <v>0</v>
      </c>
    </row>
    <row r="45" spans="1:8" ht="15" customHeight="1" x14ac:dyDescent="0.2">
      <c r="A45" s="301" t="s">
        <v>214</v>
      </c>
      <c r="B45" s="485">
        <f>[1]Rate!G45</f>
        <v>0.78453038674033149</v>
      </c>
      <c r="C45" s="485">
        <f>[1]Rate!H45</f>
        <v>0.79147681586705976</v>
      </c>
      <c r="D45" s="485">
        <f>[1]Rate!I45</f>
        <v>0.79393447062009204</v>
      </c>
      <c r="E45" s="485">
        <f t="shared" si="1"/>
        <v>9.4040838797605497E-3</v>
      </c>
      <c r="F45" s="486">
        <f>[1]Denominator!I45</f>
        <v>3693</v>
      </c>
      <c r="G45" s="421">
        <f>SUM(G38:G44)</f>
        <v>32</v>
      </c>
      <c r="H45" s="423">
        <f t="shared" si="4"/>
        <v>128000</v>
      </c>
    </row>
    <row r="46" spans="1:8" ht="15" customHeight="1" x14ac:dyDescent="0.2">
      <c r="A46" s="302" t="s">
        <v>215</v>
      </c>
      <c r="B46" s="488">
        <f>[1]Rate!G46</f>
        <v>0.62528963919232039</v>
      </c>
      <c r="C46" s="488">
        <f>[1]Rate!H46</f>
        <v>0.63074407195421101</v>
      </c>
      <c r="D46" s="488">
        <f>[1]Rate!I46</f>
        <v>0.63907896165960687</v>
      </c>
      <c r="E46" s="488">
        <f t="shared" si="1"/>
        <v>1.378932246728648E-2</v>
      </c>
      <c r="F46" s="489">
        <f>[1]Denominator!I46</f>
        <v>18414</v>
      </c>
      <c r="G46" s="425">
        <f>G37+G45</f>
        <v>330</v>
      </c>
      <c r="H46" s="424">
        <f>H37+H45</f>
        <v>1320000</v>
      </c>
    </row>
    <row r="47" spans="1:8" ht="15" customHeight="1" x14ac:dyDescent="0.2">
      <c r="A47" s="440" t="s">
        <v>278</v>
      </c>
      <c r="B47" s="446"/>
      <c r="C47" s="446"/>
      <c r="D47" s="446"/>
      <c r="E47" s="446"/>
      <c r="F47" s="446"/>
      <c r="G47" s="446"/>
      <c r="H47" s="443">
        <v>4000</v>
      </c>
    </row>
  </sheetData>
  <mergeCells count="4">
    <mergeCell ref="A1:H1"/>
    <mergeCell ref="A2:H2"/>
    <mergeCell ref="A3:H3"/>
    <mergeCell ref="B4:D4"/>
  </mergeCells>
  <printOptions horizontalCentered="1"/>
  <pageMargins left="0.2" right="0.2" top="0.5" bottom="0.5" header="0" footer="0.3"/>
  <pageSetup scale="95" orientation="portrait" r:id="rId1"/>
  <headerFooter>
    <oddFooter>&amp;LSource: System Office Research - Academic and Student Affairs   
&amp;Z&amp;F&amp;A
February 5, 2018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39997558519241921"/>
    <pageSetUpPr fitToPage="1"/>
  </sheetPr>
  <dimension ref="A1:K44"/>
  <sheetViews>
    <sheetView zoomScale="80" zoomScaleNormal="80" workbookViewId="0">
      <selection activeCell="D27" sqref="D27"/>
    </sheetView>
  </sheetViews>
  <sheetFormatPr defaultRowHeight="15" customHeight="1" x14ac:dyDescent="0.2"/>
  <cols>
    <col min="1" max="1" width="6.85546875" customWidth="1"/>
    <col min="2" max="2" width="33.5703125" customWidth="1"/>
    <col min="3" max="3" width="16.7109375" customWidth="1"/>
    <col min="4" max="4" width="17.42578125" customWidth="1"/>
    <col min="5" max="5" width="13.140625" customWidth="1"/>
    <col min="6" max="6" width="13.5703125" customWidth="1"/>
    <col min="7" max="7" width="2.7109375" customWidth="1"/>
    <col min="8" max="8" width="21.42578125" style="11" customWidth="1"/>
    <col min="10" max="10" width="9.140625" customWidth="1"/>
    <col min="11" max="11" width="14.5703125" customWidth="1"/>
  </cols>
  <sheetData>
    <row r="1" spans="1:11" ht="15" customHeight="1" x14ac:dyDescent="0.25">
      <c r="A1" s="36" t="s">
        <v>254</v>
      </c>
      <c r="H1" s="456" t="s">
        <v>288</v>
      </c>
    </row>
    <row r="2" spans="1:11" ht="15" customHeight="1" x14ac:dyDescent="0.2">
      <c r="A2" s="4" t="s">
        <v>90</v>
      </c>
    </row>
    <row r="3" spans="1:11" ht="15" customHeight="1" x14ac:dyDescent="0.2">
      <c r="A3" s="4" t="s">
        <v>317</v>
      </c>
    </row>
    <row r="4" spans="1:11" ht="15" customHeight="1" x14ac:dyDescent="0.2">
      <c r="I4" s="87"/>
    </row>
    <row r="5" spans="1:11" ht="15" customHeight="1" x14ac:dyDescent="0.2">
      <c r="H5" s="205" t="s">
        <v>143</v>
      </c>
    </row>
    <row r="6" spans="1:11" ht="15" customHeight="1" x14ac:dyDescent="0.2">
      <c r="C6" s="205" t="s">
        <v>79</v>
      </c>
      <c r="D6" s="205" t="s">
        <v>74</v>
      </c>
      <c r="E6" s="205" t="s">
        <v>75</v>
      </c>
      <c r="F6" s="205" t="s">
        <v>76</v>
      </c>
      <c r="G6" s="205"/>
      <c r="H6" s="32" t="s">
        <v>77</v>
      </c>
    </row>
    <row r="7" spans="1:11" ht="61.5" customHeight="1" x14ac:dyDescent="0.2">
      <c r="A7" s="215" t="s">
        <v>0</v>
      </c>
      <c r="B7" s="216" t="s">
        <v>83</v>
      </c>
      <c r="C7" s="215" t="s">
        <v>144</v>
      </c>
      <c r="D7" s="31" t="s">
        <v>145</v>
      </c>
      <c r="E7" s="33" t="s">
        <v>92</v>
      </c>
      <c r="F7" s="217" t="s">
        <v>119</v>
      </c>
      <c r="H7" s="30" t="s">
        <v>91</v>
      </c>
    </row>
    <row r="8" spans="1:11" ht="15" customHeight="1" x14ac:dyDescent="0.2">
      <c r="B8" s="34"/>
      <c r="D8" s="11"/>
      <c r="F8" s="11"/>
    </row>
    <row r="9" spans="1:11" ht="15" customHeight="1" x14ac:dyDescent="0.2">
      <c r="A9" s="218" t="s">
        <v>2</v>
      </c>
      <c r="B9" s="219" t="s">
        <v>128</v>
      </c>
      <c r="C9" s="220">
        <v>2905.03</v>
      </c>
      <c r="D9" s="220">
        <v>44435.86</v>
      </c>
      <c r="E9" s="220">
        <f>C9+D9</f>
        <v>47340.89</v>
      </c>
      <c r="F9" s="221">
        <f>'Revenue Offset'!G8</f>
        <v>0.44402401863866087</v>
      </c>
      <c r="H9" s="35">
        <f>E9*(1-F9)</f>
        <v>26320.397776269208</v>
      </c>
    </row>
    <row r="10" spans="1:11" s="54" customFormat="1" ht="15" customHeight="1" x14ac:dyDescent="0.2">
      <c r="A10" s="218" t="s">
        <v>4</v>
      </c>
      <c r="B10" s="219" t="s">
        <v>124</v>
      </c>
      <c r="C10" s="222"/>
      <c r="D10" s="223">
        <v>45168.13</v>
      </c>
      <c r="E10" s="220">
        <f t="shared" ref="E10:E38" si="0">C10+D10</f>
        <v>45168.13</v>
      </c>
      <c r="F10" s="221">
        <f>'Revenue Offset'!G9</f>
        <v>0.52294831349281878</v>
      </c>
      <c r="H10" s="35">
        <f t="shared" ref="H10:H38" si="1">E10*(1-F10)</f>
        <v>21547.532592875606</v>
      </c>
    </row>
    <row r="11" spans="1:11" ht="15" customHeight="1" x14ac:dyDescent="0.2">
      <c r="A11" s="218" t="s">
        <v>5</v>
      </c>
      <c r="B11" s="219" t="s">
        <v>113</v>
      </c>
      <c r="C11" s="224"/>
      <c r="D11" s="224">
        <v>63983.17</v>
      </c>
      <c r="E11" s="220">
        <f t="shared" si="0"/>
        <v>63983.17</v>
      </c>
      <c r="F11" s="221">
        <f>'Revenue Offset'!G10</f>
        <v>0.61433220072252825</v>
      </c>
      <c r="H11" s="35">
        <f t="shared" si="1"/>
        <v>24676.248364696352</v>
      </c>
      <c r="K11" s="24"/>
    </row>
    <row r="12" spans="1:11" ht="15" customHeight="1" x14ac:dyDescent="0.2">
      <c r="A12" s="218" t="s">
        <v>6</v>
      </c>
      <c r="B12" s="219" t="s">
        <v>7</v>
      </c>
      <c r="C12" s="220"/>
      <c r="D12" s="220">
        <v>34223.82</v>
      </c>
      <c r="E12" s="220">
        <f t="shared" si="0"/>
        <v>34223.82</v>
      </c>
      <c r="F12" s="221">
        <f>'Revenue Offset'!G11</f>
        <v>0.44595293826179216</v>
      </c>
      <c r="H12" s="35">
        <f t="shared" si="1"/>
        <v>18961.606912457311</v>
      </c>
    </row>
    <row r="13" spans="1:11" ht="15" customHeight="1" x14ac:dyDescent="0.2">
      <c r="A13" s="218" t="s">
        <v>8</v>
      </c>
      <c r="B13" s="219" t="s">
        <v>9</v>
      </c>
      <c r="C13" s="220"/>
      <c r="D13" s="220">
        <v>142790.12</v>
      </c>
      <c r="E13" s="220">
        <f t="shared" si="0"/>
        <v>142790.12</v>
      </c>
      <c r="F13" s="221">
        <f>'Revenue Offset'!G12</f>
        <v>0.52285817428189341</v>
      </c>
      <c r="H13" s="35">
        <f t="shared" si="1"/>
        <v>68131.138551307522</v>
      </c>
    </row>
    <row r="14" spans="1:11" ht="15" customHeight="1" x14ac:dyDescent="0.2">
      <c r="A14" s="218" t="s">
        <v>10</v>
      </c>
      <c r="B14" s="3" t="s">
        <v>146</v>
      </c>
      <c r="C14" s="220"/>
      <c r="D14" s="220">
        <v>618637.17000000004</v>
      </c>
      <c r="E14" s="220">
        <f t="shared" si="0"/>
        <v>618637.17000000004</v>
      </c>
      <c r="F14" s="221">
        <f>'Revenue Offset'!G13</f>
        <v>0.49115993716738748</v>
      </c>
      <c r="H14" s="35">
        <f t="shared" si="1"/>
        <v>314787.37645338959</v>
      </c>
    </row>
    <row r="15" spans="1:11" ht="15" customHeight="1" x14ac:dyDescent="0.2">
      <c r="A15" s="218" t="s">
        <v>12</v>
      </c>
      <c r="B15" s="219" t="s">
        <v>13</v>
      </c>
      <c r="C15" s="220">
        <v>13607.68</v>
      </c>
      <c r="D15" s="220"/>
      <c r="E15" s="220">
        <f t="shared" si="0"/>
        <v>13607.68</v>
      </c>
      <c r="F15" s="221">
        <f>'Revenue Offset'!G14</f>
        <v>0.36664620415479249</v>
      </c>
      <c r="H15" s="35">
        <f t="shared" si="1"/>
        <v>8618.4757806469152</v>
      </c>
    </row>
    <row r="16" spans="1:11" ht="15" customHeight="1" x14ac:dyDescent="0.2">
      <c r="A16" s="218" t="s">
        <v>14</v>
      </c>
      <c r="B16" s="219" t="s">
        <v>139</v>
      </c>
      <c r="C16" s="220"/>
      <c r="D16" s="220"/>
      <c r="E16" s="220">
        <f t="shared" si="0"/>
        <v>0</v>
      </c>
      <c r="F16" s="221">
        <f>'Revenue Offset'!G15</f>
        <v>0.44116155475212726</v>
      </c>
      <c r="H16" s="35">
        <f t="shared" si="1"/>
        <v>0</v>
      </c>
    </row>
    <row r="17" spans="1:8" ht="15" customHeight="1" x14ac:dyDescent="0.2">
      <c r="A17" s="218" t="s">
        <v>16</v>
      </c>
      <c r="B17" s="219" t="s">
        <v>17</v>
      </c>
      <c r="C17" s="220"/>
      <c r="D17" s="220">
        <v>10372.98</v>
      </c>
      <c r="E17" s="220">
        <f t="shared" si="0"/>
        <v>10372.98</v>
      </c>
      <c r="F17" s="221">
        <f>'Revenue Offset'!G16</f>
        <v>0.48449966456626248</v>
      </c>
      <c r="H17" s="35">
        <f t="shared" si="1"/>
        <v>5347.2746694474508</v>
      </c>
    </row>
    <row r="18" spans="1:8" ht="15" customHeight="1" x14ac:dyDescent="0.2">
      <c r="A18" s="218" t="s">
        <v>18</v>
      </c>
      <c r="B18" s="219" t="s">
        <v>140</v>
      </c>
      <c r="C18" s="220">
        <v>176223.46</v>
      </c>
      <c r="D18" s="220">
        <v>7423.81</v>
      </c>
      <c r="E18" s="220">
        <f t="shared" si="0"/>
        <v>183647.27</v>
      </c>
      <c r="F18" s="221">
        <f>'Revenue Offset'!G17</f>
        <v>0.61116821351728845</v>
      </c>
      <c r="H18" s="35">
        <f t="shared" si="1"/>
        <v>71407.896076772871</v>
      </c>
    </row>
    <row r="19" spans="1:8" ht="15" customHeight="1" x14ac:dyDescent="0.2">
      <c r="A19" s="218" t="s">
        <v>19</v>
      </c>
      <c r="B19" s="219" t="s">
        <v>129</v>
      </c>
      <c r="C19" s="220"/>
      <c r="D19" s="220">
        <v>102867.19</v>
      </c>
      <c r="E19" s="220">
        <f t="shared" si="0"/>
        <v>102867.19</v>
      </c>
      <c r="F19" s="221">
        <f>'Revenue Offset'!G18</f>
        <v>0.48670802933762197</v>
      </c>
      <c r="H19" s="35">
        <f t="shared" si="1"/>
        <v>52800.902671601259</v>
      </c>
    </row>
    <row r="20" spans="1:8" ht="15" customHeight="1" x14ac:dyDescent="0.2">
      <c r="A20" s="218" t="s">
        <v>21</v>
      </c>
      <c r="B20" s="225" t="s">
        <v>177</v>
      </c>
      <c r="C20" s="220">
        <v>14570.7</v>
      </c>
      <c r="D20" s="220"/>
      <c r="E20" s="220">
        <f t="shared" si="0"/>
        <v>14570.7</v>
      </c>
      <c r="F20" s="221">
        <f>'Revenue Offset'!G19</f>
        <v>0.40223203366520849</v>
      </c>
      <c r="H20" s="35">
        <f t="shared" si="1"/>
        <v>8709.8977070743458</v>
      </c>
    </row>
    <row r="21" spans="1:8" ht="15" customHeight="1" x14ac:dyDescent="0.2">
      <c r="A21" s="218" t="s">
        <v>109</v>
      </c>
      <c r="B21" s="219" t="s">
        <v>141</v>
      </c>
      <c r="C21" s="220"/>
      <c r="D21" s="220"/>
      <c r="E21" s="220">
        <f t="shared" si="0"/>
        <v>0</v>
      </c>
      <c r="F21" s="221">
        <f>'Revenue Offset'!G20</f>
        <v>0.48301278402964265</v>
      </c>
      <c r="H21" s="35">
        <f t="shared" si="1"/>
        <v>0</v>
      </c>
    </row>
    <row r="22" spans="1:8" ht="15" customHeight="1" x14ac:dyDescent="0.2">
      <c r="A22" s="218" t="s">
        <v>26</v>
      </c>
      <c r="B22" s="219" t="s">
        <v>62</v>
      </c>
      <c r="C22" s="220">
        <v>6146.16</v>
      </c>
      <c r="D22" s="220">
        <v>478817.19</v>
      </c>
      <c r="E22" s="220">
        <f t="shared" si="0"/>
        <v>484963.35</v>
      </c>
      <c r="F22" s="221">
        <f>'Revenue Offset'!G21</f>
        <v>0.59562144533473793</v>
      </c>
      <c r="H22" s="35">
        <f t="shared" si="1"/>
        <v>196108.77853862362</v>
      </c>
    </row>
    <row r="23" spans="1:8" ht="15" customHeight="1" x14ac:dyDescent="0.2">
      <c r="A23" s="218" t="s">
        <v>22</v>
      </c>
      <c r="B23" s="219" t="s">
        <v>23</v>
      </c>
      <c r="C23" s="220">
        <v>1189237.78</v>
      </c>
      <c r="D23" s="220">
        <v>1111810.75</v>
      </c>
      <c r="E23" s="220">
        <f t="shared" si="0"/>
        <v>2301048.5300000003</v>
      </c>
      <c r="F23" s="221">
        <f>'Revenue Offset'!G22</f>
        <v>0.6573430933426625</v>
      </c>
      <c r="H23" s="35">
        <f t="shared" si="1"/>
        <v>788470.17135821376</v>
      </c>
    </row>
    <row r="24" spans="1:8" ht="15" customHeight="1" x14ac:dyDescent="0.2">
      <c r="A24" s="218" t="s">
        <v>24</v>
      </c>
      <c r="B24" s="219" t="s">
        <v>137</v>
      </c>
      <c r="C24" s="220">
        <v>3000</v>
      </c>
      <c r="D24" s="220">
        <v>405876.57</v>
      </c>
      <c r="E24" s="220">
        <f t="shared" si="0"/>
        <v>408876.57</v>
      </c>
      <c r="F24" s="221">
        <f>'Revenue Offset'!G23</f>
        <v>0.45377253973023318</v>
      </c>
      <c r="H24" s="35">
        <f t="shared" si="1"/>
        <v>223339.6103949135</v>
      </c>
    </row>
    <row r="25" spans="1:8" ht="15" customHeight="1" x14ac:dyDescent="0.2">
      <c r="A25" s="218" t="s">
        <v>27</v>
      </c>
      <c r="B25" s="219" t="s">
        <v>132</v>
      </c>
      <c r="C25" s="220">
        <v>673.71</v>
      </c>
      <c r="D25" s="220"/>
      <c r="E25" s="220">
        <f t="shared" si="0"/>
        <v>673.71</v>
      </c>
      <c r="F25" s="221">
        <f>'Revenue Offset'!G24</f>
        <v>0.57396444678620484</v>
      </c>
      <c r="H25" s="35">
        <f t="shared" si="1"/>
        <v>287.02441255566595</v>
      </c>
    </row>
    <row r="26" spans="1:8" ht="15" customHeight="1" x14ac:dyDescent="0.2">
      <c r="A26" s="218" t="s">
        <v>29</v>
      </c>
      <c r="B26" s="219" t="s">
        <v>133</v>
      </c>
      <c r="C26" s="220">
        <v>3104.45</v>
      </c>
      <c r="D26" s="220"/>
      <c r="E26" s="220">
        <f t="shared" si="0"/>
        <v>3104.45</v>
      </c>
      <c r="F26" s="221">
        <f>'Revenue Offset'!G25</f>
        <v>0.5221964888221784</v>
      </c>
      <c r="H26" s="35">
        <f t="shared" si="1"/>
        <v>1483.3171102759882</v>
      </c>
    </row>
    <row r="27" spans="1:8" ht="15" customHeight="1" x14ac:dyDescent="0.2">
      <c r="A27" s="218" t="s">
        <v>118</v>
      </c>
      <c r="B27" s="219" t="s">
        <v>63</v>
      </c>
      <c r="C27" s="224"/>
      <c r="D27" s="224">
        <v>542584.44999999995</v>
      </c>
      <c r="E27" s="220">
        <f t="shared" si="0"/>
        <v>542584.44999999995</v>
      </c>
      <c r="F27" s="221">
        <f>'Revenue Offset'!G26</f>
        <v>0.45103804534668668</v>
      </c>
      <c r="H27" s="35">
        <f t="shared" si="1"/>
        <v>297858.22023649293</v>
      </c>
    </row>
    <row r="28" spans="1:8" ht="15" customHeight="1" x14ac:dyDescent="0.2">
      <c r="A28" s="218" t="s">
        <v>31</v>
      </c>
      <c r="B28" s="219" t="s">
        <v>134</v>
      </c>
      <c r="C28" s="220">
        <v>116367.9</v>
      </c>
      <c r="D28" s="220">
        <v>236804.88</v>
      </c>
      <c r="E28" s="220">
        <f t="shared" si="0"/>
        <v>353172.78</v>
      </c>
      <c r="F28" s="221">
        <f>'Revenue Offset'!G27</f>
        <v>0.4631827119673686</v>
      </c>
      <c r="H28" s="35">
        <f t="shared" si="1"/>
        <v>189589.25396654519</v>
      </c>
    </row>
    <row r="29" spans="1:8" ht="15" customHeight="1" x14ac:dyDescent="0.2">
      <c r="A29" s="218" t="s">
        <v>33</v>
      </c>
      <c r="B29" s="219" t="s">
        <v>130</v>
      </c>
      <c r="C29" s="220"/>
      <c r="D29" s="220"/>
      <c r="E29" s="220">
        <f t="shared" si="0"/>
        <v>0</v>
      </c>
      <c r="F29" s="221">
        <f>'Revenue Offset'!G28</f>
        <v>0.39775666830134243</v>
      </c>
      <c r="H29" s="35">
        <f t="shared" si="1"/>
        <v>0</v>
      </c>
    </row>
    <row r="30" spans="1:8" ht="15" customHeight="1" x14ac:dyDescent="0.2">
      <c r="A30" s="218" t="s">
        <v>35</v>
      </c>
      <c r="B30" s="219" t="s">
        <v>36</v>
      </c>
      <c r="C30" s="220"/>
      <c r="D30" s="220"/>
      <c r="E30" s="220">
        <f t="shared" si="0"/>
        <v>0</v>
      </c>
      <c r="F30" s="221">
        <f>'Revenue Offset'!G29</f>
        <v>0.45814628002705043</v>
      </c>
      <c r="H30" s="35">
        <f t="shared" si="1"/>
        <v>0</v>
      </c>
    </row>
    <row r="31" spans="1:8" ht="15" customHeight="1" x14ac:dyDescent="0.2">
      <c r="A31" s="218" t="s">
        <v>37</v>
      </c>
      <c r="B31" s="219" t="s">
        <v>131</v>
      </c>
      <c r="C31" s="220"/>
      <c r="D31" s="220"/>
      <c r="E31" s="220">
        <f t="shared" si="0"/>
        <v>0</v>
      </c>
      <c r="F31" s="221">
        <f>'Revenue Offset'!G30</f>
        <v>0.48459172359339164</v>
      </c>
      <c r="H31" s="35">
        <f t="shared" si="1"/>
        <v>0</v>
      </c>
    </row>
    <row r="32" spans="1:8" ht="15" customHeight="1" x14ac:dyDescent="0.2">
      <c r="A32" s="218" t="s">
        <v>39</v>
      </c>
      <c r="B32" s="219" t="s">
        <v>135</v>
      </c>
      <c r="C32" s="220"/>
      <c r="D32" s="220">
        <v>85128.5</v>
      </c>
      <c r="E32" s="220">
        <f t="shared" si="0"/>
        <v>85128.5</v>
      </c>
      <c r="F32" s="221">
        <f>'Revenue Offset'!G31</f>
        <v>0.52797293341370011</v>
      </c>
      <c r="H32" s="35">
        <f t="shared" si="1"/>
        <v>40182.95613789183</v>
      </c>
    </row>
    <row r="33" spans="1:9" ht="15" customHeight="1" x14ac:dyDescent="0.2">
      <c r="A33" s="218" t="s">
        <v>46</v>
      </c>
      <c r="B33" s="219" t="s">
        <v>70</v>
      </c>
      <c r="C33" s="220"/>
      <c r="D33" s="220"/>
      <c r="E33" s="220">
        <f t="shared" si="0"/>
        <v>0</v>
      </c>
      <c r="F33" s="221">
        <f>'Revenue Offset'!G32</f>
        <v>0.53432125696067156</v>
      </c>
      <c r="H33" s="35">
        <f t="shared" si="1"/>
        <v>0</v>
      </c>
    </row>
    <row r="34" spans="1:9" ht="15" customHeight="1" x14ac:dyDescent="0.2">
      <c r="A34" s="218" t="s">
        <v>41</v>
      </c>
      <c r="B34" s="219" t="s">
        <v>117</v>
      </c>
      <c r="C34" s="220"/>
      <c r="D34" s="220">
        <v>98938.33</v>
      </c>
      <c r="E34" s="220">
        <f t="shared" si="0"/>
        <v>98938.33</v>
      </c>
      <c r="F34" s="221">
        <f>'Revenue Offset'!G33</f>
        <v>0.4557607599729368</v>
      </c>
      <c r="H34" s="35">
        <f t="shared" si="1"/>
        <v>53846.121528746793</v>
      </c>
    </row>
    <row r="35" spans="1:9" ht="15" customHeight="1" x14ac:dyDescent="0.2">
      <c r="A35" s="218" t="s">
        <v>42</v>
      </c>
      <c r="B35" s="219" t="s">
        <v>69</v>
      </c>
      <c r="C35" s="220">
        <v>19278.37</v>
      </c>
      <c r="D35" s="220">
        <v>228691.26</v>
      </c>
      <c r="E35" s="220">
        <f t="shared" si="0"/>
        <v>247969.63</v>
      </c>
      <c r="F35" s="221">
        <f>'Revenue Offset'!G34</f>
        <v>0.53242904110820199</v>
      </c>
      <c r="H35" s="35">
        <f t="shared" si="1"/>
        <v>115943.39767514437</v>
      </c>
    </row>
    <row r="36" spans="1:9" ht="15" customHeight="1" x14ac:dyDescent="0.2">
      <c r="A36" s="218" t="s">
        <v>43</v>
      </c>
      <c r="B36" s="219" t="s">
        <v>44</v>
      </c>
      <c r="C36" s="220">
        <v>849894.46</v>
      </c>
      <c r="D36" s="220">
        <v>807026.09</v>
      </c>
      <c r="E36" s="220">
        <f t="shared" si="0"/>
        <v>1656920.5499999998</v>
      </c>
      <c r="F36" s="221">
        <f>'Revenue Offset'!G35</f>
        <v>0.58769945824984193</v>
      </c>
      <c r="H36" s="35">
        <f t="shared" si="1"/>
        <v>683149.24040196976</v>
      </c>
    </row>
    <row r="37" spans="1:9" ht="15" customHeight="1" x14ac:dyDescent="0.2">
      <c r="A37" s="218" t="s">
        <v>45</v>
      </c>
      <c r="B37" s="219" t="s">
        <v>136</v>
      </c>
      <c r="C37" s="220"/>
      <c r="D37" s="220">
        <v>11918</v>
      </c>
      <c r="E37" s="220">
        <f t="shared" si="0"/>
        <v>11918</v>
      </c>
      <c r="F37" s="221">
        <f>'Revenue Offset'!G36</f>
        <v>0.53132935359523303</v>
      </c>
      <c r="H37" s="35">
        <f t="shared" si="1"/>
        <v>5585.6167638520128</v>
      </c>
    </row>
    <row r="38" spans="1:9" ht="15" customHeight="1" x14ac:dyDescent="0.2">
      <c r="A38" s="218" t="s">
        <v>47</v>
      </c>
      <c r="B38" s="219" t="s">
        <v>48</v>
      </c>
      <c r="C38" s="220">
        <v>73084.87</v>
      </c>
      <c r="D38" s="220">
        <v>201929.36</v>
      </c>
      <c r="E38" s="220">
        <f t="shared" si="0"/>
        <v>275014.23</v>
      </c>
      <c r="F38" s="221">
        <f>'Revenue Offset'!G37</f>
        <v>0.615448443409224</v>
      </c>
      <c r="H38" s="35">
        <f t="shared" si="1"/>
        <v>105757.15023111369</v>
      </c>
    </row>
    <row r="39" spans="1:9" ht="15" customHeight="1" x14ac:dyDescent="0.2">
      <c r="D39" s="11"/>
      <c r="F39" s="11"/>
      <c r="G39" s="15"/>
      <c r="I39" s="6"/>
    </row>
    <row r="40" spans="1:9" ht="15" customHeight="1" x14ac:dyDescent="0.2">
      <c r="B40" t="s">
        <v>49</v>
      </c>
      <c r="C40" s="226">
        <f>SUM(C9:C39)</f>
        <v>2468094.5700000003</v>
      </c>
      <c r="D40" s="226">
        <f>SUM(D9:D39)</f>
        <v>5279427.63</v>
      </c>
      <c r="E40" s="226">
        <f>SUM(E9:E39)</f>
        <v>7747522.2000000011</v>
      </c>
      <c r="F40" s="227">
        <f>'[2]Revenue Offset (2)'!G40</f>
        <v>0.58953142624222721</v>
      </c>
      <c r="H40" s="226">
        <f>SUM(H9:H39)</f>
        <v>3322909.6063128775</v>
      </c>
    </row>
    <row r="42" spans="1:9" ht="15" customHeight="1" x14ac:dyDescent="0.2">
      <c r="A42" s="16" t="s">
        <v>318</v>
      </c>
    </row>
    <row r="43" spans="1:9" ht="15" customHeight="1" x14ac:dyDescent="0.2">
      <c r="A43" s="16" t="s">
        <v>319</v>
      </c>
    </row>
    <row r="44" spans="1:9" ht="15" customHeight="1" x14ac:dyDescent="0.2">
      <c r="A44" s="16"/>
    </row>
  </sheetData>
  <phoneticPr fontId="11" type="noConversion"/>
  <pageMargins left="0.75" right="0.53" top="0.47" bottom="0.28999999999999998" header="0.5" footer="0.28999999999999998"/>
  <pageSetup scale="1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 tint="0.39997558519241921"/>
    <pageSetUpPr fitToPage="1"/>
  </sheetPr>
  <dimension ref="A1:L47"/>
  <sheetViews>
    <sheetView zoomScale="90" zoomScaleNormal="90" workbookViewId="0"/>
  </sheetViews>
  <sheetFormatPr defaultRowHeight="12.75" x14ac:dyDescent="0.2"/>
  <cols>
    <col min="1" max="1" width="6" style="239" customWidth="1"/>
    <col min="2" max="2" width="31.85546875" style="229" customWidth="1"/>
    <col min="3" max="3" width="14.7109375" style="230" customWidth="1"/>
    <col min="4" max="4" width="11.5703125" style="231" bestFit="1" customWidth="1"/>
    <col min="5" max="5" width="14.7109375" style="231" customWidth="1"/>
    <col min="6" max="6" width="15.140625" style="229" customWidth="1"/>
    <col min="7" max="7" width="13.5703125" style="232" customWidth="1"/>
    <col min="8" max="8" width="2.42578125" style="232" customWidth="1"/>
    <col min="9" max="9" width="10.7109375" style="229" hidden="1" customWidth="1"/>
    <col min="10" max="10" width="9.140625" style="229" hidden="1" customWidth="1"/>
    <col min="11" max="16384" width="9.140625" style="229"/>
  </cols>
  <sheetData>
    <row r="1" spans="1:12" ht="15.75" x14ac:dyDescent="0.25">
      <c r="A1" s="228" t="s">
        <v>254</v>
      </c>
      <c r="G1" s="457" t="s">
        <v>289</v>
      </c>
    </row>
    <row r="2" spans="1:12" x14ac:dyDescent="0.2">
      <c r="A2" s="233" t="s">
        <v>93</v>
      </c>
    </row>
    <row r="3" spans="1:12" x14ac:dyDescent="0.2">
      <c r="A3" s="233" t="s">
        <v>306</v>
      </c>
    </row>
    <row r="4" spans="1:12" s="235" customFormat="1" ht="12.75" customHeight="1" x14ac:dyDescent="0.2">
      <c r="A4" s="234" t="s">
        <v>158</v>
      </c>
      <c r="C4" s="236"/>
      <c r="D4" s="237"/>
      <c r="E4" s="237" t="s">
        <v>94</v>
      </c>
      <c r="G4" s="238" t="s">
        <v>159</v>
      </c>
      <c r="H4" s="238"/>
    </row>
    <row r="5" spans="1:12" x14ac:dyDescent="0.2">
      <c r="C5" s="236" t="s">
        <v>79</v>
      </c>
      <c r="D5" s="237" t="s">
        <v>74</v>
      </c>
      <c r="E5" s="237" t="s">
        <v>160</v>
      </c>
      <c r="F5" s="235" t="s">
        <v>76</v>
      </c>
      <c r="G5" s="238" t="s">
        <v>77</v>
      </c>
      <c r="H5" s="238"/>
    </row>
    <row r="6" spans="1:12" s="246" customFormat="1" ht="47.25" x14ac:dyDescent="0.25">
      <c r="A6" s="240" t="s">
        <v>0</v>
      </c>
      <c r="B6" s="240" t="s">
        <v>1</v>
      </c>
      <c r="C6" s="241" t="s">
        <v>307</v>
      </c>
      <c r="D6" s="242" t="s">
        <v>95</v>
      </c>
      <c r="E6" s="242" t="s">
        <v>96</v>
      </c>
      <c r="F6" s="243" t="s">
        <v>308</v>
      </c>
      <c r="G6" s="245" t="s">
        <v>119</v>
      </c>
      <c r="H6" s="244"/>
      <c r="I6" s="245" t="s">
        <v>309</v>
      </c>
      <c r="L6" s="479"/>
    </row>
    <row r="7" spans="1:12" s="246" customFormat="1" x14ac:dyDescent="0.2">
      <c r="A7" s="122"/>
      <c r="B7" s="122"/>
      <c r="C7" s="206"/>
      <c r="D7" s="248"/>
      <c r="E7" s="248"/>
      <c r="G7" s="249"/>
      <c r="H7" s="249"/>
    </row>
    <row r="8" spans="1:12" x14ac:dyDescent="0.2">
      <c r="A8" s="250" t="s">
        <v>2</v>
      </c>
      <c r="B8" s="251" t="s">
        <v>128</v>
      </c>
      <c r="C8" s="252">
        <v>21677140.850000001</v>
      </c>
      <c r="D8" s="253">
        <v>779879.89</v>
      </c>
      <c r="E8" s="254">
        <f t="shared" ref="E8:E37" si="0">C8-D8</f>
        <v>20897260.960000001</v>
      </c>
      <c r="F8" s="255">
        <v>11618375.17</v>
      </c>
      <c r="G8" s="406">
        <f>(E8-F8)/E8</f>
        <v>0.44402401863866087</v>
      </c>
      <c r="H8" s="256"/>
      <c r="I8" s="232">
        <v>0.45624173096297904</v>
      </c>
      <c r="J8" s="295">
        <f>G8-I8</f>
        <v>-1.2217712324318175E-2</v>
      </c>
    </row>
    <row r="9" spans="1:12" x14ac:dyDescent="0.2">
      <c r="A9" s="250" t="s">
        <v>4</v>
      </c>
      <c r="B9" s="251" t="s">
        <v>124</v>
      </c>
      <c r="C9" s="252">
        <v>64094982.859999999</v>
      </c>
      <c r="D9" s="253">
        <v>505960.71</v>
      </c>
      <c r="E9" s="254">
        <f t="shared" si="0"/>
        <v>63589022.149999999</v>
      </c>
      <c r="F9" s="255">
        <v>30335250.260000002</v>
      </c>
      <c r="G9" s="406">
        <f t="shared" ref="G9:G37" si="1">(E9-F9)/E9</f>
        <v>0.52294831349281878</v>
      </c>
      <c r="H9" s="256"/>
      <c r="I9" s="232">
        <v>0.50834573778135927</v>
      </c>
      <c r="J9" s="295">
        <f t="shared" ref="J9:J37" si="2">G9-I9</f>
        <v>1.4602575711459509E-2</v>
      </c>
    </row>
    <row r="10" spans="1:12" x14ac:dyDescent="0.2">
      <c r="A10" s="250" t="s">
        <v>5</v>
      </c>
      <c r="B10" s="251" t="s">
        <v>113</v>
      </c>
      <c r="C10" s="257">
        <v>68632045.170000002</v>
      </c>
      <c r="D10" s="253">
        <v>2170939.27</v>
      </c>
      <c r="E10" s="254">
        <f t="shared" si="0"/>
        <v>66461105.899999999</v>
      </c>
      <c r="F10" s="255">
        <v>25631908.449999999</v>
      </c>
      <c r="G10" s="406">
        <f t="shared" si="1"/>
        <v>0.61433220072252825</v>
      </c>
      <c r="H10" s="256"/>
      <c r="I10" s="232">
        <v>0.60988099843552557</v>
      </c>
      <c r="J10" s="295">
        <f t="shared" si="2"/>
        <v>4.4512022870026868E-3</v>
      </c>
    </row>
    <row r="11" spans="1:12" x14ac:dyDescent="0.2">
      <c r="A11" s="250" t="s">
        <v>6</v>
      </c>
      <c r="B11" s="251" t="s">
        <v>7</v>
      </c>
      <c r="C11" s="252">
        <v>27947223.850000001</v>
      </c>
      <c r="D11" s="253">
        <v>698450.88</v>
      </c>
      <c r="E11" s="254">
        <f t="shared" si="0"/>
        <v>27248772.970000003</v>
      </c>
      <c r="F11" s="255">
        <v>15097102.6</v>
      </c>
      <c r="G11" s="406">
        <f t="shared" si="1"/>
        <v>0.44595293826179216</v>
      </c>
      <c r="H11" s="256"/>
      <c r="I11" s="232">
        <v>0.42490060598437657</v>
      </c>
      <c r="J11" s="295">
        <f t="shared" si="2"/>
        <v>2.1052332277415597E-2</v>
      </c>
    </row>
    <row r="12" spans="1:12" x14ac:dyDescent="0.2">
      <c r="A12" s="250" t="s">
        <v>8</v>
      </c>
      <c r="B12" s="251" t="s">
        <v>9</v>
      </c>
      <c r="C12" s="252">
        <v>58599061.700000003</v>
      </c>
      <c r="D12" s="253">
        <v>395605.09</v>
      </c>
      <c r="E12" s="254">
        <f t="shared" si="0"/>
        <v>58203456.609999999</v>
      </c>
      <c r="F12" s="255">
        <v>27771303.550000001</v>
      </c>
      <c r="G12" s="406">
        <f t="shared" si="1"/>
        <v>0.52285817428189341</v>
      </c>
      <c r="H12" s="256"/>
      <c r="I12" s="232">
        <v>0.51986557297531943</v>
      </c>
      <c r="J12" s="295">
        <f t="shared" si="2"/>
        <v>2.9926013065739721E-3</v>
      </c>
    </row>
    <row r="13" spans="1:12" x14ac:dyDescent="0.2">
      <c r="A13" s="250" t="s">
        <v>10</v>
      </c>
      <c r="B13" s="3" t="s">
        <v>146</v>
      </c>
      <c r="C13" s="252">
        <v>54542129.380000003</v>
      </c>
      <c r="D13" s="253">
        <v>1526406.09</v>
      </c>
      <c r="E13" s="254">
        <f t="shared" si="0"/>
        <v>53015723.289999999</v>
      </c>
      <c r="F13" s="255">
        <v>26976523.969999999</v>
      </c>
      <c r="G13" s="406">
        <f t="shared" si="1"/>
        <v>0.49115993716738748</v>
      </c>
      <c r="H13" s="256"/>
      <c r="I13" s="232">
        <v>0.48658479272534444</v>
      </c>
      <c r="J13" s="295">
        <f t="shared" si="2"/>
        <v>4.5751444420430443E-3</v>
      </c>
    </row>
    <row r="14" spans="1:12" x14ac:dyDescent="0.2">
      <c r="A14" s="250" t="s">
        <v>12</v>
      </c>
      <c r="B14" s="251" t="s">
        <v>13</v>
      </c>
      <c r="C14" s="252">
        <v>9539255.2699999996</v>
      </c>
      <c r="D14" s="253">
        <v>10578.25</v>
      </c>
      <c r="E14" s="254">
        <f t="shared" si="0"/>
        <v>9528677.0199999996</v>
      </c>
      <c r="F14" s="255">
        <v>6035023.7599999998</v>
      </c>
      <c r="G14" s="406">
        <f t="shared" si="1"/>
        <v>0.36664620415479249</v>
      </c>
      <c r="H14" s="256"/>
      <c r="I14" s="232">
        <v>0.38701773848753035</v>
      </c>
      <c r="J14" s="295">
        <f t="shared" si="2"/>
        <v>-2.0371534332737862E-2</v>
      </c>
    </row>
    <row r="15" spans="1:12" x14ac:dyDescent="0.2">
      <c r="A15" s="250" t="s">
        <v>14</v>
      </c>
      <c r="B15" s="251" t="s">
        <v>139</v>
      </c>
      <c r="C15" s="252">
        <v>39229620.310000002</v>
      </c>
      <c r="D15" s="253">
        <v>1313877.8799999999</v>
      </c>
      <c r="E15" s="254">
        <f t="shared" si="0"/>
        <v>37915742.43</v>
      </c>
      <c r="F15" s="255">
        <v>21188774.550000001</v>
      </c>
      <c r="G15" s="406">
        <f t="shared" si="1"/>
        <v>0.44116155475212726</v>
      </c>
      <c r="H15" s="256"/>
      <c r="I15" s="232">
        <v>0.43354811038127306</v>
      </c>
      <c r="J15" s="295">
        <f t="shared" si="2"/>
        <v>7.6134443708542054E-3</v>
      </c>
    </row>
    <row r="16" spans="1:12" x14ac:dyDescent="0.2">
      <c r="A16" s="250" t="s">
        <v>16</v>
      </c>
      <c r="B16" s="251" t="s">
        <v>17</v>
      </c>
      <c r="C16" s="252">
        <v>33891724.170000002</v>
      </c>
      <c r="D16" s="253">
        <v>1999806.92</v>
      </c>
      <c r="E16" s="254">
        <f t="shared" si="0"/>
        <v>31891917.25</v>
      </c>
      <c r="F16" s="255">
        <v>16440294.039999999</v>
      </c>
      <c r="G16" s="406">
        <f t="shared" si="1"/>
        <v>0.48449966456626248</v>
      </c>
      <c r="H16" s="256"/>
      <c r="I16" s="232">
        <v>0.47449863887623561</v>
      </c>
      <c r="J16" s="295">
        <f t="shared" si="2"/>
        <v>1.0001025690026866E-2</v>
      </c>
    </row>
    <row r="17" spans="1:10" x14ac:dyDescent="0.2">
      <c r="A17" s="250" t="s">
        <v>18</v>
      </c>
      <c r="B17" s="251" t="s">
        <v>140</v>
      </c>
      <c r="C17" s="252">
        <v>81004393.349999994</v>
      </c>
      <c r="D17" s="253">
        <v>238658.83</v>
      </c>
      <c r="E17" s="254">
        <f t="shared" si="0"/>
        <v>80765734.519999996</v>
      </c>
      <c r="F17" s="255">
        <v>31404284.84</v>
      </c>
      <c r="G17" s="406">
        <f t="shared" si="1"/>
        <v>0.61116821351728845</v>
      </c>
      <c r="H17" s="256"/>
      <c r="I17" s="232">
        <v>0.60709468026712787</v>
      </c>
      <c r="J17" s="295">
        <f t="shared" si="2"/>
        <v>4.073533250160577E-3</v>
      </c>
    </row>
    <row r="18" spans="1:10" x14ac:dyDescent="0.2">
      <c r="A18" s="250" t="s">
        <v>19</v>
      </c>
      <c r="B18" s="251" t="s">
        <v>20</v>
      </c>
      <c r="C18" s="252">
        <v>49159081.740000002</v>
      </c>
      <c r="D18" s="253">
        <v>76282.69</v>
      </c>
      <c r="E18" s="254">
        <f t="shared" si="0"/>
        <v>49082799.050000004</v>
      </c>
      <c r="F18" s="255">
        <v>25193806.649999999</v>
      </c>
      <c r="G18" s="406">
        <f t="shared" si="1"/>
        <v>0.48670802933762197</v>
      </c>
      <c r="H18" s="256"/>
      <c r="I18" s="232">
        <v>0.48032518569439686</v>
      </c>
      <c r="J18" s="295">
        <f t="shared" si="2"/>
        <v>6.3828436432251112E-3</v>
      </c>
    </row>
    <row r="19" spans="1:10" x14ac:dyDescent="0.2">
      <c r="A19" s="250" t="s">
        <v>21</v>
      </c>
      <c r="B19" s="258" t="s">
        <v>177</v>
      </c>
      <c r="C19" s="252">
        <v>15589206.58</v>
      </c>
      <c r="D19" s="253">
        <v>356036.7</v>
      </c>
      <c r="E19" s="254">
        <f t="shared" si="0"/>
        <v>15233169.880000001</v>
      </c>
      <c r="F19" s="255">
        <v>9105900.9800000004</v>
      </c>
      <c r="G19" s="406">
        <f>(E19-F19)/E19</f>
        <v>0.40223203366520849</v>
      </c>
      <c r="H19" s="256"/>
      <c r="I19" s="232">
        <v>0.41354569882419179</v>
      </c>
      <c r="J19" s="295">
        <f t="shared" si="2"/>
        <v>-1.1313665158983299E-2</v>
      </c>
    </row>
    <row r="20" spans="1:10" x14ac:dyDescent="0.2">
      <c r="A20" s="259" t="s">
        <v>109</v>
      </c>
      <c r="B20" s="251" t="s">
        <v>141</v>
      </c>
      <c r="C20" s="252">
        <v>43905375.189999998</v>
      </c>
      <c r="D20" s="253">
        <v>608725.74</v>
      </c>
      <c r="E20" s="254">
        <f>C20-D20</f>
        <v>43296649.449999996</v>
      </c>
      <c r="F20" s="255">
        <v>22383814.260000002</v>
      </c>
      <c r="G20" s="406">
        <f t="shared" si="1"/>
        <v>0.48301278402964265</v>
      </c>
      <c r="H20" s="256"/>
      <c r="I20" s="232">
        <v>0.47853785466514365</v>
      </c>
      <c r="J20" s="295">
        <f t="shared" si="2"/>
        <v>4.4749293644990029E-3</v>
      </c>
    </row>
    <row r="21" spans="1:10" x14ac:dyDescent="0.2">
      <c r="A21" s="250" t="s">
        <v>26</v>
      </c>
      <c r="B21" s="251" t="s">
        <v>62</v>
      </c>
      <c r="C21" s="252">
        <v>73991293.409999996</v>
      </c>
      <c r="D21" s="253">
        <v>133148.72</v>
      </c>
      <c r="E21" s="254">
        <f t="shared" si="0"/>
        <v>73858144.689999998</v>
      </c>
      <c r="F21" s="255">
        <v>29866649.800000001</v>
      </c>
      <c r="G21" s="406">
        <f t="shared" si="1"/>
        <v>0.59562144533473793</v>
      </c>
      <c r="H21" s="256"/>
      <c r="I21" s="232">
        <v>0.58180416703013171</v>
      </c>
      <c r="J21" s="295">
        <f t="shared" si="2"/>
        <v>1.3817278304606218E-2</v>
      </c>
    </row>
    <row r="22" spans="1:10" x14ac:dyDescent="0.2">
      <c r="A22" s="250" t="s">
        <v>22</v>
      </c>
      <c r="B22" s="251" t="s">
        <v>23</v>
      </c>
      <c r="C22" s="252">
        <v>185452300.87</v>
      </c>
      <c r="D22" s="253">
        <v>7459103.5199999996</v>
      </c>
      <c r="E22" s="254">
        <f t="shared" si="0"/>
        <v>177993197.34999999</v>
      </c>
      <c r="F22" s="255">
        <v>60990598.409999996</v>
      </c>
      <c r="G22" s="406">
        <f t="shared" si="1"/>
        <v>0.6573430933426625</v>
      </c>
      <c r="H22" s="256"/>
      <c r="I22" s="232">
        <v>0.64793537964652148</v>
      </c>
      <c r="J22" s="295">
        <f t="shared" si="2"/>
        <v>9.4077136961410179E-3</v>
      </c>
    </row>
    <row r="23" spans="1:10" x14ac:dyDescent="0.2">
      <c r="A23" s="250" t="s">
        <v>24</v>
      </c>
      <c r="B23" s="251" t="s">
        <v>137</v>
      </c>
      <c r="C23" s="252">
        <v>24627180.129999999</v>
      </c>
      <c r="D23" s="253">
        <v>275242.15999999997</v>
      </c>
      <c r="E23" s="254">
        <f t="shared" si="0"/>
        <v>24351937.969999999</v>
      </c>
      <c r="F23" s="255">
        <v>13301697.23</v>
      </c>
      <c r="G23" s="406">
        <f t="shared" si="1"/>
        <v>0.45377253973023318</v>
      </c>
      <c r="H23" s="256"/>
      <c r="I23" s="232">
        <v>0.4518890697250138</v>
      </c>
      <c r="J23" s="295">
        <f t="shared" si="2"/>
        <v>1.8834700052193787E-3</v>
      </c>
    </row>
    <row r="24" spans="1:10" x14ac:dyDescent="0.2">
      <c r="A24" s="250" t="s">
        <v>27</v>
      </c>
      <c r="B24" s="251" t="s">
        <v>132</v>
      </c>
      <c r="C24" s="252">
        <v>63718642</v>
      </c>
      <c r="D24" s="253">
        <v>169642.66</v>
      </c>
      <c r="E24" s="254">
        <f t="shared" si="0"/>
        <v>63548999.340000004</v>
      </c>
      <c r="F24" s="255">
        <v>27074133.09</v>
      </c>
      <c r="G24" s="406">
        <f t="shared" si="1"/>
        <v>0.57396444678620484</v>
      </c>
      <c r="H24" s="256"/>
      <c r="I24" s="232">
        <v>0.5727525915925874</v>
      </c>
      <c r="J24" s="295">
        <f t="shared" si="2"/>
        <v>1.2118551936174393E-3</v>
      </c>
    </row>
    <row r="25" spans="1:10" x14ac:dyDescent="0.2">
      <c r="A25" s="250" t="s">
        <v>29</v>
      </c>
      <c r="B25" s="251" t="s">
        <v>133</v>
      </c>
      <c r="C25" s="252">
        <v>42296696.119999997</v>
      </c>
      <c r="D25" s="253">
        <v>960862</v>
      </c>
      <c r="E25" s="254">
        <f t="shared" si="0"/>
        <v>41335834.119999997</v>
      </c>
      <c r="F25" s="255">
        <v>19750406.68</v>
      </c>
      <c r="G25" s="406">
        <f t="shared" si="1"/>
        <v>0.5221964888221784</v>
      </c>
      <c r="H25" s="256"/>
      <c r="I25" s="232">
        <v>0.52782979805302599</v>
      </c>
      <c r="J25" s="295">
        <f t="shared" si="2"/>
        <v>-5.6333092308475941E-3</v>
      </c>
    </row>
    <row r="26" spans="1:10" x14ac:dyDescent="0.2">
      <c r="A26" s="259" t="s">
        <v>118</v>
      </c>
      <c r="B26" s="251" t="s">
        <v>63</v>
      </c>
      <c r="C26" s="257">
        <v>39753907.890000001</v>
      </c>
      <c r="D26" s="253">
        <v>540211.07999999996</v>
      </c>
      <c r="E26" s="254">
        <f t="shared" si="0"/>
        <v>39213696.810000002</v>
      </c>
      <c r="F26" s="255">
        <v>21526827.649999999</v>
      </c>
      <c r="G26" s="406">
        <f t="shared" si="1"/>
        <v>0.45103804534668668</v>
      </c>
      <c r="H26" s="256"/>
      <c r="I26" s="232">
        <v>0.46673244262792274</v>
      </c>
      <c r="J26" s="295">
        <f t="shared" si="2"/>
        <v>-1.5694397281236061E-2</v>
      </c>
    </row>
    <row r="27" spans="1:10" x14ac:dyDescent="0.2">
      <c r="A27" s="260" t="s">
        <v>110</v>
      </c>
      <c r="B27" s="251" t="s">
        <v>134</v>
      </c>
      <c r="C27" s="252">
        <v>25984275.129999999</v>
      </c>
      <c r="D27" s="253">
        <v>957613.9</v>
      </c>
      <c r="E27" s="254">
        <f t="shared" si="0"/>
        <v>25026661.23</v>
      </c>
      <c r="F27" s="255">
        <v>13434744.41</v>
      </c>
      <c r="G27" s="406">
        <f t="shared" si="1"/>
        <v>0.4631827119673686</v>
      </c>
      <c r="H27" s="256"/>
      <c r="I27" s="232">
        <v>0.45134056461173905</v>
      </c>
      <c r="J27" s="295">
        <f t="shared" si="2"/>
        <v>1.1842147355629551E-2</v>
      </c>
    </row>
    <row r="28" spans="1:10" x14ac:dyDescent="0.2">
      <c r="A28" s="250" t="s">
        <v>33</v>
      </c>
      <c r="B28" s="251" t="s">
        <v>130</v>
      </c>
      <c r="C28" s="252">
        <v>8231214.8099999996</v>
      </c>
      <c r="D28" s="253">
        <v>155648.45000000001</v>
      </c>
      <c r="E28" s="254">
        <f t="shared" si="0"/>
        <v>8075566.3599999994</v>
      </c>
      <c r="F28" s="255">
        <v>4863455.99</v>
      </c>
      <c r="G28" s="406">
        <f t="shared" si="1"/>
        <v>0.39775666830134243</v>
      </c>
      <c r="H28" s="256"/>
      <c r="I28" s="232">
        <v>0.38473777608673843</v>
      </c>
      <c r="J28" s="295">
        <f t="shared" si="2"/>
        <v>1.3018892214604005E-2</v>
      </c>
    </row>
    <row r="29" spans="1:10" x14ac:dyDescent="0.2">
      <c r="A29" s="250" t="s">
        <v>35</v>
      </c>
      <c r="B29" s="251" t="s">
        <v>36</v>
      </c>
      <c r="C29" s="252">
        <v>30294192.899999999</v>
      </c>
      <c r="D29" s="253">
        <v>607127.43000000005</v>
      </c>
      <c r="E29" s="254">
        <f t="shared" si="0"/>
        <v>29687065.469999999</v>
      </c>
      <c r="F29" s="255">
        <v>16086046.859999999</v>
      </c>
      <c r="G29" s="406">
        <f t="shared" si="1"/>
        <v>0.45814628002705043</v>
      </c>
      <c r="H29" s="256"/>
      <c r="I29" s="232">
        <v>0.45901342234845049</v>
      </c>
      <c r="J29" s="295">
        <f t="shared" si="2"/>
        <v>-8.6714232140006064E-4</v>
      </c>
    </row>
    <row r="30" spans="1:10" x14ac:dyDescent="0.2">
      <c r="A30" s="250" t="s">
        <v>37</v>
      </c>
      <c r="B30" s="251" t="s">
        <v>131</v>
      </c>
      <c r="C30" s="252">
        <v>24359700.850000001</v>
      </c>
      <c r="D30" s="253">
        <v>678819.85</v>
      </c>
      <c r="E30" s="254">
        <f t="shared" si="0"/>
        <v>23680881</v>
      </c>
      <c r="F30" s="255">
        <v>12205322.060000001</v>
      </c>
      <c r="G30" s="406">
        <f t="shared" si="1"/>
        <v>0.48459172359339164</v>
      </c>
      <c r="H30" s="256"/>
      <c r="I30" s="232">
        <v>0.4677055420678205</v>
      </c>
      <c r="J30" s="295">
        <f t="shared" si="2"/>
        <v>1.6886181525571142E-2</v>
      </c>
    </row>
    <row r="31" spans="1:10" x14ac:dyDescent="0.2">
      <c r="A31" s="250" t="s">
        <v>39</v>
      </c>
      <c r="B31" s="251" t="s">
        <v>135</v>
      </c>
      <c r="C31" s="252">
        <v>39801174.549999997</v>
      </c>
      <c r="D31" s="253">
        <v>597805.93000000005</v>
      </c>
      <c r="E31" s="254">
        <f t="shared" si="0"/>
        <v>39203368.619999997</v>
      </c>
      <c r="F31" s="255">
        <v>18505051.09</v>
      </c>
      <c r="G31" s="406">
        <f t="shared" si="1"/>
        <v>0.52797293341370011</v>
      </c>
      <c r="H31" s="256"/>
      <c r="I31" s="232">
        <v>0.51278105124676165</v>
      </c>
      <c r="J31" s="295">
        <f t="shared" si="2"/>
        <v>1.5191882166938453E-2</v>
      </c>
    </row>
    <row r="32" spans="1:10" x14ac:dyDescent="0.2">
      <c r="A32" s="250" t="s">
        <v>46</v>
      </c>
      <c r="B32" s="251" t="s">
        <v>70</v>
      </c>
      <c r="C32" s="252">
        <v>45275126.170000002</v>
      </c>
      <c r="D32" s="253">
        <v>384893.66</v>
      </c>
      <c r="E32" s="254">
        <f t="shared" si="0"/>
        <v>44890232.510000005</v>
      </c>
      <c r="F32" s="255">
        <v>20904427.050000001</v>
      </c>
      <c r="G32" s="406">
        <f t="shared" si="1"/>
        <v>0.53432125696067156</v>
      </c>
      <c r="H32" s="256"/>
      <c r="I32" s="232">
        <v>0.53867318241761786</v>
      </c>
      <c r="J32" s="295">
        <f t="shared" si="2"/>
        <v>-4.3519254569462928E-3</v>
      </c>
    </row>
    <row r="33" spans="1:10" x14ac:dyDescent="0.2">
      <c r="A33" s="250" t="s">
        <v>41</v>
      </c>
      <c r="B33" s="251" t="s">
        <v>117</v>
      </c>
      <c r="C33" s="252">
        <v>25875970.359999999</v>
      </c>
      <c r="D33" s="253">
        <v>300968.07</v>
      </c>
      <c r="E33" s="254">
        <f>C33-D33</f>
        <v>25575002.289999999</v>
      </c>
      <c r="F33" s="255">
        <v>13918919.810000001</v>
      </c>
      <c r="G33" s="406">
        <f t="shared" si="1"/>
        <v>0.4557607599729368</v>
      </c>
      <c r="H33" s="256"/>
      <c r="I33" s="232">
        <v>0.44840568936189645</v>
      </c>
      <c r="J33" s="295">
        <f t="shared" si="2"/>
        <v>7.3550706110403485E-3</v>
      </c>
    </row>
    <row r="34" spans="1:10" x14ac:dyDescent="0.2">
      <c r="A34" s="250" t="s">
        <v>42</v>
      </c>
      <c r="B34" s="251" t="s">
        <v>69</v>
      </c>
      <c r="C34" s="252">
        <v>42432940.990000002</v>
      </c>
      <c r="D34" s="253">
        <v>681411.69</v>
      </c>
      <c r="E34" s="254">
        <f t="shared" si="0"/>
        <v>41751529.300000004</v>
      </c>
      <c r="F34" s="255">
        <v>19521802.59</v>
      </c>
      <c r="G34" s="406">
        <f t="shared" si="1"/>
        <v>0.53242904110820199</v>
      </c>
      <c r="H34" s="256"/>
      <c r="I34" s="232">
        <v>0.53002968146986207</v>
      </c>
      <c r="J34" s="295">
        <f t="shared" si="2"/>
        <v>2.3993596383399263E-3</v>
      </c>
    </row>
    <row r="35" spans="1:10" x14ac:dyDescent="0.2">
      <c r="A35" s="250" t="s">
        <v>43</v>
      </c>
      <c r="B35" s="251" t="s">
        <v>44</v>
      </c>
      <c r="C35" s="252">
        <v>151599767.16</v>
      </c>
      <c r="D35" s="253">
        <v>1828039.75</v>
      </c>
      <c r="E35" s="254">
        <f t="shared" si="0"/>
        <v>149771727.41</v>
      </c>
      <c r="F35" s="255">
        <v>61750964.350000001</v>
      </c>
      <c r="G35" s="406">
        <f t="shared" si="1"/>
        <v>0.58769945824984193</v>
      </c>
      <c r="H35" s="256"/>
      <c r="I35" s="232">
        <v>0.58053903257431694</v>
      </c>
      <c r="J35" s="295">
        <f t="shared" si="2"/>
        <v>7.1604256755249951E-3</v>
      </c>
    </row>
    <row r="36" spans="1:10" x14ac:dyDescent="0.2">
      <c r="A36" s="250" t="s">
        <v>45</v>
      </c>
      <c r="B36" s="251" t="s">
        <v>136</v>
      </c>
      <c r="C36" s="252">
        <v>33626650.799999997</v>
      </c>
      <c r="D36" s="253">
        <v>117819.32</v>
      </c>
      <c r="E36" s="254">
        <f t="shared" si="0"/>
        <v>33508831.479999997</v>
      </c>
      <c r="F36" s="255">
        <v>15704605.710000001</v>
      </c>
      <c r="G36" s="406">
        <f t="shared" si="1"/>
        <v>0.53132935359523303</v>
      </c>
      <c r="H36" s="256"/>
      <c r="I36" s="232">
        <v>0.52138000733701717</v>
      </c>
      <c r="J36" s="295">
        <f t="shared" si="2"/>
        <v>9.9493462582158632E-3</v>
      </c>
    </row>
    <row r="37" spans="1:10" x14ac:dyDescent="0.2">
      <c r="A37" s="250" t="s">
        <v>47</v>
      </c>
      <c r="B37" s="251" t="s">
        <v>48</v>
      </c>
      <c r="C37" s="252">
        <v>103446494.84999999</v>
      </c>
      <c r="D37" s="253">
        <v>4302354.7300000004</v>
      </c>
      <c r="E37" s="254">
        <f t="shared" si="0"/>
        <v>99144140.11999999</v>
      </c>
      <c r="F37" s="255">
        <v>38126033.409999996</v>
      </c>
      <c r="G37" s="406">
        <f t="shared" si="1"/>
        <v>0.615448443409224</v>
      </c>
      <c r="H37" s="256"/>
      <c r="I37" s="232">
        <v>0.6051392142122235</v>
      </c>
      <c r="J37" s="295">
        <f t="shared" si="2"/>
        <v>1.0309229197000502E-2</v>
      </c>
    </row>
    <row r="38" spans="1:10" x14ac:dyDescent="0.2">
      <c r="C38" s="261"/>
      <c r="D38" s="262"/>
      <c r="E38" s="262"/>
      <c r="F38" s="263"/>
      <c r="G38" s="264"/>
      <c r="H38" s="264"/>
    </row>
    <row r="39" spans="1:10" x14ac:dyDescent="0.2">
      <c r="B39" s="229" t="s">
        <v>49</v>
      </c>
      <c r="C39" s="261">
        <f>SUM(C8:C38)</f>
        <v>1528578769.4099996</v>
      </c>
      <c r="D39" s="262">
        <f>SUM(D8:D38)</f>
        <v>30831921.859999999</v>
      </c>
      <c r="E39" s="262">
        <f>SUM(E8:E38)</f>
        <v>1497746847.5500002</v>
      </c>
      <c r="F39" s="262">
        <f>SUM(F8:F38)</f>
        <v>676714049.26999998</v>
      </c>
      <c r="G39" s="256">
        <f>(E39-F39)/E39</f>
        <v>0.54817861885206953</v>
      </c>
      <c r="H39" s="264"/>
      <c r="I39" s="232">
        <v>0.58917622469614928</v>
      </c>
      <c r="J39" s="296">
        <f>AVERAGE(J8:J38)</f>
        <v>4.3400932693080018E-3</v>
      </c>
    </row>
    <row r="40" spans="1:10" x14ac:dyDescent="0.2">
      <c r="A40" s="265" t="s">
        <v>125</v>
      </c>
      <c r="C40" s="261"/>
      <c r="D40" s="262"/>
      <c r="E40" s="262"/>
      <c r="F40" s="263"/>
      <c r="H40" s="264"/>
    </row>
    <row r="41" spans="1:10" x14ac:dyDescent="0.2">
      <c r="A41" s="266"/>
      <c r="C41" s="261"/>
      <c r="D41" s="262"/>
      <c r="E41" s="262"/>
      <c r="F41" s="263"/>
      <c r="H41" s="264"/>
    </row>
    <row r="42" spans="1:10" x14ac:dyDescent="0.2">
      <c r="A42" s="16" t="s">
        <v>318</v>
      </c>
      <c r="C42" s="261"/>
      <c r="D42" s="262"/>
      <c r="E42" s="262"/>
      <c r="F42" s="263"/>
      <c r="G42" s="264"/>
      <c r="H42" s="264"/>
    </row>
    <row r="43" spans="1:10" x14ac:dyDescent="0.2">
      <c r="A43" s="16" t="s">
        <v>319</v>
      </c>
      <c r="C43" s="261"/>
      <c r="D43" s="262"/>
      <c r="E43" s="262"/>
      <c r="F43" s="263"/>
      <c r="G43" s="264"/>
      <c r="H43" s="264"/>
    </row>
    <row r="44" spans="1:10" x14ac:dyDescent="0.2">
      <c r="A44" s="267"/>
      <c r="C44" s="261"/>
      <c r="D44" s="262"/>
      <c r="E44" s="262"/>
      <c r="F44" s="263"/>
      <c r="G44" s="264"/>
      <c r="H44" s="264"/>
    </row>
    <row r="45" spans="1:10" x14ac:dyDescent="0.2">
      <c r="C45" s="261"/>
      <c r="D45" s="261"/>
      <c r="E45" s="261"/>
      <c r="F45" s="263"/>
      <c r="G45" s="264"/>
      <c r="H45" s="264"/>
    </row>
    <row r="46" spans="1:10" x14ac:dyDescent="0.2">
      <c r="C46" s="261"/>
      <c r="D46" s="262"/>
      <c r="E46" s="262"/>
      <c r="F46" s="263"/>
      <c r="G46" s="264"/>
      <c r="H46" s="264"/>
    </row>
    <row r="47" spans="1:10" x14ac:dyDescent="0.2">
      <c r="C47" s="261"/>
      <c r="D47" s="262"/>
      <c r="E47" s="262"/>
      <c r="F47" s="263"/>
      <c r="G47" s="264"/>
      <c r="H47" s="264"/>
    </row>
  </sheetData>
  <pageMargins left="0.7" right="0.7" top="0.75" bottom="0.75" header="0.3" footer="0.3"/>
  <pageSetup scale="8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C15"/>
  <sheetViews>
    <sheetView workbookViewId="0">
      <selection activeCell="A35" sqref="A35"/>
    </sheetView>
  </sheetViews>
  <sheetFormatPr defaultRowHeight="12.75" x14ac:dyDescent="0.2"/>
  <cols>
    <col min="1" max="1" width="35.42578125" bestFit="1" customWidth="1"/>
    <col min="2" max="2" width="10.28515625" bestFit="1" customWidth="1"/>
    <col min="3" max="3" width="9.140625" style="398"/>
  </cols>
  <sheetData>
    <row r="2" spans="1:3" x14ac:dyDescent="0.2">
      <c r="A2" s="207" t="s">
        <v>257</v>
      </c>
    </row>
    <row r="4" spans="1:3" ht="38.25" x14ac:dyDescent="0.2">
      <c r="B4" s="400" t="s">
        <v>261</v>
      </c>
      <c r="C4" s="401" t="s">
        <v>262</v>
      </c>
    </row>
    <row r="5" spans="1:3" x14ac:dyDescent="0.2">
      <c r="A5" s="395" t="s">
        <v>214</v>
      </c>
      <c r="B5" s="11">
        <f>Summary!R42</f>
        <v>0</v>
      </c>
      <c r="C5" s="399">
        <f>Summary!S42</f>
        <v>0</v>
      </c>
    </row>
    <row r="6" spans="1:3" x14ac:dyDescent="0.2">
      <c r="A6" s="395" t="s">
        <v>207</v>
      </c>
      <c r="B6" s="11">
        <f>Summary!R43</f>
        <v>0</v>
      </c>
      <c r="C6" s="399">
        <f>Summary!S43</f>
        <v>0</v>
      </c>
    </row>
    <row r="7" spans="1:3" x14ac:dyDescent="0.2">
      <c r="A7" s="395"/>
    </row>
    <row r="8" spans="1:3" s="393" customFormat="1" x14ac:dyDescent="0.2">
      <c r="A8" s="394" t="s">
        <v>255</v>
      </c>
      <c r="B8" s="397">
        <f>Summary!R44</f>
        <v>0</v>
      </c>
      <c r="C8" s="399">
        <f>Summary!S44</f>
        <v>0</v>
      </c>
    </row>
    <row r="9" spans="1:3" x14ac:dyDescent="0.2">
      <c r="A9" s="395" t="s">
        <v>256</v>
      </c>
      <c r="B9" s="397">
        <f>Summary!R45</f>
        <v>0</v>
      </c>
      <c r="C9" s="399">
        <f>Summary!S45</f>
        <v>0</v>
      </c>
    </row>
    <row r="10" spans="1:3" x14ac:dyDescent="0.2">
      <c r="A10" s="395"/>
    </row>
    <row r="11" spans="1:3" x14ac:dyDescent="0.2">
      <c r="A11" s="396" t="s">
        <v>258</v>
      </c>
      <c r="B11" s="11">
        <f>Summary!R46</f>
        <v>0</v>
      </c>
      <c r="C11" s="399">
        <f>Summary!S46</f>
        <v>0</v>
      </c>
    </row>
    <row r="12" spans="1:3" x14ac:dyDescent="0.2">
      <c r="A12" s="396" t="s">
        <v>259</v>
      </c>
      <c r="B12" s="11">
        <f>Summary!R47</f>
        <v>0</v>
      </c>
      <c r="C12" s="399">
        <f>Summary!S47</f>
        <v>0</v>
      </c>
    </row>
    <row r="15" spans="1:3" x14ac:dyDescent="0.2">
      <c r="A15" s="207" t="s">
        <v>260</v>
      </c>
      <c r="B15" s="11">
        <f>Summary!R40</f>
        <v>0</v>
      </c>
      <c r="C15" s="399">
        <f>B15/Summary!O41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58"/>
  <sheetViews>
    <sheetView tabSelected="1" zoomScale="80" zoomScaleNormal="80" workbookViewId="0">
      <pane xSplit="3" ySplit="5" topLeftCell="D6" activePane="bottomRight" state="frozen"/>
      <selection activeCell="D23" sqref="D23"/>
      <selection pane="topRight" activeCell="D23" sqref="D23"/>
      <selection pane="bottomLeft" activeCell="D23" sqref="D23"/>
      <selection pane="bottomRight" activeCell="C2" sqref="C2"/>
    </sheetView>
  </sheetViews>
  <sheetFormatPr defaultRowHeight="12.75" x14ac:dyDescent="0.2"/>
  <cols>
    <col min="1" max="1" width="4.7109375" hidden="1" customWidth="1"/>
    <col min="2" max="2" width="6.85546875" customWidth="1"/>
    <col min="3" max="3" width="32.140625" bestFit="1" customWidth="1"/>
    <col min="4" max="4" width="8" style="54" customWidth="1"/>
    <col min="5" max="5" width="12.85546875" style="54" customWidth="1"/>
    <col min="6" max="6" width="13.85546875" style="54" customWidth="1"/>
    <col min="7" max="7" width="10.7109375" style="54" customWidth="1"/>
    <col min="8" max="8" width="10.5703125" style="54" customWidth="1"/>
    <col min="9" max="9" width="15.5703125" style="54" customWidth="1"/>
    <col min="10" max="10" width="17" bestFit="1" customWidth="1"/>
    <col min="11" max="11" width="12.5703125" style="6" customWidth="1"/>
    <col min="12" max="12" width="13.140625" style="68" bestFit="1" customWidth="1"/>
    <col min="13" max="13" width="9" style="43" customWidth="1"/>
    <col min="14" max="14" width="12.5703125" customWidth="1"/>
    <col min="15" max="15" width="13.42578125" style="54" customWidth="1"/>
    <col min="16" max="16" width="14.28515625" style="54" customWidth="1"/>
    <col min="17" max="17" width="13.7109375" style="6" customWidth="1"/>
    <col min="18" max="18" width="13" bestFit="1" customWidth="1"/>
    <col min="19" max="19" width="8.28515625" customWidth="1"/>
    <col min="20" max="20" width="2.7109375" customWidth="1"/>
    <col min="21" max="21" width="13.42578125" customWidth="1"/>
    <col min="22" max="22" width="14.5703125" style="24" customWidth="1"/>
    <col min="23" max="23" width="13.42578125" customWidth="1"/>
    <col min="25" max="25" width="11.5703125" bestFit="1" customWidth="1"/>
  </cols>
  <sheetData>
    <row r="1" spans="1:26" s="15" customFormat="1" ht="15.75" x14ac:dyDescent="0.25">
      <c r="A1" s="196"/>
      <c r="B1" s="39"/>
      <c r="D1" s="177"/>
      <c r="E1" s="91"/>
      <c r="F1" s="91"/>
      <c r="G1" s="91"/>
      <c r="H1" s="91"/>
      <c r="I1" s="47"/>
      <c r="J1" s="451"/>
      <c r="K1" s="22"/>
      <c r="L1" s="66"/>
      <c r="M1" s="49"/>
      <c r="O1" s="58"/>
      <c r="P1" s="88"/>
      <c r="Q1" s="28"/>
      <c r="R1" s="458"/>
      <c r="V1" s="214"/>
      <c r="W1" s="458"/>
    </row>
    <row r="2" spans="1:26" s="15" customFormat="1" ht="24.75" customHeight="1" x14ac:dyDescent="0.2">
      <c r="A2" s="196"/>
      <c r="B2" s="196"/>
      <c r="C2" s="196"/>
      <c r="D2" s="91"/>
      <c r="E2" s="91"/>
      <c r="F2" s="91"/>
      <c r="G2" s="91"/>
      <c r="H2" s="91"/>
      <c r="I2" s="47"/>
      <c r="J2" s="26" t="s">
        <v>148</v>
      </c>
      <c r="K2" s="25" t="s">
        <v>149</v>
      </c>
      <c r="L2" s="66"/>
      <c r="M2" s="44" t="s">
        <v>150</v>
      </c>
      <c r="N2" s="86" t="s">
        <v>151</v>
      </c>
      <c r="O2" s="86" t="s">
        <v>154</v>
      </c>
      <c r="P2" s="48" t="s">
        <v>153</v>
      </c>
      <c r="Q2" s="25" t="s">
        <v>155</v>
      </c>
      <c r="R2" s="26" t="s">
        <v>156</v>
      </c>
      <c r="S2" s="48" t="s">
        <v>157</v>
      </c>
      <c r="U2" s="205"/>
      <c r="V2" s="214"/>
      <c r="W2" s="205"/>
    </row>
    <row r="3" spans="1:26" s="15" customFormat="1" x14ac:dyDescent="0.2">
      <c r="A3" s="29"/>
      <c r="B3" s="19"/>
      <c r="C3" s="19"/>
      <c r="D3" s="178"/>
      <c r="E3" s="59" t="s">
        <v>52</v>
      </c>
      <c r="F3" s="59" t="s">
        <v>53</v>
      </c>
      <c r="G3" s="59" t="s">
        <v>55</v>
      </c>
      <c r="H3" s="59" t="s">
        <v>54</v>
      </c>
      <c r="I3" s="59" t="s">
        <v>56</v>
      </c>
      <c r="J3" s="14" t="s">
        <v>57</v>
      </c>
      <c r="K3" s="23" t="s">
        <v>58</v>
      </c>
      <c r="L3" s="67" t="s">
        <v>59</v>
      </c>
      <c r="M3" s="45" t="s">
        <v>51</v>
      </c>
      <c r="N3" s="14" t="s">
        <v>120</v>
      </c>
      <c r="O3" s="59" t="s">
        <v>60</v>
      </c>
      <c r="P3" s="59" t="s">
        <v>152</v>
      </c>
      <c r="Q3" s="23" t="s">
        <v>61</v>
      </c>
      <c r="R3" s="14" t="s">
        <v>64</v>
      </c>
      <c r="S3" s="47" t="s">
        <v>65</v>
      </c>
      <c r="U3" s="47" t="s">
        <v>115</v>
      </c>
      <c r="V3" s="47" t="s">
        <v>138</v>
      </c>
      <c r="W3" s="47" t="s">
        <v>269</v>
      </c>
    </row>
    <row r="4" spans="1:26" ht="92.25" customHeight="1" x14ac:dyDescent="0.2">
      <c r="B4" s="1" t="s">
        <v>0</v>
      </c>
      <c r="C4" s="1" t="s">
        <v>1</v>
      </c>
      <c r="D4" s="179" t="s">
        <v>310</v>
      </c>
      <c r="E4" s="60" t="s">
        <v>263</v>
      </c>
      <c r="F4" s="60" t="s">
        <v>266</v>
      </c>
      <c r="G4" s="60" t="s">
        <v>264</v>
      </c>
      <c r="H4" s="211" t="s">
        <v>265</v>
      </c>
      <c r="I4" s="60" t="s">
        <v>267</v>
      </c>
      <c r="J4" s="13" t="s">
        <v>67</v>
      </c>
      <c r="K4" s="20" t="s">
        <v>268</v>
      </c>
      <c r="L4" s="105" t="s">
        <v>294</v>
      </c>
      <c r="M4" s="40" t="s">
        <v>295</v>
      </c>
      <c r="N4" s="195" t="s">
        <v>270</v>
      </c>
      <c r="O4" s="60" t="s">
        <v>114</v>
      </c>
      <c r="P4" s="61" t="s">
        <v>322</v>
      </c>
      <c r="Q4" s="40" t="s">
        <v>323</v>
      </c>
      <c r="R4" s="31" t="s">
        <v>324</v>
      </c>
      <c r="S4" s="31" t="s">
        <v>325</v>
      </c>
      <c r="U4" s="174" t="s">
        <v>303</v>
      </c>
      <c r="V4" s="477" t="s">
        <v>334</v>
      </c>
      <c r="W4" s="407" t="s">
        <v>279</v>
      </c>
    </row>
    <row r="5" spans="1:26" x14ac:dyDescent="0.2">
      <c r="B5" s="2"/>
      <c r="C5" s="2"/>
      <c r="D5" s="180"/>
      <c r="N5" s="17"/>
      <c r="O5" s="52"/>
      <c r="P5" s="62"/>
      <c r="Q5" s="41"/>
      <c r="R5" s="27"/>
      <c r="U5" s="175"/>
      <c r="V5" s="404"/>
      <c r="W5" s="408"/>
    </row>
    <row r="6" spans="1:26" x14ac:dyDescent="0.2">
      <c r="A6">
        <v>1</v>
      </c>
      <c r="B6" s="10" t="s">
        <v>2</v>
      </c>
      <c r="C6" s="3" t="s">
        <v>128</v>
      </c>
      <c r="D6" s="181">
        <v>1783</v>
      </c>
      <c r="E6" s="92">
        <f>Instruction!M8</f>
        <v>6372714.5</v>
      </c>
      <c r="F6" s="92">
        <f>'Student&amp;Institutional Support'!S9</f>
        <v>4484541.0268392414</v>
      </c>
      <c r="G6" s="92">
        <f>Facilities!H9</f>
        <v>1371815.1364109684</v>
      </c>
      <c r="H6" s="92">
        <f>'Student Success'!E7</f>
        <v>78000</v>
      </c>
      <c r="I6" s="92">
        <f>Research!H9</f>
        <v>26320.397776269208</v>
      </c>
      <c r="J6" s="8">
        <f t="shared" ref="J6:J35" si="0">SUM(E6:I6)</f>
        <v>12333391.061026478</v>
      </c>
      <c r="K6" s="9">
        <f t="shared" ref="K6:K35" si="1">+J6/$J$37</f>
        <v>1.7380147999749393E-2</v>
      </c>
      <c r="L6" s="69">
        <v>9917879.3126238938</v>
      </c>
      <c r="M6" s="50">
        <v>1.7366881439872521E-2</v>
      </c>
      <c r="N6" s="18">
        <f t="shared" ref="N6:N35" si="2">M6*$O$39</f>
        <v>4993906.6129922261</v>
      </c>
      <c r="O6" s="53">
        <f t="shared" ref="O6:O35" si="3">K6*$O$39</f>
        <v>4997721.4580080193</v>
      </c>
      <c r="P6" s="63">
        <f>N6+O6</f>
        <v>9991628.0710002445</v>
      </c>
      <c r="Q6" s="42">
        <f t="shared" ref="Q6:Q35" si="4">P6/$P$37</f>
        <v>1.7373514719810957E-2</v>
      </c>
      <c r="R6" s="38">
        <f>P6-L6</f>
        <v>73748.758376350626</v>
      </c>
      <c r="S6" s="46">
        <f t="shared" ref="S6:S35" si="5">R6/L6</f>
        <v>7.4359402904288323E-3</v>
      </c>
      <c r="U6" s="210">
        <v>1070949</v>
      </c>
      <c r="V6" s="460">
        <v>135370</v>
      </c>
      <c r="W6" s="409">
        <v>100000</v>
      </c>
      <c r="Y6" s="11"/>
      <c r="Z6" s="11"/>
    </row>
    <row r="7" spans="1:26" s="54" customFormat="1" x14ac:dyDescent="0.2">
      <c r="A7" s="54">
        <v>2</v>
      </c>
      <c r="B7" s="10" t="s">
        <v>4</v>
      </c>
      <c r="C7" s="3" t="s">
        <v>124</v>
      </c>
      <c r="D7" s="181">
        <v>6592</v>
      </c>
      <c r="E7" s="92">
        <f>Instruction!M9</f>
        <v>18774023</v>
      </c>
      <c r="F7" s="92">
        <f>'Student&amp;Institutional Support'!S10</f>
        <v>11517036.355386481</v>
      </c>
      <c r="G7" s="92">
        <f>Facilities!H10</f>
        <v>2091604.4963895455</v>
      </c>
      <c r="H7" s="92">
        <f>'Student Success'!E8</f>
        <v>1072000</v>
      </c>
      <c r="I7" s="92">
        <f>Research!H10</f>
        <v>21547.532592875606</v>
      </c>
      <c r="J7" s="92">
        <f>SUM(E7:I7)</f>
        <v>33476211.3843689</v>
      </c>
      <c r="K7" s="137">
        <f t="shared" si="1"/>
        <v>4.717449608565346E-2</v>
      </c>
      <c r="L7" s="92">
        <v>25258000.908539303</v>
      </c>
      <c r="M7" s="50">
        <v>4.4228478020342403E-2</v>
      </c>
      <c r="N7" s="53">
        <f t="shared" si="2"/>
        <v>12718051.288198955</v>
      </c>
      <c r="O7" s="53">
        <f t="shared" si="3"/>
        <v>13565188.936330412</v>
      </c>
      <c r="P7" s="63">
        <f t="shared" ref="P7:P34" si="6">N7+O7</f>
        <v>26283240.224529367</v>
      </c>
      <c r="Q7" s="138">
        <f t="shared" si="4"/>
        <v>4.5701487052997931E-2</v>
      </c>
      <c r="R7" s="38">
        <f t="shared" ref="R7:R35" si="7">P7-L7</f>
        <v>1025239.3159900643</v>
      </c>
      <c r="S7" s="139">
        <f t="shared" si="5"/>
        <v>4.0590675394403371E-2</v>
      </c>
      <c r="U7" s="210">
        <v>3842292</v>
      </c>
      <c r="V7" s="460">
        <f>466353+122848</f>
        <v>589201</v>
      </c>
      <c r="W7" s="409">
        <v>100000</v>
      </c>
      <c r="Y7" s="55"/>
      <c r="Z7" s="11"/>
    </row>
    <row r="8" spans="1:26" ht="12" customHeight="1" x14ac:dyDescent="0.2">
      <c r="A8">
        <v>4</v>
      </c>
      <c r="B8" s="10" t="s">
        <v>5</v>
      </c>
      <c r="C8" s="3" t="s">
        <v>113</v>
      </c>
      <c r="D8" s="181">
        <v>4802</v>
      </c>
      <c r="E8" s="92">
        <f>Instruction!M10</f>
        <v>14648099</v>
      </c>
      <c r="F8" s="92">
        <f>'Student&amp;Institutional Support'!S11</f>
        <v>10472592.621784208</v>
      </c>
      <c r="G8" s="92">
        <f>Facilities!H11</f>
        <v>1990346.6651551907</v>
      </c>
      <c r="H8" s="92">
        <f>'Student Success'!E9</f>
        <v>40000</v>
      </c>
      <c r="I8" s="92">
        <f>Research!H11</f>
        <v>24676.248364696352</v>
      </c>
      <c r="J8" s="8">
        <f t="shared" si="0"/>
        <v>27175714.535304099</v>
      </c>
      <c r="K8" s="9">
        <f t="shared" si="1"/>
        <v>3.8295869991104958E-2</v>
      </c>
      <c r="L8" s="69">
        <v>21721489.312579982</v>
      </c>
      <c r="M8" s="50">
        <v>3.8035805609055416E-2</v>
      </c>
      <c r="N8" s="18">
        <f t="shared" si="2"/>
        <v>10937326.993287917</v>
      </c>
      <c r="O8" s="53">
        <f t="shared" si="3"/>
        <v>11012109.402658155</v>
      </c>
      <c r="P8" s="63">
        <f t="shared" si="6"/>
        <v>21949436.395946071</v>
      </c>
      <c r="Q8" s="42">
        <f t="shared" si="4"/>
        <v>3.8165837800080184E-2</v>
      </c>
      <c r="R8" s="38">
        <f t="shared" si="7"/>
        <v>227947.08336608857</v>
      </c>
      <c r="S8" s="46">
        <f t="shared" si="5"/>
        <v>1.0494081694208381E-2</v>
      </c>
      <c r="U8" s="210">
        <v>1971125</v>
      </c>
      <c r="V8" s="460">
        <f>235291+59938</f>
        <v>295229</v>
      </c>
      <c r="W8" s="409">
        <v>100000</v>
      </c>
      <c r="Y8" s="11"/>
      <c r="Z8" s="11"/>
    </row>
    <row r="9" spans="1:26" x14ac:dyDescent="0.2">
      <c r="A9">
        <v>3</v>
      </c>
      <c r="B9" s="37" t="s">
        <v>6</v>
      </c>
      <c r="C9" s="3" t="s">
        <v>7</v>
      </c>
      <c r="D9" s="181">
        <v>2633</v>
      </c>
      <c r="E9" s="92">
        <f>Instruction!M11</f>
        <v>7873813</v>
      </c>
      <c r="F9" s="92">
        <f>'Student&amp;Institutional Support'!S12</f>
        <v>5916003.8774378225</v>
      </c>
      <c r="G9" s="92">
        <f>Facilities!H12</f>
        <v>1751229.1825068186</v>
      </c>
      <c r="H9" s="92">
        <f>'Student Success'!E10</f>
        <v>32000</v>
      </c>
      <c r="I9" s="92">
        <f>Research!H12</f>
        <v>18961.606912457311</v>
      </c>
      <c r="J9" s="8">
        <f t="shared" si="0"/>
        <v>15592007.666857097</v>
      </c>
      <c r="K9" s="9">
        <f t="shared" si="1"/>
        <v>2.1972172902190425E-2</v>
      </c>
      <c r="L9" s="69">
        <v>12824048.984682944</v>
      </c>
      <c r="M9" s="50">
        <v>2.2455782257062438E-2</v>
      </c>
      <c r="N9" s="18">
        <f t="shared" si="2"/>
        <v>6457237.5818718532</v>
      </c>
      <c r="O9" s="53">
        <f t="shared" si="3"/>
        <v>6318174.045118764</v>
      </c>
      <c r="P9" s="63">
        <f t="shared" si="6"/>
        <v>12775411.626990616</v>
      </c>
      <c r="Q9" s="42">
        <f t="shared" si="4"/>
        <v>2.221397757962643E-2</v>
      </c>
      <c r="R9" s="38">
        <f t="shared" si="7"/>
        <v>-48637.35769232735</v>
      </c>
      <c r="S9" s="46">
        <f t="shared" si="5"/>
        <v>-3.7926678033139032E-3</v>
      </c>
      <c r="U9" s="210">
        <v>1227942</v>
      </c>
      <c r="V9" s="460">
        <v>236251</v>
      </c>
      <c r="W9" s="409">
        <v>200000</v>
      </c>
      <c r="Y9" s="11"/>
      <c r="Z9" s="11"/>
    </row>
    <row r="10" spans="1:26" x14ac:dyDescent="0.2">
      <c r="A10">
        <v>3</v>
      </c>
      <c r="B10" s="37" t="s">
        <v>8</v>
      </c>
      <c r="C10" s="3" t="s">
        <v>9</v>
      </c>
      <c r="D10" s="181">
        <v>5984</v>
      </c>
      <c r="E10" s="92">
        <f>Instruction!M12</f>
        <v>17343900</v>
      </c>
      <c r="F10" s="92">
        <f>'Student&amp;Institutional Support'!S13</f>
        <v>10075362.03456701</v>
      </c>
      <c r="G10" s="92">
        <f>Facilities!H13</f>
        <v>1765226.7412993214</v>
      </c>
      <c r="H10" s="92">
        <f>'Student Success'!E11</f>
        <v>0</v>
      </c>
      <c r="I10" s="92">
        <f>Research!H13</f>
        <v>68131.138551307522</v>
      </c>
      <c r="J10" s="8">
        <f t="shared" si="0"/>
        <v>29252619.914417636</v>
      </c>
      <c r="K10" s="9">
        <f t="shared" si="1"/>
        <v>4.1222633822062621E-2</v>
      </c>
      <c r="L10" s="69">
        <v>22589117.4631324</v>
      </c>
      <c r="M10" s="50">
        <v>3.9555081529801958E-2</v>
      </c>
      <c r="N10" s="18">
        <f>M10*$O$39</f>
        <v>11374200.020483045</v>
      </c>
      <c r="O10" s="53">
        <f t="shared" si="3"/>
        <v>11853710.429341575</v>
      </c>
      <c r="P10" s="63">
        <f t="shared" si="6"/>
        <v>23227910.44982462</v>
      </c>
      <c r="Q10" s="42">
        <f t="shared" si="4"/>
        <v>4.038885767593229E-2</v>
      </c>
      <c r="R10" s="38">
        <f t="shared" si="7"/>
        <v>638792.98669221997</v>
      </c>
      <c r="S10" s="46">
        <f t="shared" si="5"/>
        <v>2.8278793438247032E-2</v>
      </c>
      <c r="U10" s="210">
        <v>3784508</v>
      </c>
      <c r="V10" s="460">
        <v>522427</v>
      </c>
      <c r="W10" s="409"/>
      <c r="Y10" s="11"/>
      <c r="Z10" s="11"/>
    </row>
    <row r="11" spans="1:26" s="54" customFormat="1" x14ac:dyDescent="0.2">
      <c r="A11" s="54">
        <v>1</v>
      </c>
      <c r="B11" s="37" t="s">
        <v>10</v>
      </c>
      <c r="C11" s="3" t="s">
        <v>146</v>
      </c>
      <c r="D11" s="181">
        <v>4744</v>
      </c>
      <c r="E11" s="92">
        <f>Instruction!M13</f>
        <v>15795925</v>
      </c>
      <c r="F11" s="92">
        <f>'Student&amp;Institutional Support'!S14</f>
        <v>9126950.3410492726</v>
      </c>
      <c r="G11" s="92">
        <f>Facilities!H14</f>
        <v>2226623.0541479723</v>
      </c>
      <c r="H11" s="92">
        <f>'Student Success'!E12</f>
        <v>234000</v>
      </c>
      <c r="I11" s="92">
        <f>Research!H14</f>
        <v>314787.37645338959</v>
      </c>
      <c r="J11" s="92">
        <f t="shared" si="0"/>
        <v>27698285.771650635</v>
      </c>
      <c r="K11" s="137">
        <f t="shared" si="1"/>
        <v>3.9032274551957249E-2</v>
      </c>
      <c r="L11" s="92">
        <v>22441640.965513542</v>
      </c>
      <c r="M11" s="50">
        <v>3.9296840148899656E-2</v>
      </c>
      <c r="N11" s="53">
        <f>M11*$O$39</f>
        <v>11299941.82137567</v>
      </c>
      <c r="O11" s="53">
        <f t="shared" si="3"/>
        <v>11223865.072149551</v>
      </c>
      <c r="P11" s="63">
        <f t="shared" si="6"/>
        <v>22523806.89352522</v>
      </c>
      <c r="Q11" s="138">
        <f t="shared" si="4"/>
        <v>3.9164557350428453E-2</v>
      </c>
      <c r="R11" s="303">
        <f t="shared" si="7"/>
        <v>82165.928011678159</v>
      </c>
      <c r="S11" s="139">
        <f t="shared" si="5"/>
        <v>3.6613155044207314E-3</v>
      </c>
      <c r="U11" s="403">
        <f>1254421+1785217</f>
        <v>3039638</v>
      </c>
      <c r="V11" s="460">
        <f>151755+227051</f>
        <v>378806</v>
      </c>
      <c r="W11" s="410"/>
      <c r="Y11" s="55"/>
      <c r="Z11" s="11"/>
    </row>
    <row r="12" spans="1:26" x14ac:dyDescent="0.2">
      <c r="A12">
        <v>2</v>
      </c>
      <c r="B12" s="37" t="s">
        <v>12</v>
      </c>
      <c r="C12" s="3" t="s">
        <v>13</v>
      </c>
      <c r="D12" s="181">
        <v>989</v>
      </c>
      <c r="E12" s="92">
        <f>Instruction!M14</f>
        <v>2454606</v>
      </c>
      <c r="F12" s="92">
        <f>'Student&amp;Institutional Support'!S15</f>
        <v>3475334.8284013858</v>
      </c>
      <c r="G12" s="92">
        <f>Facilities!H15</f>
        <v>510552.82836878026</v>
      </c>
      <c r="H12" s="92">
        <f>'Student Success'!E13</f>
        <v>48000</v>
      </c>
      <c r="I12" s="92">
        <f>Research!H15</f>
        <v>8618.4757806469152</v>
      </c>
      <c r="J12" s="8">
        <f t="shared" si="0"/>
        <v>6497112.1325508133</v>
      </c>
      <c r="K12" s="9">
        <f t="shared" si="1"/>
        <v>9.1556952889891106E-3</v>
      </c>
      <c r="L12" s="69">
        <v>5356980.3944528978</v>
      </c>
      <c r="M12" s="50">
        <v>9.3804371331447194E-3</v>
      </c>
      <c r="N12" s="18">
        <f>M12*$O$39</f>
        <v>2697377.0273123435</v>
      </c>
      <c r="O12" s="53">
        <f t="shared" si="3"/>
        <v>2632751.7354526324</v>
      </c>
      <c r="P12" s="63">
        <f t="shared" si="6"/>
        <v>5330128.7627649754</v>
      </c>
      <c r="Q12" s="42">
        <f t="shared" si="4"/>
        <v>9.2680662110669141E-3</v>
      </c>
      <c r="R12" s="38">
        <f t="shared" si="7"/>
        <v>-26851.631687922403</v>
      </c>
      <c r="S12" s="46">
        <f t="shared" si="5"/>
        <v>-5.0124565913526606E-3</v>
      </c>
      <c r="U12" s="210">
        <v>357380</v>
      </c>
      <c r="V12" s="460">
        <v>85520</v>
      </c>
      <c r="W12" s="409">
        <v>100000</v>
      </c>
      <c r="Y12" s="11"/>
      <c r="Z12" s="11"/>
    </row>
    <row r="13" spans="1:26" x14ac:dyDescent="0.2">
      <c r="A13">
        <v>1</v>
      </c>
      <c r="B13" s="37" t="s">
        <v>14</v>
      </c>
      <c r="C13" s="3" t="s">
        <v>139</v>
      </c>
      <c r="D13" s="181">
        <v>3214</v>
      </c>
      <c r="E13" s="92">
        <f>Instruction!M15</f>
        <v>12512838.5</v>
      </c>
      <c r="F13" s="92">
        <f>'Student&amp;Institutional Support'!S16</f>
        <v>7439952.8260743422</v>
      </c>
      <c r="G13" s="92">
        <f>Facilities!H16</f>
        <v>2581612.8758592992</v>
      </c>
      <c r="H13" s="92">
        <f>'Student Success'!E14</f>
        <v>60000</v>
      </c>
      <c r="I13" s="92">
        <f>Research!H16</f>
        <v>0</v>
      </c>
      <c r="J13" s="8">
        <f t="shared" si="0"/>
        <v>22594404.201933641</v>
      </c>
      <c r="K13" s="9">
        <f t="shared" si="1"/>
        <v>3.1839912239276978E-2</v>
      </c>
      <c r="L13" s="69">
        <v>18416738.944170419</v>
      </c>
      <c r="M13" s="50">
        <v>3.2248962875096009E-2</v>
      </c>
      <c r="N13" s="18">
        <f t="shared" si="2"/>
        <v>9273300.4207844064</v>
      </c>
      <c r="O13" s="53">
        <f t="shared" si="3"/>
        <v>9155676.5006616283</v>
      </c>
      <c r="P13" s="63">
        <f t="shared" si="6"/>
        <v>18428976.921446033</v>
      </c>
      <c r="Q13" s="42">
        <f t="shared" si="4"/>
        <v>3.2044437557186493E-2</v>
      </c>
      <c r="R13" s="38">
        <f t="shared" si="7"/>
        <v>12237.977275613695</v>
      </c>
      <c r="S13" s="46">
        <f t="shared" si="5"/>
        <v>6.6450294553843745E-4</v>
      </c>
      <c r="U13" s="210">
        <v>1988515</v>
      </c>
      <c r="V13" s="460">
        <v>293404</v>
      </c>
      <c r="W13" s="409"/>
      <c r="Y13" s="11"/>
      <c r="Z13" s="11"/>
    </row>
    <row r="14" spans="1:26" x14ac:dyDescent="0.2">
      <c r="A14">
        <v>3</v>
      </c>
      <c r="B14" s="37" t="s">
        <v>16</v>
      </c>
      <c r="C14" s="3" t="s">
        <v>17</v>
      </c>
      <c r="D14" s="181">
        <v>3122</v>
      </c>
      <c r="E14" s="92">
        <f>Instruction!M16</f>
        <v>10091937.5</v>
      </c>
      <c r="F14" s="92">
        <f>'Student&amp;Institutional Support'!S17</f>
        <v>6584562.0831952691</v>
      </c>
      <c r="G14" s="92">
        <f>Facilities!H17</f>
        <v>1028593.2843009995</v>
      </c>
      <c r="H14" s="92">
        <f>'Student Success'!E15</f>
        <v>308000</v>
      </c>
      <c r="I14" s="92">
        <f>Research!H17</f>
        <v>5347.2746694474508</v>
      </c>
      <c r="J14" s="8">
        <f t="shared" si="0"/>
        <v>18018440.142165713</v>
      </c>
      <c r="K14" s="9">
        <f t="shared" si="1"/>
        <v>2.5391488427303769E-2</v>
      </c>
      <c r="L14" s="69">
        <v>13943526.554058172</v>
      </c>
      <c r="M14" s="50">
        <v>2.4416063644756871E-2</v>
      </c>
      <c r="N14" s="18">
        <f t="shared" si="2"/>
        <v>7020923.2510131896</v>
      </c>
      <c r="O14" s="53">
        <f t="shared" si="3"/>
        <v>7301410.0090360632</v>
      </c>
      <c r="P14" s="63">
        <f t="shared" si="6"/>
        <v>14322333.260049254</v>
      </c>
      <c r="Q14" s="42">
        <f t="shared" si="4"/>
        <v>2.490377603603032E-2</v>
      </c>
      <c r="R14" s="38">
        <f t="shared" si="7"/>
        <v>378806.70599108189</v>
      </c>
      <c r="S14" s="46">
        <f t="shared" si="5"/>
        <v>2.7167209423130671E-2</v>
      </c>
      <c r="U14" s="210">
        <v>1759017</v>
      </c>
      <c r="V14" s="460">
        <v>253736</v>
      </c>
      <c r="W14" s="409">
        <v>100000</v>
      </c>
      <c r="Y14" s="11"/>
      <c r="Z14" s="11"/>
    </row>
    <row r="15" spans="1:26" x14ac:dyDescent="0.2">
      <c r="A15">
        <v>4</v>
      </c>
      <c r="B15" s="37" t="s">
        <v>18</v>
      </c>
      <c r="C15" s="3" t="s">
        <v>140</v>
      </c>
      <c r="D15" s="181">
        <v>5937</v>
      </c>
      <c r="E15" s="92">
        <f>Instruction!M17</f>
        <v>19863265</v>
      </c>
      <c r="F15" s="92">
        <f>'Student&amp;Institutional Support'!S18</f>
        <v>12760782.821263418</v>
      </c>
      <c r="G15" s="92">
        <f>Facilities!H18</f>
        <v>751191.90494168014</v>
      </c>
      <c r="H15" s="92">
        <f>'Student Success'!E16</f>
        <v>28000</v>
      </c>
      <c r="I15" s="92">
        <f>Research!H18</f>
        <v>71407.896076772871</v>
      </c>
      <c r="J15" s="8">
        <f t="shared" si="0"/>
        <v>33474647.622281872</v>
      </c>
      <c r="K15" s="9">
        <f t="shared" si="1"/>
        <v>4.7172292440575282E-2</v>
      </c>
      <c r="L15" s="69">
        <v>26875665.898036264</v>
      </c>
      <c r="M15" s="50">
        <v>4.706111947487869E-2</v>
      </c>
      <c r="N15" s="18">
        <f t="shared" si="2"/>
        <v>13532587.101149637</v>
      </c>
      <c r="O15" s="53">
        <f t="shared" si="3"/>
        <v>13564555.270593319</v>
      </c>
      <c r="P15" s="63">
        <f t="shared" si="6"/>
        <v>27097142.371742956</v>
      </c>
      <c r="Q15" s="42">
        <f t="shared" si="4"/>
        <v>4.7116705957726983E-2</v>
      </c>
      <c r="R15" s="38">
        <f t="shared" si="7"/>
        <v>221476.47370669246</v>
      </c>
      <c r="S15" s="46">
        <f t="shared" si="5"/>
        <v>8.2407808813725128E-3</v>
      </c>
      <c r="U15" s="210">
        <v>2184439</v>
      </c>
      <c r="V15" s="460">
        <v>433179</v>
      </c>
      <c r="W15" s="409"/>
      <c r="Y15" s="11"/>
      <c r="Z15" s="11"/>
    </row>
    <row r="16" spans="1:26" x14ac:dyDescent="0.2">
      <c r="A16">
        <v>3</v>
      </c>
      <c r="B16" s="37" t="s">
        <v>19</v>
      </c>
      <c r="C16" s="3" t="s">
        <v>20</v>
      </c>
      <c r="D16" s="181">
        <v>4620</v>
      </c>
      <c r="E16" s="92">
        <f>Instruction!M18</f>
        <v>14045830</v>
      </c>
      <c r="F16" s="92">
        <f>'Student&amp;Institutional Support'!S19</f>
        <v>9100248.7726595942</v>
      </c>
      <c r="G16" s="92">
        <f>Facilities!H19</f>
        <v>2511029.4534000596</v>
      </c>
      <c r="H16" s="92">
        <f>'Student Success'!E17</f>
        <v>312000</v>
      </c>
      <c r="I16" s="92">
        <f>Research!H19</f>
        <v>52800.902671601259</v>
      </c>
      <c r="J16" s="8">
        <f t="shared" si="0"/>
        <v>26021909.128731254</v>
      </c>
      <c r="K16" s="9">
        <f t="shared" si="1"/>
        <v>3.6669933650489317E-2</v>
      </c>
      <c r="L16" s="69">
        <v>20818946.192392863</v>
      </c>
      <c r="M16" s="50">
        <v>3.6455391201036629E-2</v>
      </c>
      <c r="N16" s="18">
        <f t="shared" si="2"/>
        <v>10482873.383363856</v>
      </c>
      <c r="O16" s="53">
        <f t="shared" si="3"/>
        <v>10544565.80412453</v>
      </c>
      <c r="P16" s="63">
        <f t="shared" si="6"/>
        <v>21027439.187488385</v>
      </c>
      <c r="Q16" s="42">
        <f t="shared" si="4"/>
        <v>3.6562662425762969E-2</v>
      </c>
      <c r="R16" s="38">
        <f t="shared" si="7"/>
        <v>208492.99509552121</v>
      </c>
      <c r="S16" s="46">
        <f t="shared" si="5"/>
        <v>1.0014579660698844E-2</v>
      </c>
      <c r="U16" s="210">
        <v>2878511</v>
      </c>
      <c r="V16" s="460">
        <v>477812</v>
      </c>
      <c r="W16" s="409"/>
      <c r="Y16" s="11"/>
      <c r="Z16" s="11"/>
    </row>
    <row r="17" spans="1:26" ht="12" customHeight="1" x14ac:dyDescent="0.2">
      <c r="A17">
        <v>1</v>
      </c>
      <c r="B17" s="37" t="s">
        <v>21</v>
      </c>
      <c r="C17" s="121" t="s">
        <v>177</v>
      </c>
      <c r="D17" s="181">
        <v>1145</v>
      </c>
      <c r="E17" s="92">
        <f>Instruction!M19</f>
        <v>4406721</v>
      </c>
      <c r="F17" s="92">
        <f>'Student&amp;Institutional Support'!S20</f>
        <v>3905400.6167896646</v>
      </c>
      <c r="G17" s="92">
        <f>Facilities!H20</f>
        <v>878895.25206221221</v>
      </c>
      <c r="H17" s="92">
        <f>'Student Success'!E18</f>
        <v>68000</v>
      </c>
      <c r="I17" s="92">
        <f>Research!H20</f>
        <v>8709.8977070743458</v>
      </c>
      <c r="J17" s="8">
        <f t="shared" si="0"/>
        <v>9267726.7665589526</v>
      </c>
      <c r="K17" s="9">
        <f t="shared" si="1"/>
        <v>1.3060030451238092E-2</v>
      </c>
      <c r="L17" s="69">
        <v>7704848.6837423053</v>
      </c>
      <c r="M17" s="50">
        <v>1.3491714245039511E-2</v>
      </c>
      <c r="N17" s="18">
        <f t="shared" si="2"/>
        <v>3879588.9303542571</v>
      </c>
      <c r="O17" s="53">
        <f t="shared" si="3"/>
        <v>3755456.7676484636</v>
      </c>
      <c r="P17" s="63">
        <f t="shared" si="6"/>
        <v>7635045.6980027203</v>
      </c>
      <c r="Q17" s="42">
        <f t="shared" si="4"/>
        <v>1.3275872348138802E-2</v>
      </c>
      <c r="R17" s="38">
        <f t="shared" si="7"/>
        <v>-69802.985739585012</v>
      </c>
      <c r="S17" s="46">
        <f t="shared" si="5"/>
        <v>-9.059617989237545E-3</v>
      </c>
      <c r="U17" s="210">
        <v>713347</v>
      </c>
      <c r="V17" s="460">
        <v>107217</v>
      </c>
      <c r="W17" s="409">
        <v>200000</v>
      </c>
      <c r="Y17" s="11"/>
      <c r="Z17" s="11"/>
    </row>
    <row r="18" spans="1:26" ht="12" customHeight="1" x14ac:dyDescent="0.2">
      <c r="B18" s="37" t="s">
        <v>109</v>
      </c>
      <c r="C18" s="3" t="s">
        <v>141</v>
      </c>
      <c r="D18" s="181">
        <v>3915</v>
      </c>
      <c r="E18" s="92">
        <f>Instruction!M20</f>
        <v>12515882.5</v>
      </c>
      <c r="F18" s="92">
        <f>'Student&amp;Institutional Support'!S21</f>
        <v>7950930.4723133361</v>
      </c>
      <c r="G18" s="92">
        <f>Facilities!H21</f>
        <v>1954284.0545781867</v>
      </c>
      <c r="H18" s="92">
        <f>'Student Success'!E19</f>
        <v>342000</v>
      </c>
      <c r="I18" s="92">
        <f>Research!H21</f>
        <v>0</v>
      </c>
      <c r="J18" s="8">
        <f t="shared" si="0"/>
        <v>22763097.026891522</v>
      </c>
      <c r="K18" s="9">
        <f t="shared" si="1"/>
        <v>3.2077633256129237E-2</v>
      </c>
      <c r="L18" s="69">
        <v>18556255.402983293</v>
      </c>
      <c r="M18" s="50">
        <v>3.2493265686487353E-2</v>
      </c>
      <c r="N18" s="18">
        <f t="shared" si="2"/>
        <v>9343550.5361896269</v>
      </c>
      <c r="O18" s="53">
        <f t="shared" si="3"/>
        <v>9224033.9983629789</v>
      </c>
      <c r="P18" s="63">
        <f t="shared" si="6"/>
        <v>18567584.534552604</v>
      </c>
      <c r="Q18" s="42">
        <f t="shared" si="4"/>
        <v>3.2285449471308292E-2</v>
      </c>
      <c r="R18" s="38">
        <f t="shared" si="7"/>
        <v>11329.131569311023</v>
      </c>
      <c r="S18" s="46">
        <f t="shared" si="5"/>
        <v>6.1052897383001288E-4</v>
      </c>
      <c r="U18" s="210">
        <v>2176452</v>
      </c>
      <c r="V18" s="460">
        <v>334523</v>
      </c>
      <c r="W18" s="409">
        <v>300000</v>
      </c>
      <c r="Y18" s="11"/>
      <c r="Z18" s="11"/>
    </row>
    <row r="19" spans="1:26" x14ac:dyDescent="0.2">
      <c r="A19">
        <v>4</v>
      </c>
      <c r="B19" s="37" t="s">
        <v>26</v>
      </c>
      <c r="C19" s="3" t="s">
        <v>62</v>
      </c>
      <c r="D19" s="181">
        <v>5258</v>
      </c>
      <c r="E19" s="92">
        <f>Instruction!M21</f>
        <v>18070266</v>
      </c>
      <c r="F19" s="92">
        <f>'Student&amp;Institutional Support'!S22</f>
        <v>10858187.577047683</v>
      </c>
      <c r="G19" s="92">
        <f>Facilities!H22</f>
        <v>2334360.1263017049</v>
      </c>
      <c r="H19" s="92">
        <f>'Student Success'!E20</f>
        <v>32000</v>
      </c>
      <c r="I19" s="92">
        <f>Research!H22</f>
        <v>196108.77853862362</v>
      </c>
      <c r="J19" s="8">
        <f t="shared" si="0"/>
        <v>31490922.481888011</v>
      </c>
      <c r="K19" s="9">
        <f t="shared" si="1"/>
        <v>4.4376837698219977E-2</v>
      </c>
      <c r="L19" s="69">
        <v>25976599.389499925</v>
      </c>
      <c r="M19" s="50">
        <v>4.548679285039188E-2</v>
      </c>
      <c r="N19" s="18">
        <f t="shared" si="2"/>
        <v>13079884.054361744</v>
      </c>
      <c r="O19" s="53">
        <f t="shared" si="3"/>
        <v>12760712.624894282</v>
      </c>
      <c r="P19" s="63">
        <f t="shared" si="6"/>
        <v>25840596.679256026</v>
      </c>
      <c r="Q19" s="42">
        <f t="shared" si="4"/>
        <v>4.4931815274305932E-2</v>
      </c>
      <c r="R19" s="38">
        <f t="shared" si="7"/>
        <v>-136002.71024389938</v>
      </c>
      <c r="S19" s="46">
        <f t="shared" si="5"/>
        <v>-5.2355856209136218E-3</v>
      </c>
      <c r="U19" s="210">
        <v>1800843</v>
      </c>
      <c r="V19" s="460">
        <v>260837</v>
      </c>
      <c r="W19" s="409"/>
      <c r="Y19" s="497"/>
      <c r="Z19" s="11"/>
    </row>
    <row r="20" spans="1:26" x14ac:dyDescent="0.2">
      <c r="A20">
        <v>4</v>
      </c>
      <c r="B20" s="37" t="s">
        <v>22</v>
      </c>
      <c r="C20" s="3" t="s">
        <v>23</v>
      </c>
      <c r="D20" s="181">
        <v>13256</v>
      </c>
      <c r="E20" s="92">
        <f>Instruction!M22</f>
        <v>40335854.5</v>
      </c>
      <c r="F20" s="92">
        <f>'Student&amp;Institutional Support'!S23</f>
        <v>18691539.821206298</v>
      </c>
      <c r="G20" s="92">
        <f>Facilities!H23</f>
        <v>3099939.9367249343</v>
      </c>
      <c r="H20" s="92">
        <f>'Student Success'!E21</f>
        <v>456000</v>
      </c>
      <c r="I20" s="92">
        <f>Research!H23</f>
        <v>788470.17135821376</v>
      </c>
      <c r="J20" s="8">
        <f t="shared" si="0"/>
        <v>63371804.429289445</v>
      </c>
      <c r="K20" s="9">
        <f t="shared" si="1"/>
        <v>8.9303204166831698E-2</v>
      </c>
      <c r="L20" s="69">
        <v>51819738.50526993</v>
      </c>
      <c r="M20" s="50">
        <v>9.0739887681505565E-2</v>
      </c>
      <c r="N20" s="18">
        <f t="shared" si="2"/>
        <v>26092567.437839821</v>
      </c>
      <c r="O20" s="53">
        <f t="shared" si="3"/>
        <v>25679444.141665615</v>
      </c>
      <c r="P20" s="63">
        <f t="shared" si="6"/>
        <v>51772011.579505436</v>
      </c>
      <c r="Q20" s="42">
        <f t="shared" si="4"/>
        <v>9.0021545924168639E-2</v>
      </c>
      <c r="R20" s="38">
        <f t="shared" si="7"/>
        <v>-47726.925764493644</v>
      </c>
      <c r="S20" s="46">
        <f t="shared" si="5"/>
        <v>-9.210182671925282E-4</v>
      </c>
      <c r="U20" s="210">
        <v>4706554</v>
      </c>
      <c r="V20" s="460">
        <v>628273</v>
      </c>
      <c r="W20" s="409"/>
      <c r="Y20" s="11"/>
      <c r="Z20" s="11"/>
    </row>
    <row r="21" spans="1:26" x14ac:dyDescent="0.2">
      <c r="A21">
        <v>3</v>
      </c>
      <c r="B21" s="37" t="s">
        <v>24</v>
      </c>
      <c r="C21" s="3" t="s">
        <v>137</v>
      </c>
      <c r="D21" s="181">
        <v>1965</v>
      </c>
      <c r="E21" s="92">
        <f>Instruction!M23</f>
        <v>7360587</v>
      </c>
      <c r="F21" s="92">
        <f>'Student&amp;Institutional Support'!S24</f>
        <v>5191628.0416655745</v>
      </c>
      <c r="G21" s="92">
        <f>Facilities!H24</f>
        <v>1577914.5758542886</v>
      </c>
      <c r="H21" s="92">
        <f>'Student Success'!E22</f>
        <v>0</v>
      </c>
      <c r="I21" s="92">
        <f>Research!H24</f>
        <v>223339.6103949135</v>
      </c>
      <c r="J21" s="8">
        <f t="shared" si="0"/>
        <v>14353469.227914777</v>
      </c>
      <c r="K21" s="9">
        <f t="shared" si="1"/>
        <v>2.0226831230489264E-2</v>
      </c>
      <c r="L21" s="69">
        <v>11216349.502772471</v>
      </c>
      <c r="M21" s="50">
        <v>1.9640591084313947E-2</v>
      </c>
      <c r="N21" s="18">
        <f t="shared" si="2"/>
        <v>5647719.6575916475</v>
      </c>
      <c r="O21" s="53">
        <f t="shared" si="3"/>
        <v>5816295.0321010239</v>
      </c>
      <c r="P21" s="63">
        <f t="shared" si="6"/>
        <v>11464014.689692672</v>
      </c>
      <c r="Q21" s="42">
        <f t="shared" si="4"/>
        <v>1.9933711157401609E-2</v>
      </c>
      <c r="R21" s="38">
        <f t="shared" si="7"/>
        <v>247665.18692020141</v>
      </c>
      <c r="S21" s="46">
        <f t="shared" si="5"/>
        <v>2.2080730175088003E-2</v>
      </c>
      <c r="U21" s="210">
        <v>1213246</v>
      </c>
      <c r="V21" s="460">
        <v>192067</v>
      </c>
      <c r="W21" s="409">
        <v>300000</v>
      </c>
      <c r="Y21" s="11"/>
      <c r="Z21" s="11"/>
    </row>
    <row r="22" spans="1:26" x14ac:dyDescent="0.2">
      <c r="A22">
        <v>2</v>
      </c>
      <c r="B22" s="37" t="s">
        <v>27</v>
      </c>
      <c r="C22" s="3" t="s">
        <v>132</v>
      </c>
      <c r="D22" s="181">
        <v>6809</v>
      </c>
      <c r="E22" s="92">
        <f>Instruction!M24</f>
        <v>17643882.5</v>
      </c>
      <c r="F22" s="92">
        <f>'Student&amp;Institutional Support'!S25</f>
        <v>10205758.002506323</v>
      </c>
      <c r="G22" s="92">
        <f>Facilities!H25</f>
        <v>1206100.2606149558</v>
      </c>
      <c r="H22" s="92">
        <f>'Student Success'!E23</f>
        <v>170000</v>
      </c>
      <c r="I22" s="92">
        <f>Research!H25</f>
        <v>287.02441255566595</v>
      </c>
      <c r="J22" s="8">
        <f t="shared" si="0"/>
        <v>29226027.787533835</v>
      </c>
      <c r="K22" s="9">
        <f t="shared" si="1"/>
        <v>4.1185160340634713E-2</v>
      </c>
      <c r="L22" s="69">
        <v>21718252.778191615</v>
      </c>
      <c r="M22" s="50">
        <v>3.8030138217143593E-2</v>
      </c>
      <c r="N22" s="18">
        <f t="shared" si="2"/>
        <v>10935697.315211006</v>
      </c>
      <c r="O22" s="53">
        <f t="shared" si="3"/>
        <v>11842934.800604627</v>
      </c>
      <c r="P22" s="63">
        <f t="shared" si="6"/>
        <v>22778632.115815632</v>
      </c>
      <c r="Q22" s="42">
        <f t="shared" si="4"/>
        <v>3.9607649278889157E-2</v>
      </c>
      <c r="R22" s="38">
        <f t="shared" si="7"/>
        <v>1060379.3376240171</v>
      </c>
      <c r="S22" s="46">
        <f t="shared" si="5"/>
        <v>4.8824339068785368E-2</v>
      </c>
      <c r="U22" s="210">
        <v>4275721</v>
      </c>
      <c r="V22" s="460">
        <v>590780</v>
      </c>
      <c r="W22" s="409"/>
      <c r="Y22" s="11"/>
      <c r="Z22" s="11"/>
    </row>
    <row r="23" spans="1:26" ht="14.25" customHeight="1" x14ac:dyDescent="0.2">
      <c r="A23">
        <v>2</v>
      </c>
      <c r="B23" s="37" t="s">
        <v>29</v>
      </c>
      <c r="C23" s="3" t="s">
        <v>133</v>
      </c>
      <c r="D23" s="181">
        <v>4041</v>
      </c>
      <c r="E23" s="92">
        <f>Instruction!M25</f>
        <v>11538037</v>
      </c>
      <c r="F23" s="92">
        <f>'Student&amp;Institutional Support'!S26</f>
        <v>7539725.4427286945</v>
      </c>
      <c r="G23" s="92">
        <f>Facilities!H26</f>
        <v>1170771.4995092398</v>
      </c>
      <c r="H23" s="92">
        <f>'Student Success'!E24</f>
        <v>0</v>
      </c>
      <c r="I23" s="92">
        <f>Research!H26</f>
        <v>1483.3171102759882</v>
      </c>
      <c r="J23" s="8">
        <f t="shared" si="0"/>
        <v>20250017.259348214</v>
      </c>
      <c r="K23" s="9">
        <f t="shared" si="1"/>
        <v>2.8536214835278219E-2</v>
      </c>
      <c r="L23" s="69">
        <v>16063662.566770157</v>
      </c>
      <c r="M23" s="50">
        <v>2.8128566046586551E-2</v>
      </c>
      <c r="N23" s="18">
        <f t="shared" si="2"/>
        <v>8088466.1117988424</v>
      </c>
      <c r="O23" s="53">
        <f t="shared" si="3"/>
        <v>8205686.9259486813</v>
      </c>
      <c r="P23" s="63">
        <f t="shared" si="6"/>
        <v>16294153.037747525</v>
      </c>
      <c r="Q23" s="42">
        <f t="shared" si="4"/>
        <v>2.8332390440932387E-2</v>
      </c>
      <c r="R23" s="38">
        <f t="shared" si="7"/>
        <v>230490.47097736783</v>
      </c>
      <c r="S23" s="46">
        <f t="shared" si="5"/>
        <v>1.4348562790043182E-2</v>
      </c>
      <c r="U23" s="210">
        <v>2589287</v>
      </c>
      <c r="V23" s="460">
        <v>382771</v>
      </c>
      <c r="W23" s="409"/>
      <c r="Y23" s="11"/>
      <c r="Z23" s="11"/>
    </row>
    <row r="24" spans="1:26" ht="12.75" customHeight="1" x14ac:dyDescent="0.2">
      <c r="A24">
        <v>3</v>
      </c>
      <c r="B24" s="37" t="s">
        <v>118</v>
      </c>
      <c r="C24" s="3" t="s">
        <v>63</v>
      </c>
      <c r="D24" s="182">
        <v>3299</v>
      </c>
      <c r="E24" s="92">
        <f>Instruction!M26</f>
        <v>10262549.5</v>
      </c>
      <c r="F24" s="92">
        <f>'Student&amp;Institutional Support'!S27</f>
        <v>7606295.8448508605</v>
      </c>
      <c r="G24" s="92">
        <f>Facilities!H27</f>
        <v>2726691.2839532341</v>
      </c>
      <c r="H24" s="92">
        <f>'Student Success'!E25</f>
        <v>586000</v>
      </c>
      <c r="I24" s="92">
        <f>Research!H27</f>
        <v>297858.22023649293</v>
      </c>
      <c r="J24" s="8">
        <f t="shared" si="0"/>
        <v>21479394.849040587</v>
      </c>
      <c r="K24" s="9">
        <f t="shared" si="1"/>
        <v>3.0268647087746691E-2</v>
      </c>
      <c r="L24" s="69">
        <v>17671772.125957109</v>
      </c>
      <c r="M24" s="50">
        <v>3.0944475292545785E-2</v>
      </c>
      <c r="N24" s="18">
        <f t="shared" si="2"/>
        <v>8898190.5205056369</v>
      </c>
      <c r="O24" s="53">
        <f t="shared" si="3"/>
        <v>8703853.790973749</v>
      </c>
      <c r="P24" s="63">
        <f t="shared" si="6"/>
        <v>17602044.311479386</v>
      </c>
      <c r="Q24" s="42">
        <f t="shared" si="4"/>
        <v>3.060656119014624E-2</v>
      </c>
      <c r="R24" s="38">
        <f t="shared" si="7"/>
        <v>-69727.814477723092</v>
      </c>
      <c r="S24" s="46">
        <f t="shared" si="5"/>
        <v>-3.9457171573247986E-3</v>
      </c>
      <c r="U24" s="210">
        <v>1892167</v>
      </c>
      <c r="V24" s="460">
        <v>269926</v>
      </c>
      <c r="W24" s="409">
        <v>300000</v>
      </c>
      <c r="Y24" s="11"/>
      <c r="Z24" s="11"/>
    </row>
    <row r="25" spans="1:26" x14ac:dyDescent="0.2">
      <c r="A25">
        <v>3</v>
      </c>
      <c r="B25" s="37" t="s">
        <v>110</v>
      </c>
      <c r="C25" s="3" t="s">
        <v>134</v>
      </c>
      <c r="D25" s="181">
        <v>2123</v>
      </c>
      <c r="E25" s="92">
        <f>Instruction!M27</f>
        <v>7034901.5</v>
      </c>
      <c r="F25" s="92">
        <f>'Student&amp;Institutional Support'!S28</f>
        <v>5138461.7046630681</v>
      </c>
      <c r="G25" s="92">
        <f>Facilities!H28</f>
        <v>1345492.2711571881</v>
      </c>
      <c r="H25" s="92">
        <f>'Student Success'!E26</f>
        <v>258000</v>
      </c>
      <c r="I25" s="92">
        <f>Research!H28</f>
        <v>189589.25396654519</v>
      </c>
      <c r="J25" s="8">
        <f t="shared" si="0"/>
        <v>13966444.729786802</v>
      </c>
      <c r="K25" s="9">
        <f t="shared" si="1"/>
        <v>1.9681438400268481E-2</v>
      </c>
      <c r="L25" s="69">
        <v>11282561.854142377</v>
      </c>
      <c r="M25" s="50">
        <v>1.9756533416323645E-2</v>
      </c>
      <c r="N25" s="18">
        <f t="shared" si="2"/>
        <v>5681059.2747562835</v>
      </c>
      <c r="O25" s="53">
        <f t="shared" si="3"/>
        <v>5659465.4440746484</v>
      </c>
      <c r="P25" s="63">
        <f t="shared" si="6"/>
        <v>11340524.718830932</v>
      </c>
      <c r="Q25" s="42">
        <f t="shared" si="4"/>
        <v>1.9718985908296065E-2</v>
      </c>
      <c r="R25" s="38">
        <f t="shared" si="7"/>
        <v>57962.864688554779</v>
      </c>
      <c r="S25" s="46">
        <f t="shared" si="5"/>
        <v>5.1373850582767952E-3</v>
      </c>
      <c r="U25" s="210">
        <v>1314446</v>
      </c>
      <c r="V25" s="460">
        <v>186700</v>
      </c>
      <c r="W25" s="409">
        <v>200000</v>
      </c>
      <c r="Y25" s="11"/>
      <c r="Z25" s="11"/>
    </row>
    <row r="26" spans="1:26" x14ac:dyDescent="0.2">
      <c r="A26">
        <v>1</v>
      </c>
      <c r="B26" s="37" t="s">
        <v>33</v>
      </c>
      <c r="C26" s="3" t="s">
        <v>130</v>
      </c>
      <c r="D26" s="181">
        <v>820</v>
      </c>
      <c r="E26" s="92">
        <f>Instruction!M28</f>
        <v>2436022.5</v>
      </c>
      <c r="F26" s="92">
        <f>'Student&amp;Institutional Support'!S29</f>
        <v>3251457.4478127705</v>
      </c>
      <c r="G26" s="92">
        <f>Facilities!H29</f>
        <v>338069.29424904141</v>
      </c>
      <c r="H26" s="92">
        <f>'Student Success'!E27</f>
        <v>28000</v>
      </c>
      <c r="I26" s="92">
        <f>Research!H29</f>
        <v>0</v>
      </c>
      <c r="J26" s="8">
        <f t="shared" si="0"/>
        <v>6053549.2420618115</v>
      </c>
      <c r="K26" s="9">
        <f t="shared" si="1"/>
        <v>8.5306288619416033E-3</v>
      </c>
      <c r="L26" s="69">
        <v>4538591.9045456164</v>
      </c>
      <c r="M26" s="50">
        <v>7.9473832082108536E-3</v>
      </c>
      <c r="N26" s="18">
        <f t="shared" si="2"/>
        <v>2285297.4321772582</v>
      </c>
      <c r="O26" s="53">
        <f t="shared" si="3"/>
        <v>2453011.7300636806</v>
      </c>
      <c r="P26" s="63">
        <f t="shared" si="6"/>
        <v>4738309.1622409392</v>
      </c>
      <c r="Q26" s="42">
        <f t="shared" si="4"/>
        <v>8.2390060350762285E-3</v>
      </c>
      <c r="R26" s="38">
        <f t="shared" si="7"/>
        <v>199717.25769532286</v>
      </c>
      <c r="S26" s="46">
        <f t="shared" si="5"/>
        <v>4.4004233448549646E-2</v>
      </c>
      <c r="U26" s="210">
        <v>375625</v>
      </c>
      <c r="V26" s="460">
        <v>99315</v>
      </c>
      <c r="W26" s="409">
        <v>100000</v>
      </c>
      <c r="Y26" s="11"/>
      <c r="Z26" s="11"/>
    </row>
    <row r="27" spans="1:26" x14ac:dyDescent="0.2">
      <c r="A27">
        <v>3</v>
      </c>
      <c r="B27" s="37" t="s">
        <v>35</v>
      </c>
      <c r="C27" s="3" t="s">
        <v>36</v>
      </c>
      <c r="D27" s="181">
        <v>2490</v>
      </c>
      <c r="E27" s="92">
        <f>Instruction!M29</f>
        <v>9548548</v>
      </c>
      <c r="F27" s="92">
        <f>'Student&amp;Institutional Support'!S30</f>
        <v>5593347.9397598775</v>
      </c>
      <c r="G27" s="92">
        <f>Facilities!H30</f>
        <v>1849685.4048426601</v>
      </c>
      <c r="H27" s="92">
        <f>'Student Success'!E28</f>
        <v>0</v>
      </c>
      <c r="I27" s="92">
        <f>Research!H30</f>
        <v>0</v>
      </c>
      <c r="J27" s="8">
        <f t="shared" si="0"/>
        <v>16991581.344602536</v>
      </c>
      <c r="K27" s="9">
        <f t="shared" si="1"/>
        <v>2.3944444561737138E-2</v>
      </c>
      <c r="L27" s="69">
        <v>13717045.793004837</v>
      </c>
      <c r="M27" s="50">
        <v>2.4019480423521363E-2</v>
      </c>
      <c r="N27" s="18">
        <f t="shared" si="2"/>
        <v>6906884.378922848</v>
      </c>
      <c r="O27" s="53">
        <f t="shared" si="3"/>
        <v>6885307.5582556957</v>
      </c>
      <c r="P27" s="63">
        <f t="shared" si="6"/>
        <v>13792191.937178545</v>
      </c>
      <c r="Q27" s="42">
        <f t="shared" si="4"/>
        <v>2.3981962492629252E-2</v>
      </c>
      <c r="R27" s="38">
        <f t="shared" si="7"/>
        <v>75146.144173707813</v>
      </c>
      <c r="S27" s="46">
        <f t="shared" si="5"/>
        <v>5.4783038059134743E-3</v>
      </c>
      <c r="U27" s="210">
        <v>1588174</v>
      </c>
      <c r="V27" s="460">
        <v>199797</v>
      </c>
      <c r="W27" s="409">
        <v>200000</v>
      </c>
      <c r="Y27" s="11"/>
      <c r="Z27" s="11"/>
    </row>
    <row r="28" spans="1:26" x14ac:dyDescent="0.2">
      <c r="A28">
        <v>3</v>
      </c>
      <c r="B28" s="37" t="s">
        <v>37</v>
      </c>
      <c r="C28" s="3" t="s">
        <v>131</v>
      </c>
      <c r="D28" s="181">
        <v>2066</v>
      </c>
      <c r="E28" s="92">
        <f>Instruction!M30</f>
        <v>6704273.5</v>
      </c>
      <c r="F28" s="92">
        <f>'Student&amp;Institutional Support'!S31</f>
        <v>4866559.8752144594</v>
      </c>
      <c r="G28" s="92">
        <f>Facilities!H31</f>
        <v>1410342.5912279868</v>
      </c>
      <c r="H28" s="92">
        <f>'Student Success'!E29</f>
        <v>0</v>
      </c>
      <c r="I28" s="92">
        <f>Research!H31</f>
        <v>0</v>
      </c>
      <c r="J28" s="8">
        <f t="shared" si="0"/>
        <v>12981175.966442447</v>
      </c>
      <c r="K28" s="9">
        <f t="shared" si="1"/>
        <v>1.8293002986056475E-2</v>
      </c>
      <c r="L28" s="69">
        <v>10440827.606465796</v>
      </c>
      <c r="M28" s="50">
        <v>1.8282599481205811E-2</v>
      </c>
      <c r="N28" s="18">
        <f t="shared" si="2"/>
        <v>5257224.4917998435</v>
      </c>
      <c r="O28" s="53">
        <f t="shared" si="3"/>
        <v>5260216.0554753309</v>
      </c>
      <c r="P28" s="63">
        <f t="shared" si="6"/>
        <v>10517440.547275174</v>
      </c>
      <c r="Q28" s="42">
        <f t="shared" si="4"/>
        <v>1.8287801233631145E-2</v>
      </c>
      <c r="R28" s="38">
        <f t="shared" si="7"/>
        <v>76612.9408093784</v>
      </c>
      <c r="S28" s="46">
        <f t="shared" si="5"/>
        <v>7.337822603443192E-3</v>
      </c>
      <c r="U28" s="210">
        <v>1186132</v>
      </c>
      <c r="V28" s="460">
        <v>212769</v>
      </c>
      <c r="W28" s="409">
        <v>300000</v>
      </c>
      <c r="Y28" s="11"/>
      <c r="Z28" s="11"/>
    </row>
    <row r="29" spans="1:26" x14ac:dyDescent="0.2">
      <c r="A29">
        <v>3</v>
      </c>
      <c r="B29" s="37" t="s">
        <v>39</v>
      </c>
      <c r="C29" s="3" t="s">
        <v>135</v>
      </c>
      <c r="D29" s="181">
        <v>3498</v>
      </c>
      <c r="E29" s="92">
        <f>Instruction!M31</f>
        <v>11457749</v>
      </c>
      <c r="F29" s="92">
        <f>'Student&amp;Institutional Support'!S32</f>
        <v>6338433.5177777484</v>
      </c>
      <c r="G29" s="92">
        <f>Facilities!H32</f>
        <v>2078146.3633528438</v>
      </c>
      <c r="H29" s="92">
        <f>'Student Success'!E30</f>
        <v>64000</v>
      </c>
      <c r="I29" s="92">
        <f>Research!H32</f>
        <v>40182.95613789183</v>
      </c>
      <c r="J29" s="8">
        <f t="shared" si="0"/>
        <v>19978511.837268483</v>
      </c>
      <c r="K29" s="9">
        <f t="shared" si="1"/>
        <v>2.8153610862442915E-2</v>
      </c>
      <c r="L29" s="69">
        <v>15560062.472964514</v>
      </c>
      <c r="M29" s="50">
        <v>2.7246728019872608E-2</v>
      </c>
      <c r="N29" s="18">
        <f t="shared" si="2"/>
        <v>7834890.5479624886</v>
      </c>
      <c r="O29" s="53">
        <f t="shared" si="3"/>
        <v>8095667.8349152971</v>
      </c>
      <c r="P29" s="63">
        <f t="shared" si="6"/>
        <v>15930558.382877786</v>
      </c>
      <c r="Q29" s="42">
        <f t="shared" si="4"/>
        <v>2.770016944115776E-2</v>
      </c>
      <c r="R29" s="38">
        <f t="shared" si="7"/>
        <v>370495.90991327167</v>
      </c>
      <c r="S29" s="46">
        <f t="shared" si="5"/>
        <v>2.3810695526255463E-2</v>
      </c>
      <c r="U29" s="210">
        <v>2251476</v>
      </c>
      <c r="V29" s="460">
        <v>290816</v>
      </c>
      <c r="W29" s="409">
        <v>100000</v>
      </c>
      <c r="Y29" s="11"/>
      <c r="Z29" s="11"/>
    </row>
    <row r="30" spans="1:26" x14ac:dyDescent="0.2">
      <c r="A30">
        <v>1</v>
      </c>
      <c r="B30" s="37" t="s">
        <v>46</v>
      </c>
      <c r="C30" s="3" t="s">
        <v>70</v>
      </c>
      <c r="D30" s="181">
        <v>4509</v>
      </c>
      <c r="E30" s="92">
        <f>Instruction!M32</f>
        <v>13112667</v>
      </c>
      <c r="F30" s="92">
        <f>'Student&amp;Institutional Support'!S33</f>
        <v>7933381.9757745219</v>
      </c>
      <c r="G30" s="92">
        <f>Facilities!H33</f>
        <v>1297264.5584218092</v>
      </c>
      <c r="H30" s="92">
        <f>'Student Success'!E31</f>
        <v>878000</v>
      </c>
      <c r="I30" s="92">
        <f>Research!H33</f>
        <v>0</v>
      </c>
      <c r="J30" s="8">
        <f t="shared" si="0"/>
        <v>23221313.534196332</v>
      </c>
      <c r="K30" s="9">
        <f t="shared" si="1"/>
        <v>3.2723349480765274E-2</v>
      </c>
      <c r="L30" s="69">
        <v>17118107.865513258</v>
      </c>
      <c r="M30" s="50">
        <v>2.9974971503929995E-2</v>
      </c>
      <c r="N30" s="18">
        <f t="shared" si="2"/>
        <v>8619406.3646943588</v>
      </c>
      <c r="O30" s="53">
        <f t="shared" si="3"/>
        <v>9409711.92421804</v>
      </c>
      <c r="P30" s="63">
        <f t="shared" si="6"/>
        <v>18029118.288912401</v>
      </c>
      <c r="Q30" s="42">
        <f t="shared" si="4"/>
        <v>3.1349160492347636E-2</v>
      </c>
      <c r="R30" s="38">
        <f t="shared" si="7"/>
        <v>911010.42339914292</v>
      </c>
      <c r="S30" s="46">
        <f t="shared" si="5"/>
        <v>5.3219107541347871E-2</v>
      </c>
      <c r="U30" s="210">
        <v>2858392</v>
      </c>
      <c r="V30" s="460">
        <v>483606</v>
      </c>
      <c r="W30" s="409"/>
      <c r="Y30" s="11"/>
      <c r="Z30" s="11"/>
    </row>
    <row r="31" spans="1:26" x14ac:dyDescent="0.2">
      <c r="A31">
        <v>4</v>
      </c>
      <c r="B31" s="37" t="s">
        <v>41</v>
      </c>
      <c r="C31" s="3" t="s">
        <v>117</v>
      </c>
      <c r="D31" s="181">
        <v>2138</v>
      </c>
      <c r="E31" s="92">
        <f>Instruction!M33</f>
        <v>8087897.5</v>
      </c>
      <c r="F31" s="92">
        <f>'Student&amp;Institutional Support'!S34</f>
        <v>5234573.3930284074</v>
      </c>
      <c r="G31" s="92">
        <f>Facilities!H34</f>
        <v>1150200.6522655957</v>
      </c>
      <c r="H31" s="92">
        <f>'Student Success'!E32</f>
        <v>0</v>
      </c>
      <c r="I31" s="92">
        <f>Research!H34</f>
        <v>53846.121528746793</v>
      </c>
      <c r="J31" s="8">
        <f t="shared" si="0"/>
        <v>14526517.66682275</v>
      </c>
      <c r="K31" s="9">
        <f t="shared" si="1"/>
        <v>2.0470690154970318E-2</v>
      </c>
      <c r="L31" s="69">
        <v>11631297.596754402</v>
      </c>
      <c r="M31" s="50">
        <v>2.0367193427892855E-2</v>
      </c>
      <c r="N31" s="18">
        <f t="shared" si="2"/>
        <v>5856656.6657227399</v>
      </c>
      <c r="O31" s="53">
        <f t="shared" si="3"/>
        <v>5886417.5062953336</v>
      </c>
      <c r="P31" s="63">
        <f t="shared" si="6"/>
        <v>11743074.172018073</v>
      </c>
      <c r="Q31" s="42">
        <f t="shared" si="4"/>
        <v>2.0418941791431586E-2</v>
      </c>
      <c r="R31" s="38">
        <f t="shared" si="7"/>
        <v>111776.57526367158</v>
      </c>
      <c r="S31" s="46">
        <f t="shared" si="5"/>
        <v>9.6099832657417106E-3</v>
      </c>
      <c r="U31" s="210">
        <v>1359567</v>
      </c>
      <c r="V31" s="460">
        <v>182022</v>
      </c>
      <c r="W31" s="409">
        <v>200000</v>
      </c>
      <c r="Y31" s="11"/>
      <c r="Z31" s="11"/>
    </row>
    <row r="32" spans="1:26" x14ac:dyDescent="0.2">
      <c r="A32">
        <v>4</v>
      </c>
      <c r="B32" s="37" t="s">
        <v>42</v>
      </c>
      <c r="C32" s="3" t="s">
        <v>69</v>
      </c>
      <c r="D32" s="181">
        <v>3565</v>
      </c>
      <c r="E32" s="92">
        <f>Instruction!M34</f>
        <v>9447348</v>
      </c>
      <c r="F32" s="92">
        <f>'Student&amp;Institutional Support'!S35</f>
        <v>10711094.569611194</v>
      </c>
      <c r="G32" s="92">
        <f>Facilities!H35</f>
        <v>1873161.734819171</v>
      </c>
      <c r="H32" s="92">
        <f>'Student Success'!E33</f>
        <v>12000</v>
      </c>
      <c r="I32" s="92">
        <f>Research!H35</f>
        <v>115943.39767514437</v>
      </c>
      <c r="J32" s="8">
        <f t="shared" si="0"/>
        <v>22159547.702105507</v>
      </c>
      <c r="K32" s="9">
        <f t="shared" si="1"/>
        <v>3.1227114810875568E-2</v>
      </c>
      <c r="L32" s="69">
        <v>17984518.882248573</v>
      </c>
      <c r="M32" s="50">
        <v>3.149211614055502E-2</v>
      </c>
      <c r="N32" s="18">
        <f t="shared" si="2"/>
        <v>9055666.5337948743</v>
      </c>
      <c r="O32" s="53">
        <f t="shared" si="3"/>
        <v>8979464.488118466</v>
      </c>
      <c r="P32" s="63">
        <f t="shared" si="6"/>
        <v>18035131.021913342</v>
      </c>
      <c r="Q32" s="42">
        <f t="shared" si="4"/>
        <v>3.1359615475715301E-2</v>
      </c>
      <c r="R32" s="38">
        <f>P32-L32</f>
        <v>50612.139664769173</v>
      </c>
      <c r="S32" s="46">
        <f t="shared" si="5"/>
        <v>2.8142059287849697E-3</v>
      </c>
      <c r="U32" s="210">
        <v>772604</v>
      </c>
      <c r="V32" s="460">
        <v>291166</v>
      </c>
      <c r="W32" s="409"/>
      <c r="Y32" s="11"/>
      <c r="Z32" s="11"/>
    </row>
    <row r="33" spans="1:26" x14ac:dyDescent="0.2">
      <c r="A33">
        <v>1</v>
      </c>
      <c r="B33" s="37" t="s">
        <v>43</v>
      </c>
      <c r="C33" s="3" t="s">
        <v>44</v>
      </c>
      <c r="D33" s="181">
        <v>10428</v>
      </c>
      <c r="E33" s="92">
        <f>Instruction!M35</f>
        <v>34746232.5</v>
      </c>
      <c r="F33" s="92">
        <f>'Student&amp;Institutional Support'!S36</f>
        <v>19757416.680602536</v>
      </c>
      <c r="G33" s="92">
        <f>Facilities!H36</f>
        <v>4323037.1483370876</v>
      </c>
      <c r="H33" s="92">
        <f>'Student Success'!E34</f>
        <v>0</v>
      </c>
      <c r="I33" s="92">
        <f>Research!H36</f>
        <v>683149.24040196976</v>
      </c>
      <c r="J33" s="8">
        <f t="shared" si="0"/>
        <v>59509835.569341592</v>
      </c>
      <c r="K33" s="9">
        <f t="shared" si="1"/>
        <v>8.3860938530057938E-2</v>
      </c>
      <c r="L33" s="69">
        <v>52760191.513065629</v>
      </c>
      <c r="M33" s="50">
        <v>9.2386684881928277E-2</v>
      </c>
      <c r="N33" s="18">
        <f t="shared" si="2"/>
        <v>26566109.648507923</v>
      </c>
      <c r="O33" s="53">
        <f t="shared" si="3"/>
        <v>24114501.901042804</v>
      </c>
      <c r="P33" s="63">
        <f t="shared" si="6"/>
        <v>50680611.549550727</v>
      </c>
      <c r="Q33" s="42">
        <f t="shared" si="4"/>
        <v>8.8123811705993108E-2</v>
      </c>
      <c r="R33" s="38">
        <f t="shared" si="7"/>
        <v>-2079579.9635149017</v>
      </c>
      <c r="S33" s="46">
        <f t="shared" si="5"/>
        <v>-3.9415701571134568E-2</v>
      </c>
      <c r="U33" s="210">
        <v>3444943</v>
      </c>
      <c r="V33" s="460">
        <v>562130</v>
      </c>
      <c r="W33" s="409"/>
      <c r="Y33" s="11"/>
      <c r="Z33" s="11"/>
    </row>
    <row r="34" spans="1:26" x14ac:dyDescent="0.2">
      <c r="A34">
        <v>1</v>
      </c>
      <c r="B34" s="37" t="s">
        <v>45</v>
      </c>
      <c r="C34" s="3" t="s">
        <v>136</v>
      </c>
      <c r="D34" s="181">
        <v>3131</v>
      </c>
      <c r="E34" s="92">
        <f>Instruction!M36</f>
        <v>9857711.5</v>
      </c>
      <c r="F34" s="92">
        <f>'Student&amp;Institutional Support'!S37</f>
        <v>5536490.7231911942</v>
      </c>
      <c r="G34" s="92">
        <f>Facilities!H37</f>
        <v>1177989.6096189895</v>
      </c>
      <c r="H34" s="92">
        <f>'Student Success'!E35</f>
        <v>124000</v>
      </c>
      <c r="I34" s="92">
        <f>Research!H37</f>
        <v>5585.6167638520128</v>
      </c>
      <c r="J34" s="8">
        <f t="shared" si="0"/>
        <v>16701777.449574037</v>
      </c>
      <c r="K34" s="9">
        <f t="shared" si="1"/>
        <v>2.353605447975753E-2</v>
      </c>
      <c r="L34" s="69">
        <v>12839239.553973399</v>
      </c>
      <c r="M34" s="50">
        <v>2.2482381977381248E-2</v>
      </c>
      <c r="N34" s="18">
        <f t="shared" si="2"/>
        <v>6464886.4231254626</v>
      </c>
      <c r="O34" s="53">
        <f t="shared" si="3"/>
        <v>6767873.5826660423</v>
      </c>
      <c r="P34" s="63">
        <f t="shared" si="6"/>
        <v>13232760.005791504</v>
      </c>
      <c r="Q34" s="42">
        <f t="shared" si="4"/>
        <v>2.3009218228569387E-2</v>
      </c>
      <c r="R34" s="38">
        <f t="shared" si="7"/>
        <v>393520.45181810483</v>
      </c>
      <c r="S34" s="46">
        <f t="shared" si="5"/>
        <v>3.0649825495024808E-2</v>
      </c>
      <c r="U34" s="210">
        <v>1995302</v>
      </c>
      <c r="V34" s="460">
        <v>282222</v>
      </c>
      <c r="W34" s="409">
        <v>100000</v>
      </c>
      <c r="Y34" s="11"/>
      <c r="Z34" s="11"/>
    </row>
    <row r="35" spans="1:26" x14ac:dyDescent="0.2">
      <c r="A35">
        <v>4</v>
      </c>
      <c r="B35" s="37" t="s">
        <v>47</v>
      </c>
      <c r="C35" s="3" t="s">
        <v>48</v>
      </c>
      <c r="D35" s="181">
        <v>7216</v>
      </c>
      <c r="E35" s="92">
        <f>Instruction!M37</f>
        <v>23957297</v>
      </c>
      <c r="F35" s="92">
        <f>'Student&amp;Institutional Support'!S38</f>
        <v>12699150.930001123</v>
      </c>
      <c r="G35" s="92">
        <f>Facilities!H38</f>
        <v>2435539.9788476331</v>
      </c>
      <c r="H35" s="92">
        <f>'Student Success'!E36</f>
        <v>0</v>
      </c>
      <c r="I35" s="92">
        <f>Research!H38</f>
        <v>105757.15023111369</v>
      </c>
      <c r="J35" s="8">
        <f t="shared" si="0"/>
        <v>39197745.059079871</v>
      </c>
      <c r="K35" s="9">
        <f t="shared" si="1"/>
        <v>5.5237250405206391E-2</v>
      </c>
      <c r="L35" s="69">
        <v>32316079.07195206</v>
      </c>
      <c r="M35" s="50">
        <v>5.6587653081216716E-2</v>
      </c>
      <c r="N35" s="18">
        <f t="shared" si="2"/>
        <v>16271974.67285021</v>
      </c>
      <c r="O35" s="53">
        <f t="shared" si="3"/>
        <v>15883661.729200618</v>
      </c>
      <c r="P35" s="63">
        <f>N35+O35</f>
        <v>32155636.40205083</v>
      </c>
      <c r="Q35" s="42">
        <f t="shared" si="4"/>
        <v>5.5912451743211557E-2</v>
      </c>
      <c r="R35" s="38">
        <f t="shared" si="7"/>
        <v>-160442.66990122944</v>
      </c>
      <c r="S35" s="46">
        <f t="shared" si="5"/>
        <v>-4.9647938273700313E-3</v>
      </c>
      <c r="U35" s="210">
        <v>2786483</v>
      </c>
      <c r="V35" s="460">
        <v>343136</v>
      </c>
      <c r="W35" s="409"/>
      <c r="Y35" s="11"/>
      <c r="Z35" s="11"/>
    </row>
    <row r="36" spans="1:26" x14ac:dyDescent="0.2">
      <c r="N36" s="17"/>
      <c r="O36" s="52"/>
      <c r="P36" s="55"/>
      <c r="R36" s="11"/>
      <c r="W36" s="176">
        <v>0</v>
      </c>
    </row>
    <row r="37" spans="1:26" x14ac:dyDescent="0.2">
      <c r="B37" s="4"/>
      <c r="C37" s="4" t="s">
        <v>49</v>
      </c>
      <c r="D37" s="183">
        <f>SUM(D6:D36)</f>
        <v>126092</v>
      </c>
      <c r="E37" s="183">
        <f t="shared" ref="E37:M37" si="8">SUM(E6:E36)</f>
        <v>398301379.5</v>
      </c>
      <c r="F37" s="183">
        <f t="shared" si="8"/>
        <v>249963202.16520336</v>
      </c>
      <c r="G37" s="183">
        <f t="shared" si="8"/>
        <v>52807712.219519407</v>
      </c>
      <c r="H37" s="183">
        <f t="shared" si="8"/>
        <v>5230000</v>
      </c>
      <c r="I37" s="183">
        <f t="shared" si="8"/>
        <v>3322909.6063128775</v>
      </c>
      <c r="J37" s="12">
        <f t="shared" si="8"/>
        <v>709625203.49103558</v>
      </c>
      <c r="K37" s="7">
        <f t="shared" si="8"/>
        <v>1</v>
      </c>
      <c r="L37" s="65">
        <f t="shared" si="8"/>
        <v>571080038</v>
      </c>
      <c r="M37" s="51">
        <f t="shared" si="8"/>
        <v>0.99999999999999978</v>
      </c>
      <c r="N37" s="5">
        <f t="shared" ref="N37:R37" si="9">SUM(N6:N36)</f>
        <v>287553446.49999994</v>
      </c>
      <c r="O37" s="56">
        <f t="shared" si="9"/>
        <v>287553446.5</v>
      </c>
      <c r="P37" s="56">
        <f>SUM(P6:P36)</f>
        <v>575106893</v>
      </c>
      <c r="Q37" s="7">
        <f>SUM(Q6:Q36)</f>
        <v>1</v>
      </c>
      <c r="R37" s="5">
        <f t="shared" si="9"/>
        <v>4026855.0000000503</v>
      </c>
      <c r="S37" s="209">
        <f>R37/L37</f>
        <v>7.0512970723029377E-3</v>
      </c>
      <c r="U37" s="208">
        <f t="shared" ref="U37:W37" si="10">SUM(U6:U36)</f>
        <v>63405077</v>
      </c>
      <c r="V37" s="208">
        <f>SUM(V6:V36)</f>
        <v>9601008</v>
      </c>
      <c r="W37" s="208">
        <f t="shared" si="10"/>
        <v>3000000</v>
      </c>
    </row>
    <row r="38" spans="1:26" ht="18.75" customHeight="1" x14ac:dyDescent="0.2">
      <c r="B38" s="16" t="s">
        <v>329</v>
      </c>
      <c r="C38" s="4"/>
      <c r="D38" s="183"/>
      <c r="E38" s="183"/>
      <c r="F38" s="183"/>
      <c r="G38" s="183"/>
      <c r="H38" s="183"/>
      <c r="I38" s="183"/>
      <c r="J38" s="12"/>
      <c r="K38" s="7"/>
      <c r="L38" s="70"/>
      <c r="M38" s="51"/>
      <c r="N38" s="5"/>
      <c r="O38" s="56"/>
      <c r="P38" s="56"/>
      <c r="Q38" s="7"/>
      <c r="R38" s="5"/>
    </row>
    <row r="39" spans="1:26" ht="21" hidden="1" customHeight="1" x14ac:dyDescent="0.2">
      <c r="B39" s="16"/>
      <c r="E39" s="212"/>
      <c r="F39" s="212"/>
      <c r="G39" s="212"/>
      <c r="H39" s="212"/>
      <c r="I39" s="212"/>
      <c r="N39" s="24"/>
      <c r="O39" s="104">
        <f>(O41)/2</f>
        <v>287553446.5</v>
      </c>
      <c r="P39" s="43"/>
      <c r="Q39" s="57"/>
      <c r="R39" s="24"/>
    </row>
    <row r="40" spans="1:26" ht="12" customHeight="1" x14ac:dyDescent="0.2">
      <c r="B40" s="498"/>
      <c r="C40" s="499"/>
      <c r="L40" s="87"/>
      <c r="N40" s="15"/>
      <c r="P40" s="43"/>
      <c r="Q40" s="54"/>
      <c r="R40" s="297"/>
      <c r="S40" s="405"/>
    </row>
    <row r="41" spans="1:26" hidden="1" x14ac:dyDescent="0.2">
      <c r="J41" s="194"/>
      <c r="N41" s="172" t="s">
        <v>127</v>
      </c>
      <c r="O41" s="496">
        <f>541366893+33740000</f>
        <v>575106893</v>
      </c>
      <c r="R41" s="11"/>
    </row>
    <row r="42" spans="1:26" x14ac:dyDescent="0.2">
      <c r="M42" s="304"/>
      <c r="Q42" s="304"/>
      <c r="R42" s="11"/>
      <c r="S42" s="495"/>
    </row>
    <row r="43" spans="1:26" x14ac:dyDescent="0.2">
      <c r="J43" s="176"/>
      <c r="M43" s="304"/>
      <c r="N43" s="207"/>
      <c r="O43" s="57"/>
      <c r="Q43" s="304"/>
      <c r="R43" s="11"/>
      <c r="S43" s="495"/>
    </row>
    <row r="44" spans="1:26" x14ac:dyDescent="0.2">
      <c r="O44" s="166"/>
      <c r="P44" s="134"/>
      <c r="Q44" s="24"/>
      <c r="R44" s="11"/>
      <c r="S44" s="304"/>
    </row>
    <row r="45" spans="1:26" x14ac:dyDescent="0.2">
      <c r="M45" s="304"/>
      <c r="P45" s="134"/>
      <c r="Q45" s="304"/>
      <c r="R45" s="11"/>
      <c r="S45" s="495"/>
    </row>
    <row r="46" spans="1:26" x14ac:dyDescent="0.2">
      <c r="M46" s="304"/>
      <c r="O46" s="55"/>
      <c r="P46" s="134"/>
      <c r="Q46" s="304"/>
      <c r="R46" s="11"/>
      <c r="S46" s="495"/>
    </row>
    <row r="47" spans="1:26" x14ac:dyDescent="0.2">
      <c r="R47" s="11"/>
      <c r="S47" s="304"/>
    </row>
    <row r="48" spans="1:26" x14ac:dyDescent="0.2">
      <c r="P48" s="57"/>
    </row>
    <row r="49" spans="13:23" x14ac:dyDescent="0.2">
      <c r="M49" s="304"/>
      <c r="Q49" s="304"/>
      <c r="R49" s="11"/>
      <c r="S49" s="495"/>
    </row>
    <row r="50" spans="13:23" x14ac:dyDescent="0.2">
      <c r="M50" s="304"/>
      <c r="Q50" s="304"/>
      <c r="R50" s="11"/>
      <c r="S50" s="495"/>
    </row>
    <row r="51" spans="13:23" x14ac:dyDescent="0.2">
      <c r="P51" s="153"/>
    </row>
    <row r="52" spans="13:23" x14ac:dyDescent="0.2">
      <c r="S52" s="6"/>
    </row>
    <row r="53" spans="13:23" x14ac:dyDescent="0.2">
      <c r="M53" s="41"/>
      <c r="Q53" s="41"/>
      <c r="S53" s="6"/>
    </row>
    <row r="58" spans="13:23" x14ac:dyDescent="0.2">
      <c r="P58" s="57"/>
      <c r="Q58" s="24"/>
      <c r="R58" s="24"/>
      <c r="U58" s="176"/>
      <c r="W58" s="176"/>
    </row>
  </sheetData>
  <mergeCells count="1">
    <mergeCell ref="B40:C40"/>
  </mergeCells>
  <pageMargins left="0.3" right="0.08" top="0.82" bottom="0.13" header="0.18" footer="0.13"/>
  <pageSetup scale="80" orientation="landscape" copies="4" r:id="rId1"/>
  <headerFooter alignWithMargins="0">
    <oddHeader>&amp;C&amp;"Arial,Bold"Minnesota State
FY2021 COLLEGE/UNIVERSITY ALLOCATION
(BASED ON FY2019 DATA)
&amp;RSP-6</oddHeader>
  </headerFooter>
  <colBreaks count="2" manualBreakCount="2">
    <brk id="11" max="1048575" man="1"/>
    <brk id="19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49"/>
  <sheetViews>
    <sheetView zoomScale="90" zoomScaleNormal="90" workbookViewId="0">
      <selection activeCell="C12" sqref="C12"/>
    </sheetView>
  </sheetViews>
  <sheetFormatPr defaultRowHeight="15" customHeight="1" x14ac:dyDescent="0.2"/>
  <cols>
    <col min="1" max="1" width="7.28515625" style="64" customWidth="1"/>
    <col min="2" max="2" width="31.7109375" style="64" customWidth="1"/>
    <col min="3" max="3" width="16.140625" style="54" customWidth="1"/>
    <col min="4" max="5" width="12.7109375" style="55" customWidth="1"/>
    <col min="6" max="6" width="12.5703125" style="55" customWidth="1"/>
    <col min="7" max="7" width="13" style="55" customWidth="1"/>
    <col min="8" max="8" width="11" style="55" customWidth="1"/>
    <col min="9" max="9" width="10.42578125" style="55" customWidth="1"/>
    <col min="10" max="10" width="12.85546875" style="72" customWidth="1"/>
    <col min="11" max="12" width="15.85546875" style="54" customWidth="1"/>
    <col min="13" max="13" width="13.7109375" style="54" customWidth="1"/>
    <col min="14" max="14" width="11.28515625" style="64" bestFit="1" customWidth="1"/>
    <col min="15" max="15" width="12.28515625" style="64" hidden="1" customWidth="1"/>
    <col min="16" max="16384" width="9.140625" style="64"/>
  </cols>
  <sheetData>
    <row r="1" spans="1:15" ht="15" customHeight="1" x14ac:dyDescent="0.25">
      <c r="A1" s="71" t="s">
        <v>72</v>
      </c>
      <c r="M1" s="87" t="s">
        <v>280</v>
      </c>
    </row>
    <row r="2" spans="1:15" ht="15" customHeight="1" x14ac:dyDescent="0.2">
      <c r="A2" s="73" t="s">
        <v>73</v>
      </c>
      <c r="H2" s="56"/>
    </row>
    <row r="3" spans="1:15" ht="15" customHeight="1" x14ac:dyDescent="0.2">
      <c r="A3" s="74" t="s">
        <v>326</v>
      </c>
    </row>
    <row r="4" spans="1:15" s="75" customFormat="1" ht="15" customHeight="1" x14ac:dyDescent="0.2">
      <c r="C4" s="103"/>
      <c r="D4" s="89" t="s">
        <v>74</v>
      </c>
      <c r="E4" s="89" t="s">
        <v>75</v>
      </c>
      <c r="F4" s="89" t="s">
        <v>76</v>
      </c>
      <c r="G4" s="89" t="s">
        <v>77</v>
      </c>
      <c r="H4" s="89" t="s">
        <v>78</v>
      </c>
      <c r="I4" s="89" t="s">
        <v>81</v>
      </c>
      <c r="J4" s="76" t="s">
        <v>300</v>
      </c>
      <c r="K4" s="103" t="s">
        <v>301</v>
      </c>
      <c r="L4" s="103"/>
      <c r="M4" s="103" t="s">
        <v>302</v>
      </c>
    </row>
    <row r="5" spans="1:15" ht="27.75" customHeight="1" x14ac:dyDescent="0.2">
      <c r="B5" s="77"/>
      <c r="C5" s="103" t="s">
        <v>79</v>
      </c>
      <c r="D5" s="474"/>
      <c r="E5" s="470" t="s">
        <v>121</v>
      </c>
      <c r="F5" s="184"/>
      <c r="G5" s="185" t="s">
        <v>80</v>
      </c>
      <c r="H5" s="184" t="s">
        <v>121</v>
      </c>
      <c r="I5" s="186" t="s">
        <v>121</v>
      </c>
      <c r="J5" s="76" t="s">
        <v>82</v>
      </c>
      <c r="K5" s="103" t="s">
        <v>111</v>
      </c>
      <c r="L5" s="103" t="s">
        <v>123</v>
      </c>
      <c r="M5" s="103" t="s">
        <v>99</v>
      </c>
    </row>
    <row r="6" spans="1:15" s="81" customFormat="1" ht="90" customHeight="1" x14ac:dyDescent="0.2">
      <c r="A6" s="78" t="s">
        <v>0</v>
      </c>
      <c r="B6" s="79" t="s">
        <v>83</v>
      </c>
      <c r="C6" s="136" t="s">
        <v>293</v>
      </c>
      <c r="D6" s="475" t="s">
        <v>296</v>
      </c>
      <c r="E6" s="105" t="s">
        <v>297</v>
      </c>
      <c r="F6" s="187" t="s">
        <v>84</v>
      </c>
      <c r="G6" s="187" t="s">
        <v>85</v>
      </c>
      <c r="H6" s="105" t="s">
        <v>298</v>
      </c>
      <c r="I6" s="105" t="s">
        <v>299</v>
      </c>
      <c r="J6" s="80" t="s">
        <v>86</v>
      </c>
      <c r="K6" s="392" t="s">
        <v>315</v>
      </c>
      <c r="L6" s="392" t="s">
        <v>292</v>
      </c>
      <c r="M6" s="392" t="s">
        <v>142</v>
      </c>
    </row>
    <row r="7" spans="1:15" ht="15" customHeight="1" x14ac:dyDescent="0.2">
      <c r="B7" s="82"/>
      <c r="C7" s="132"/>
      <c r="D7" s="476"/>
      <c r="E7" s="188"/>
      <c r="F7" s="189"/>
      <c r="G7" s="189"/>
    </row>
    <row r="8" spans="1:15" ht="15" customHeight="1" x14ac:dyDescent="0.2">
      <c r="A8" s="83" t="s">
        <v>2</v>
      </c>
      <c r="B8" s="3" t="s">
        <v>128</v>
      </c>
      <c r="C8" s="133">
        <f>127199+6504367</f>
        <v>6631566</v>
      </c>
      <c r="D8" s="469">
        <v>-1555</v>
      </c>
      <c r="E8" s="92">
        <v>-387260</v>
      </c>
      <c r="F8" s="448"/>
      <c r="G8" s="131"/>
      <c r="H8" s="92"/>
      <c r="I8" s="92"/>
      <c r="J8" s="69">
        <f t="shared" ref="J8:J13" si="0">SUM(D8:I8)</f>
        <v>-388815</v>
      </c>
      <c r="K8" s="303">
        <f t="shared" ref="K8:K12" si="1">+C8+J8</f>
        <v>6242751</v>
      </c>
      <c r="L8" s="303">
        <v>6502678</v>
      </c>
      <c r="M8" s="303">
        <f>AVERAGE(K8:L8)</f>
        <v>6372714.5</v>
      </c>
      <c r="N8" s="72"/>
      <c r="O8" s="471">
        <v>6707251</v>
      </c>
    </row>
    <row r="9" spans="1:15" s="54" customFormat="1" ht="15" customHeight="1" x14ac:dyDescent="0.2">
      <c r="A9" s="10" t="s">
        <v>4</v>
      </c>
      <c r="B9" s="3" t="s">
        <v>124</v>
      </c>
      <c r="C9" s="133">
        <f>415955+18180956</f>
        <v>18596911</v>
      </c>
      <c r="D9" s="469">
        <v>108189</v>
      </c>
      <c r="E9" s="92">
        <v>192951</v>
      </c>
      <c r="F9" s="448"/>
      <c r="G9" s="131"/>
      <c r="H9" s="131"/>
      <c r="I9" s="131"/>
      <c r="J9" s="69">
        <f t="shared" si="0"/>
        <v>301140</v>
      </c>
      <c r="K9" s="303">
        <f t="shared" si="1"/>
        <v>18898051</v>
      </c>
      <c r="L9" s="303">
        <v>18649995</v>
      </c>
      <c r="M9" s="303">
        <f t="shared" ref="M9:M37" si="2">AVERAGE(K9:L9)</f>
        <v>18774023</v>
      </c>
      <c r="N9" s="72"/>
      <c r="O9" s="471">
        <v>16915998</v>
      </c>
    </row>
    <row r="10" spans="1:15" ht="15" customHeight="1" x14ac:dyDescent="0.2">
      <c r="A10" s="83" t="s">
        <v>5</v>
      </c>
      <c r="B10" s="121" t="s">
        <v>113</v>
      </c>
      <c r="C10" s="133">
        <f>86568+5592920+6625842+862845</f>
        <v>13168175</v>
      </c>
      <c r="D10" s="469">
        <v>2473</v>
      </c>
      <c r="E10" s="92">
        <v>915183</v>
      </c>
      <c r="F10" s="448"/>
      <c r="G10" s="190">
        <v>298430</v>
      </c>
      <c r="H10" s="190">
        <v>347733</v>
      </c>
      <c r="I10" s="190">
        <v>23865</v>
      </c>
      <c r="J10" s="69">
        <f t="shared" si="0"/>
        <v>1587684</v>
      </c>
      <c r="K10" s="303">
        <f>+C10+J10</f>
        <v>14755859</v>
      </c>
      <c r="L10" s="303">
        <v>14540339</v>
      </c>
      <c r="M10" s="303">
        <f t="shared" si="2"/>
        <v>14648099</v>
      </c>
      <c r="N10" s="72"/>
      <c r="O10" s="471">
        <v>13134705</v>
      </c>
    </row>
    <row r="11" spans="1:15" ht="15" customHeight="1" x14ac:dyDescent="0.2">
      <c r="A11" s="83" t="s">
        <v>6</v>
      </c>
      <c r="B11" s="3" t="s">
        <v>7</v>
      </c>
      <c r="C11" s="133">
        <f>905380+7764425</f>
        <v>8669805</v>
      </c>
      <c r="D11" s="469">
        <v>-40913</v>
      </c>
      <c r="E11" s="92">
        <v>-607210</v>
      </c>
      <c r="F11" s="478">
        <v>30857</v>
      </c>
      <c r="G11" s="131"/>
      <c r="H11" s="92"/>
      <c r="I11" s="92"/>
      <c r="J11" s="69">
        <f t="shared" si="0"/>
        <v>-617266</v>
      </c>
      <c r="K11" s="303">
        <f t="shared" si="1"/>
        <v>8052539</v>
      </c>
      <c r="L11" s="303">
        <v>7695087</v>
      </c>
      <c r="M11" s="303">
        <f t="shared" si="2"/>
        <v>7873813</v>
      </c>
      <c r="N11" s="72"/>
      <c r="O11" s="472">
        <v>8654904</v>
      </c>
    </row>
    <row r="12" spans="1:15" ht="15" customHeight="1" x14ac:dyDescent="0.2">
      <c r="A12" s="83" t="s">
        <v>8</v>
      </c>
      <c r="B12" s="3" t="s">
        <v>9</v>
      </c>
      <c r="C12" s="133">
        <f>77591+16614261</f>
        <v>16691852</v>
      </c>
      <c r="D12" s="469">
        <v>31057</v>
      </c>
      <c r="E12" s="92">
        <v>858219</v>
      </c>
      <c r="F12" s="448"/>
      <c r="G12" s="131"/>
      <c r="H12" s="92"/>
      <c r="I12" s="92"/>
      <c r="J12" s="69">
        <f t="shared" si="0"/>
        <v>889276</v>
      </c>
      <c r="K12" s="303">
        <f t="shared" si="1"/>
        <v>17581128</v>
      </c>
      <c r="L12" s="303">
        <v>17106672</v>
      </c>
      <c r="M12" s="303">
        <f t="shared" si="2"/>
        <v>17343900</v>
      </c>
      <c r="N12" s="72"/>
      <c r="O12" s="471">
        <v>15356208</v>
      </c>
    </row>
    <row r="13" spans="1:15" ht="15" customHeight="1" x14ac:dyDescent="0.2">
      <c r="A13" s="83" t="s">
        <v>10</v>
      </c>
      <c r="B13" s="3" t="s">
        <v>146</v>
      </c>
      <c r="C13" s="133">
        <f>54606+16153569</f>
        <v>16208175</v>
      </c>
      <c r="D13" s="469">
        <v>1882</v>
      </c>
      <c r="E13" s="92">
        <v>-358808</v>
      </c>
      <c r="F13" s="448"/>
      <c r="G13" s="131"/>
      <c r="H13" s="92"/>
      <c r="I13" s="92"/>
      <c r="J13" s="69">
        <f t="shared" si="0"/>
        <v>-356926</v>
      </c>
      <c r="K13" s="303">
        <f t="shared" ref="K13:K37" si="3">+C13+J13</f>
        <v>15851249</v>
      </c>
      <c r="L13" s="303">
        <v>15740601</v>
      </c>
      <c r="M13" s="303">
        <f t="shared" si="2"/>
        <v>15795925</v>
      </c>
      <c r="N13" s="72"/>
      <c r="O13" s="471">
        <v>15167674</v>
      </c>
    </row>
    <row r="14" spans="1:15" ht="15" customHeight="1" x14ac:dyDescent="0.2">
      <c r="A14" s="83" t="s">
        <v>12</v>
      </c>
      <c r="B14" s="3" t="s">
        <v>13</v>
      </c>
      <c r="C14" s="133">
        <f>507547+2787236</f>
        <v>3294783</v>
      </c>
      <c r="D14" s="469">
        <v>-5573</v>
      </c>
      <c r="E14" s="92">
        <v>-891009</v>
      </c>
      <c r="F14" s="448"/>
      <c r="G14" s="131"/>
      <c r="H14" s="92"/>
      <c r="I14" s="92"/>
      <c r="J14" s="69">
        <f t="shared" ref="J14:J37" si="4">SUM(D14:I14)</f>
        <v>-896582</v>
      </c>
      <c r="K14" s="303">
        <f t="shared" si="3"/>
        <v>2398201</v>
      </c>
      <c r="L14" s="303">
        <v>2511011</v>
      </c>
      <c r="M14" s="303">
        <f t="shared" si="2"/>
        <v>2454606</v>
      </c>
      <c r="N14" s="72"/>
      <c r="O14" s="471">
        <v>3007552</v>
      </c>
    </row>
    <row r="15" spans="1:15" ht="15" customHeight="1" x14ac:dyDescent="0.2">
      <c r="A15" s="83" t="s">
        <v>14</v>
      </c>
      <c r="B15" s="3" t="s">
        <v>139</v>
      </c>
      <c r="C15" s="133">
        <f>214206+13080373</f>
        <v>13294579</v>
      </c>
      <c r="D15" s="469">
        <v>-71768</v>
      </c>
      <c r="E15" s="92">
        <v>-754010</v>
      </c>
      <c r="F15" s="448"/>
      <c r="G15" s="131"/>
      <c r="H15" s="92"/>
      <c r="I15" s="92"/>
      <c r="J15" s="69">
        <f>SUM(D15:I15)</f>
        <v>-825778</v>
      </c>
      <c r="K15" s="303">
        <f t="shared" si="3"/>
        <v>12468801</v>
      </c>
      <c r="L15" s="303">
        <v>12556876</v>
      </c>
      <c r="M15" s="303">
        <f t="shared" si="2"/>
        <v>12512838.5</v>
      </c>
      <c r="N15" s="72"/>
      <c r="O15" s="471">
        <v>12599451</v>
      </c>
    </row>
    <row r="16" spans="1:15" ht="15" customHeight="1" x14ac:dyDescent="0.2">
      <c r="A16" s="83" t="s">
        <v>16</v>
      </c>
      <c r="B16" s="3" t="s">
        <v>17</v>
      </c>
      <c r="C16" s="133">
        <f>228084+9854069</f>
        <v>10082153</v>
      </c>
      <c r="D16" s="469">
        <v>42635</v>
      </c>
      <c r="E16" s="92">
        <v>-50107</v>
      </c>
      <c r="F16" s="448"/>
      <c r="G16" s="131"/>
      <c r="H16" s="92"/>
      <c r="I16" s="92"/>
      <c r="J16" s="69">
        <f>SUM(D16:I16)</f>
        <v>-7472</v>
      </c>
      <c r="K16" s="303">
        <f t="shared" si="3"/>
        <v>10074681</v>
      </c>
      <c r="L16" s="303">
        <v>10109194</v>
      </c>
      <c r="M16" s="303">
        <f t="shared" si="2"/>
        <v>10091937.5</v>
      </c>
      <c r="N16" s="72"/>
      <c r="O16" s="471">
        <v>9109731</v>
      </c>
    </row>
    <row r="17" spans="1:15" ht="15" customHeight="1" x14ac:dyDescent="0.2">
      <c r="A17" s="83" t="s">
        <v>18</v>
      </c>
      <c r="B17" s="3" t="s">
        <v>140</v>
      </c>
      <c r="C17" s="133">
        <f>3769275+13048034+2300303+435168</f>
        <v>19552780</v>
      </c>
      <c r="D17" s="469"/>
      <c r="E17" s="92">
        <v>160372</v>
      </c>
      <c r="F17" s="448"/>
      <c r="G17" s="190">
        <v>197615</v>
      </c>
      <c r="H17" s="190">
        <v>264250</v>
      </c>
      <c r="I17" s="190">
        <v>-148124</v>
      </c>
      <c r="J17" s="69">
        <f>SUM(D17:I17)</f>
        <v>474113</v>
      </c>
      <c r="K17" s="303">
        <f t="shared" si="3"/>
        <v>20026893</v>
      </c>
      <c r="L17" s="303">
        <v>19699637</v>
      </c>
      <c r="M17" s="303">
        <f t="shared" si="2"/>
        <v>19863265</v>
      </c>
      <c r="N17" s="72"/>
      <c r="O17" s="471">
        <v>17712454</v>
      </c>
    </row>
    <row r="18" spans="1:15" ht="15" customHeight="1" x14ac:dyDescent="0.2">
      <c r="A18" s="83" t="s">
        <v>19</v>
      </c>
      <c r="B18" s="3" t="s">
        <v>129</v>
      </c>
      <c r="C18" s="133">
        <f>101929+14064288</f>
        <v>14166217</v>
      </c>
      <c r="D18" s="469">
        <v>-34744</v>
      </c>
      <c r="E18" s="92">
        <v>-171782</v>
      </c>
      <c r="F18" s="448"/>
      <c r="G18" s="131"/>
      <c r="H18" s="131"/>
      <c r="I18" s="92"/>
      <c r="J18" s="69">
        <f>SUM(D18:I18)</f>
        <v>-206526</v>
      </c>
      <c r="K18" s="303">
        <f t="shared" si="3"/>
        <v>13959691</v>
      </c>
      <c r="L18" s="303">
        <v>14131969</v>
      </c>
      <c r="M18" s="303">
        <f t="shared" si="2"/>
        <v>14045830</v>
      </c>
      <c r="N18" s="72"/>
      <c r="O18" s="471">
        <v>13279690</v>
      </c>
    </row>
    <row r="19" spans="1:15" ht="15" customHeight="1" x14ac:dyDescent="0.2">
      <c r="A19" s="83" t="s">
        <v>21</v>
      </c>
      <c r="B19" s="121" t="s">
        <v>177</v>
      </c>
      <c r="C19" s="135">
        <f>132939+5204128</f>
        <v>5337067</v>
      </c>
      <c r="D19" s="469">
        <v>-61159</v>
      </c>
      <c r="E19" s="92">
        <v>-985585</v>
      </c>
      <c r="F19" s="448"/>
      <c r="G19" s="131"/>
      <c r="H19" s="92"/>
      <c r="I19" s="92"/>
      <c r="J19" s="69">
        <f>SUM(D19:I19)</f>
        <v>-1046744</v>
      </c>
      <c r="K19" s="303">
        <f t="shared" si="3"/>
        <v>4290323</v>
      </c>
      <c r="L19" s="303">
        <v>4523119</v>
      </c>
      <c r="M19" s="303">
        <f t="shared" si="2"/>
        <v>4406721</v>
      </c>
      <c r="N19" s="72"/>
      <c r="O19" s="473">
        <v>5610874</v>
      </c>
    </row>
    <row r="20" spans="1:15" ht="15" customHeight="1" x14ac:dyDescent="0.2">
      <c r="A20" s="84" t="s">
        <v>109</v>
      </c>
      <c r="B20" s="3" t="s">
        <v>141</v>
      </c>
      <c r="C20" s="133">
        <f>630137+12249010</f>
        <v>12879147</v>
      </c>
      <c r="D20" s="469">
        <v>-8457</v>
      </c>
      <c r="E20" s="92">
        <v>-355523</v>
      </c>
      <c r="F20" s="448"/>
      <c r="G20" s="131"/>
      <c r="H20" s="92"/>
      <c r="I20" s="92"/>
      <c r="J20" s="69">
        <f t="shared" si="4"/>
        <v>-363980</v>
      </c>
      <c r="K20" s="303">
        <f t="shared" si="3"/>
        <v>12515167</v>
      </c>
      <c r="L20" s="303">
        <v>12516598</v>
      </c>
      <c r="M20" s="303">
        <f t="shared" si="2"/>
        <v>12515882.5</v>
      </c>
      <c r="N20" s="72"/>
      <c r="O20" s="471">
        <v>12710289</v>
      </c>
    </row>
    <row r="21" spans="1:15" ht="15" customHeight="1" x14ac:dyDescent="0.2">
      <c r="A21" s="83" t="s">
        <v>26</v>
      </c>
      <c r="B21" s="3" t="s">
        <v>62</v>
      </c>
      <c r="C21" s="133">
        <f>6251187+9230931+2914584+82437</f>
        <v>18479139</v>
      </c>
      <c r="D21" s="469"/>
      <c r="E21" s="92">
        <v>-185762</v>
      </c>
      <c r="F21" s="448"/>
      <c r="G21" s="190">
        <v>472664</v>
      </c>
      <c r="H21" s="190">
        <v>-328919</v>
      </c>
      <c r="I21" s="190">
        <f>-138106+12321</f>
        <v>-125785</v>
      </c>
      <c r="J21" s="69">
        <f t="shared" si="4"/>
        <v>-167802</v>
      </c>
      <c r="K21" s="303">
        <f t="shared" si="3"/>
        <v>18311337</v>
      </c>
      <c r="L21" s="303">
        <v>17829195</v>
      </c>
      <c r="M21" s="303">
        <f t="shared" si="2"/>
        <v>18070266</v>
      </c>
      <c r="N21" s="72"/>
      <c r="O21" s="471">
        <v>17615627</v>
      </c>
    </row>
    <row r="22" spans="1:15" ht="15" customHeight="1" x14ac:dyDescent="0.2">
      <c r="A22" s="83" t="s">
        <v>22</v>
      </c>
      <c r="B22" s="3" t="s">
        <v>23</v>
      </c>
      <c r="C22" s="133">
        <f>147228+14417461+15688643+5377725+332395</f>
        <v>35963452</v>
      </c>
      <c r="D22" s="469">
        <v>20673</v>
      </c>
      <c r="E22" s="92">
        <v>3515959</v>
      </c>
      <c r="F22" s="448"/>
      <c r="G22" s="190">
        <v>994951</v>
      </c>
      <c r="H22" s="190">
        <v>-1498</v>
      </c>
      <c r="I22" s="190">
        <f>18727-28733</f>
        <v>-10006</v>
      </c>
      <c r="J22" s="69">
        <f t="shared" si="4"/>
        <v>4520079</v>
      </c>
      <c r="K22" s="303">
        <f t="shared" si="3"/>
        <v>40483531</v>
      </c>
      <c r="L22" s="303">
        <v>40188178</v>
      </c>
      <c r="M22" s="303">
        <f t="shared" si="2"/>
        <v>40335854.5</v>
      </c>
      <c r="N22" s="72"/>
      <c r="O22" s="471">
        <v>34193471</v>
      </c>
    </row>
    <row r="23" spans="1:15" ht="15" customHeight="1" x14ac:dyDescent="0.2">
      <c r="A23" s="83" t="s">
        <v>24</v>
      </c>
      <c r="B23" s="3" t="s">
        <v>137</v>
      </c>
      <c r="C23" s="133">
        <f>167432+7588523</f>
        <v>7755955</v>
      </c>
      <c r="D23" s="469">
        <v>-4545</v>
      </c>
      <c r="E23" s="92">
        <v>-212573</v>
      </c>
      <c r="F23" s="449">
        <v>53612</v>
      </c>
      <c r="G23" s="131"/>
      <c r="H23" s="92"/>
      <c r="I23" s="92"/>
      <c r="J23" s="69">
        <f t="shared" si="4"/>
        <v>-163506</v>
      </c>
      <c r="K23" s="303">
        <f t="shared" si="3"/>
        <v>7592449</v>
      </c>
      <c r="L23" s="303">
        <v>7128725</v>
      </c>
      <c r="M23" s="303">
        <f t="shared" si="2"/>
        <v>7360587</v>
      </c>
      <c r="N23" s="72"/>
      <c r="O23" s="471">
        <v>6338812</v>
      </c>
    </row>
    <row r="24" spans="1:15" ht="15" customHeight="1" x14ac:dyDescent="0.2">
      <c r="A24" s="83" t="s">
        <v>27</v>
      </c>
      <c r="B24" s="3" t="s">
        <v>132</v>
      </c>
      <c r="C24" s="133">
        <f>230456+16694032</f>
        <v>16924488</v>
      </c>
      <c r="D24" s="469">
        <v>-4911</v>
      </c>
      <c r="E24" s="92">
        <v>933243</v>
      </c>
      <c r="F24" s="448"/>
      <c r="G24" s="131"/>
      <c r="H24" s="131"/>
      <c r="I24" s="92"/>
      <c r="J24" s="69">
        <f t="shared" si="4"/>
        <v>928332</v>
      </c>
      <c r="K24" s="303">
        <f t="shared" si="3"/>
        <v>17852820</v>
      </c>
      <c r="L24" s="303">
        <v>17434945</v>
      </c>
      <c r="M24" s="303">
        <f t="shared" si="2"/>
        <v>17643882.5</v>
      </c>
      <c r="N24" s="72"/>
      <c r="O24" s="471">
        <v>14857043</v>
      </c>
    </row>
    <row r="25" spans="1:15" ht="15" customHeight="1" x14ac:dyDescent="0.2">
      <c r="A25" s="83" t="s">
        <v>29</v>
      </c>
      <c r="B25" s="480" t="s">
        <v>133</v>
      </c>
      <c r="C25" s="133">
        <f>60601+11817134</f>
        <v>11877735</v>
      </c>
      <c r="D25" s="469">
        <v>16546</v>
      </c>
      <c r="E25" s="92">
        <v>-323070</v>
      </c>
      <c r="F25" s="448"/>
      <c r="G25" s="131"/>
      <c r="H25" s="92"/>
      <c r="I25" s="92"/>
      <c r="J25" s="69">
        <f t="shared" si="4"/>
        <v>-306524</v>
      </c>
      <c r="K25" s="303">
        <f t="shared" si="3"/>
        <v>11571211</v>
      </c>
      <c r="L25" s="303">
        <v>11504863</v>
      </c>
      <c r="M25" s="303">
        <f t="shared" si="2"/>
        <v>11538037</v>
      </c>
      <c r="N25" s="72"/>
      <c r="O25" s="471">
        <v>11149605</v>
      </c>
    </row>
    <row r="26" spans="1:15" ht="15" customHeight="1" x14ac:dyDescent="0.2">
      <c r="A26" s="84" t="s">
        <v>118</v>
      </c>
      <c r="B26" s="3" t="s">
        <v>63</v>
      </c>
      <c r="C26" s="133">
        <f>441780+10271842</f>
        <v>10713622</v>
      </c>
      <c r="D26" s="469">
        <v>-34939</v>
      </c>
      <c r="E26" s="92">
        <v>-549607</v>
      </c>
      <c r="F26" s="448"/>
      <c r="G26" s="131"/>
      <c r="H26" s="92"/>
      <c r="I26" s="92"/>
      <c r="J26" s="69">
        <f t="shared" si="4"/>
        <v>-584546</v>
      </c>
      <c r="K26" s="303">
        <f t="shared" si="3"/>
        <v>10129076</v>
      </c>
      <c r="L26" s="303">
        <v>10396023</v>
      </c>
      <c r="M26" s="303">
        <f t="shared" si="2"/>
        <v>10262549.5</v>
      </c>
      <c r="N26" s="72"/>
      <c r="O26" s="471">
        <v>11670269</v>
      </c>
    </row>
    <row r="27" spans="1:15" ht="15" customHeight="1" x14ac:dyDescent="0.2">
      <c r="A27" s="83" t="s">
        <v>31</v>
      </c>
      <c r="B27" s="3" t="s">
        <v>134</v>
      </c>
      <c r="C27" s="133">
        <f>160640+7788029</f>
        <v>7948669</v>
      </c>
      <c r="D27" s="469">
        <v>-25568</v>
      </c>
      <c r="E27" s="92">
        <v>-881652</v>
      </c>
      <c r="F27" s="449">
        <v>55474</v>
      </c>
      <c r="G27" s="131"/>
      <c r="H27" s="92"/>
      <c r="I27" s="92"/>
      <c r="J27" s="69">
        <f t="shared" si="4"/>
        <v>-851746</v>
      </c>
      <c r="K27" s="303">
        <f t="shared" si="3"/>
        <v>7096923</v>
      </c>
      <c r="L27" s="303">
        <v>6972880</v>
      </c>
      <c r="M27" s="303">
        <f t="shared" si="2"/>
        <v>7034901.5</v>
      </c>
      <c r="N27" s="72"/>
      <c r="O27" s="471">
        <v>7920492</v>
      </c>
    </row>
    <row r="28" spans="1:15" ht="15" customHeight="1" x14ac:dyDescent="0.2">
      <c r="A28" s="83" t="s">
        <v>33</v>
      </c>
      <c r="B28" s="3" t="s">
        <v>130</v>
      </c>
      <c r="C28" s="133">
        <f>211278+2575156</f>
        <v>2786434</v>
      </c>
      <c r="D28" s="469">
        <v>40473</v>
      </c>
      <c r="E28" s="92">
        <v>-302854</v>
      </c>
      <c r="F28" s="448"/>
      <c r="G28" s="131"/>
      <c r="H28" s="92"/>
      <c r="I28" s="92"/>
      <c r="J28" s="69">
        <f t="shared" si="4"/>
        <v>-262381</v>
      </c>
      <c r="K28" s="303">
        <f t="shared" si="3"/>
        <v>2524053</v>
      </c>
      <c r="L28" s="303">
        <v>2347992</v>
      </c>
      <c r="M28" s="303">
        <f t="shared" si="2"/>
        <v>2436022.5</v>
      </c>
      <c r="N28" s="72"/>
      <c r="O28" s="471">
        <v>2219612</v>
      </c>
    </row>
    <row r="29" spans="1:15" ht="15" customHeight="1" x14ac:dyDescent="0.2">
      <c r="A29" s="83" t="s">
        <v>35</v>
      </c>
      <c r="B29" s="3" t="s">
        <v>36</v>
      </c>
      <c r="C29" s="133">
        <f>33761+10182023</f>
        <v>10215784</v>
      </c>
      <c r="D29" s="469">
        <v>-1428</v>
      </c>
      <c r="E29" s="92">
        <v>-609423</v>
      </c>
      <c r="F29" s="449"/>
      <c r="G29" s="131"/>
      <c r="H29" s="92"/>
      <c r="I29" s="92"/>
      <c r="J29" s="69">
        <f t="shared" si="4"/>
        <v>-610851</v>
      </c>
      <c r="K29" s="303">
        <f t="shared" si="3"/>
        <v>9604933</v>
      </c>
      <c r="L29" s="303">
        <v>9492163</v>
      </c>
      <c r="M29" s="303">
        <f t="shared" si="2"/>
        <v>9548548</v>
      </c>
      <c r="N29" s="72"/>
      <c r="O29" s="471">
        <v>9478698</v>
      </c>
    </row>
    <row r="30" spans="1:15" ht="15" customHeight="1" x14ac:dyDescent="0.2">
      <c r="A30" s="83" t="s">
        <v>37</v>
      </c>
      <c r="B30" s="3" t="s">
        <v>131</v>
      </c>
      <c r="C30" s="133">
        <f>265700+6822543</f>
        <v>7088243</v>
      </c>
      <c r="D30" s="469">
        <v>10832</v>
      </c>
      <c r="E30" s="92">
        <v>-386278</v>
      </c>
      <c r="F30" s="450">
        <v>74054</v>
      </c>
      <c r="G30" s="131"/>
      <c r="H30" s="92"/>
      <c r="I30" s="92"/>
      <c r="J30" s="69">
        <f t="shared" si="4"/>
        <v>-301392</v>
      </c>
      <c r="K30" s="303">
        <f t="shared" si="3"/>
        <v>6786851</v>
      </c>
      <c r="L30" s="303">
        <v>6621696</v>
      </c>
      <c r="M30" s="303">
        <f t="shared" si="2"/>
        <v>6704273.5</v>
      </c>
      <c r="N30" s="72"/>
      <c r="O30" s="471">
        <v>6532845</v>
      </c>
    </row>
    <row r="31" spans="1:15" ht="15" customHeight="1" x14ac:dyDescent="0.2">
      <c r="A31" s="83" t="s">
        <v>39</v>
      </c>
      <c r="B31" s="3" t="s">
        <v>135</v>
      </c>
      <c r="C31" s="133">
        <f>68047+11642377</f>
        <v>11710424</v>
      </c>
      <c r="D31" s="469">
        <v>-21754</v>
      </c>
      <c r="E31" s="92">
        <v>-207591</v>
      </c>
      <c r="F31" s="166"/>
      <c r="G31" s="131"/>
      <c r="H31" s="92"/>
      <c r="I31" s="92"/>
      <c r="J31" s="69">
        <f t="shared" si="4"/>
        <v>-229345</v>
      </c>
      <c r="K31" s="303">
        <f t="shared" si="3"/>
        <v>11481079</v>
      </c>
      <c r="L31" s="303">
        <v>11434419</v>
      </c>
      <c r="M31" s="303">
        <f t="shared" si="2"/>
        <v>11457749</v>
      </c>
      <c r="N31" s="72"/>
      <c r="O31" s="471">
        <v>10920823</v>
      </c>
    </row>
    <row r="32" spans="1:15" ht="15" customHeight="1" x14ac:dyDescent="0.2">
      <c r="A32" s="83" t="s">
        <v>46</v>
      </c>
      <c r="B32" s="3" t="s">
        <v>70</v>
      </c>
      <c r="C32" s="133">
        <f>49663+12037244</f>
        <v>12086907</v>
      </c>
      <c r="D32" s="469">
        <v>20529</v>
      </c>
      <c r="E32" s="92">
        <v>1135528</v>
      </c>
      <c r="F32" s="450"/>
      <c r="G32" s="131"/>
      <c r="H32" s="131"/>
      <c r="I32" s="92"/>
      <c r="J32" s="69">
        <f t="shared" si="4"/>
        <v>1156057</v>
      </c>
      <c r="K32" s="303">
        <f t="shared" si="3"/>
        <v>13242964</v>
      </c>
      <c r="L32" s="303">
        <v>12982370</v>
      </c>
      <c r="M32" s="303">
        <f t="shared" si="2"/>
        <v>13112667</v>
      </c>
      <c r="N32" s="72"/>
      <c r="O32" s="471">
        <v>10305980</v>
      </c>
    </row>
    <row r="33" spans="1:15" ht="15" customHeight="1" x14ac:dyDescent="0.2">
      <c r="A33" s="83" t="s">
        <v>41</v>
      </c>
      <c r="B33" s="3" t="s">
        <v>117</v>
      </c>
      <c r="C33" s="133">
        <f>34256+9026375</f>
        <v>9060631</v>
      </c>
      <c r="D33" s="469">
        <v>0</v>
      </c>
      <c r="E33" s="92">
        <v>-819214</v>
      </c>
      <c r="F33" s="449">
        <v>68644</v>
      </c>
      <c r="G33" s="131"/>
      <c r="H33" s="92"/>
      <c r="I33" s="92"/>
      <c r="J33" s="69">
        <f t="shared" si="4"/>
        <v>-750570</v>
      </c>
      <c r="K33" s="303">
        <f t="shared" si="3"/>
        <v>8310061</v>
      </c>
      <c r="L33" s="303">
        <v>7865734</v>
      </c>
      <c r="M33" s="303">
        <f t="shared" si="2"/>
        <v>8087897.5</v>
      </c>
      <c r="N33" s="72"/>
      <c r="O33" s="471">
        <v>8209425</v>
      </c>
    </row>
    <row r="34" spans="1:15" ht="15" customHeight="1" x14ac:dyDescent="0.2">
      <c r="A34" s="83" t="s">
        <v>42</v>
      </c>
      <c r="B34" s="3" t="s">
        <v>69</v>
      </c>
      <c r="C34" s="133">
        <f>1479745+3234422+3856122+1391580</f>
        <v>9961869</v>
      </c>
      <c r="D34" s="469">
        <v>-9156</v>
      </c>
      <c r="E34" s="92">
        <v>-339912</v>
      </c>
      <c r="F34" s="450"/>
      <c r="G34" s="190">
        <v>285151</v>
      </c>
      <c r="H34" s="190">
        <v>-370821</v>
      </c>
      <c r="I34" s="190">
        <v>3255</v>
      </c>
      <c r="J34" s="69">
        <f t="shared" si="4"/>
        <v>-431483</v>
      </c>
      <c r="K34" s="303">
        <f>+C34+J34</f>
        <v>9530386</v>
      </c>
      <c r="L34" s="303">
        <v>9364310</v>
      </c>
      <c r="M34" s="303">
        <f t="shared" si="2"/>
        <v>9447348</v>
      </c>
      <c r="N34" s="72"/>
      <c r="O34" s="471">
        <v>9083651</v>
      </c>
    </row>
    <row r="35" spans="1:15" ht="15" customHeight="1" x14ac:dyDescent="0.2">
      <c r="A35" s="83" t="s">
        <v>43</v>
      </c>
      <c r="B35" s="3" t="s">
        <v>44</v>
      </c>
      <c r="C35" s="133">
        <f>616099+15343304+14118400+4542031+266615</f>
        <v>34886449</v>
      </c>
      <c r="D35" s="469">
        <v>5031</v>
      </c>
      <c r="E35" s="92">
        <v>-2076776</v>
      </c>
      <c r="F35" s="448"/>
      <c r="G35" s="190">
        <v>1303176</v>
      </c>
      <c r="H35" s="190">
        <v>-9258</v>
      </c>
      <c r="I35" s="190">
        <v>92198</v>
      </c>
      <c r="J35" s="69">
        <f t="shared" si="4"/>
        <v>-685629</v>
      </c>
      <c r="K35" s="303">
        <f t="shared" si="3"/>
        <v>34200820</v>
      </c>
      <c r="L35" s="303">
        <v>35291645</v>
      </c>
      <c r="M35" s="303">
        <f t="shared" si="2"/>
        <v>34746232.5</v>
      </c>
      <c r="N35" s="72"/>
      <c r="O35" s="471">
        <v>36588577</v>
      </c>
    </row>
    <row r="36" spans="1:15" ht="15" customHeight="1" x14ac:dyDescent="0.2">
      <c r="A36" s="83" t="s">
        <v>45</v>
      </c>
      <c r="B36" s="3" t="s">
        <v>136</v>
      </c>
      <c r="C36" s="133">
        <f>45995+9524886</f>
        <v>9570881</v>
      </c>
      <c r="D36" s="469">
        <v>-13478</v>
      </c>
      <c r="E36" s="92">
        <v>520431</v>
      </c>
      <c r="F36" s="448"/>
      <c r="G36" s="131"/>
      <c r="H36" s="92"/>
      <c r="I36" s="92"/>
      <c r="J36" s="69">
        <f t="shared" si="4"/>
        <v>506953</v>
      </c>
      <c r="K36" s="303">
        <f t="shared" si="3"/>
        <v>10077834</v>
      </c>
      <c r="L36" s="303">
        <v>9637589</v>
      </c>
      <c r="M36" s="303">
        <f t="shared" si="2"/>
        <v>9857711.5</v>
      </c>
      <c r="N36" s="72"/>
      <c r="O36" s="471">
        <v>8529724</v>
      </c>
    </row>
    <row r="37" spans="1:15" ht="15" customHeight="1" x14ac:dyDescent="0.2">
      <c r="A37" s="83" t="s">
        <v>47</v>
      </c>
      <c r="B37" s="3" t="s">
        <v>48</v>
      </c>
      <c r="C37" s="133">
        <f>8938450+12243734+1600529+288248</f>
        <v>23070961</v>
      </c>
      <c r="D37" s="469"/>
      <c r="E37" s="92">
        <v>344140</v>
      </c>
      <c r="F37" s="448"/>
      <c r="G37" s="190">
        <v>691905</v>
      </c>
      <c r="H37" s="190">
        <v>-202801</v>
      </c>
      <c r="I37" s="190">
        <f>-25425-360</f>
        <v>-25785</v>
      </c>
      <c r="J37" s="69">
        <f t="shared" si="4"/>
        <v>807459</v>
      </c>
      <c r="K37" s="303">
        <f t="shared" si="3"/>
        <v>23878420</v>
      </c>
      <c r="L37" s="303">
        <v>24036174</v>
      </c>
      <c r="M37" s="303">
        <f t="shared" si="2"/>
        <v>23957297</v>
      </c>
      <c r="N37" s="72"/>
      <c r="O37" s="471">
        <v>23357141</v>
      </c>
    </row>
    <row r="39" spans="1:15" ht="15" customHeight="1" x14ac:dyDescent="0.2">
      <c r="B39" s="64" t="s">
        <v>49</v>
      </c>
      <c r="C39" s="55">
        <f t="shared" ref="C39:O39" si="5">SUM(C8:C38)</f>
        <v>398674853</v>
      </c>
      <c r="D39" s="55">
        <f t="shared" si="5"/>
        <v>-39628</v>
      </c>
      <c r="E39" s="55">
        <f t="shared" si="5"/>
        <v>-2879980</v>
      </c>
      <c r="F39" s="55">
        <f t="shared" si="5"/>
        <v>282641</v>
      </c>
      <c r="G39" s="55">
        <f t="shared" si="5"/>
        <v>4243892</v>
      </c>
      <c r="H39" s="55">
        <f t="shared" si="5"/>
        <v>-301314</v>
      </c>
      <c r="I39" s="55">
        <f t="shared" si="5"/>
        <v>-190382</v>
      </c>
      <c r="J39" s="72">
        <f t="shared" si="5"/>
        <v>1115229</v>
      </c>
      <c r="K39" s="52">
        <f t="shared" si="5"/>
        <v>399790082</v>
      </c>
      <c r="L39" s="52">
        <f t="shared" si="5"/>
        <v>396812677</v>
      </c>
      <c r="M39" s="52">
        <f t="shared" si="5"/>
        <v>398301379.5</v>
      </c>
      <c r="O39" s="55">
        <f t="shared" si="5"/>
        <v>378938576</v>
      </c>
    </row>
    <row r="40" spans="1:15" ht="12" customHeight="1" x14ac:dyDescent="0.2">
      <c r="C40" s="55"/>
      <c r="K40" s="52"/>
      <c r="L40" s="52"/>
      <c r="M40" s="52"/>
    </row>
    <row r="41" spans="1:15" ht="12" customHeight="1" x14ac:dyDescent="0.2">
      <c r="A41" s="16" t="s">
        <v>329</v>
      </c>
    </row>
    <row r="42" spans="1:15" ht="12" customHeight="1" x14ac:dyDescent="0.2">
      <c r="A42" s="85" t="str">
        <f>'FY2015 Detail'!B40</f>
        <v>s:\finance\bargain\FY21 allocation\Summary of FY2021 Institutional Allocation Draft</v>
      </c>
      <c r="E42" s="191"/>
      <c r="F42" s="191"/>
      <c r="G42" s="191"/>
      <c r="H42" s="191"/>
    </row>
    <row r="43" spans="1:15" ht="12" customHeight="1" x14ac:dyDescent="0.2">
      <c r="A43" s="85"/>
      <c r="E43" s="191"/>
      <c r="F43" s="191"/>
      <c r="G43" s="191"/>
      <c r="H43" s="191"/>
    </row>
    <row r="44" spans="1:15" ht="15" customHeight="1" x14ac:dyDescent="0.2">
      <c r="C44" s="52"/>
      <c r="E44" s="52"/>
      <c r="H44" s="192"/>
      <c r="K44" s="52"/>
      <c r="L44" s="52"/>
      <c r="M44" s="303"/>
    </row>
    <row r="47" spans="1:15" ht="15" customHeight="1" x14ac:dyDescent="0.2">
      <c r="E47" s="193"/>
      <c r="F47" s="193"/>
      <c r="G47" s="193"/>
    </row>
    <row r="49" spans="8:8" ht="15" customHeight="1" x14ac:dyDescent="0.2">
      <c r="H49" s="193"/>
    </row>
  </sheetData>
  <phoneticPr fontId="11" type="noConversion"/>
  <pageMargins left="0.31" right="0.13" top="0.56000000000000005" bottom="0.24" header="0.5" footer="0.21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39997558519241921"/>
    <pageSetUpPr fitToPage="1"/>
  </sheetPr>
  <dimension ref="A1:I44"/>
  <sheetViews>
    <sheetView zoomScale="80" workbookViewId="0">
      <selection activeCell="I3" sqref="I3"/>
    </sheetView>
  </sheetViews>
  <sheetFormatPr defaultRowHeight="15" customHeight="1" x14ac:dyDescent="0.2"/>
  <cols>
    <col min="1" max="1" width="6.28515625" style="54" customWidth="1"/>
    <col min="2" max="2" width="32.28515625" style="54" customWidth="1"/>
    <col min="3" max="3" width="22.85546875" style="54" customWidth="1"/>
    <col min="4" max="4" width="17.42578125" style="54" customWidth="1"/>
    <col min="5" max="5" width="23.85546875" style="54" customWidth="1"/>
    <col min="6" max="6" width="10.28515625" style="52" customWidth="1"/>
    <col min="7" max="7" width="24.7109375" style="104" customWidth="1"/>
    <col min="8" max="16384" width="9.140625" style="54"/>
  </cols>
  <sheetData>
    <row r="1" spans="1:9" ht="15" customHeight="1" x14ac:dyDescent="0.25">
      <c r="A1" s="106" t="s">
        <v>72</v>
      </c>
      <c r="G1" s="459" t="s">
        <v>281</v>
      </c>
    </row>
    <row r="2" spans="1:9" ht="15" customHeight="1" x14ac:dyDescent="0.2">
      <c r="A2" s="87" t="s">
        <v>87</v>
      </c>
    </row>
    <row r="3" spans="1:9" ht="15" customHeight="1" x14ac:dyDescent="0.2">
      <c r="A3" s="87" t="s">
        <v>311</v>
      </c>
      <c r="I3" s="87"/>
    </row>
    <row r="4" spans="1:9" ht="15" customHeight="1" x14ac:dyDescent="0.2">
      <c r="A4" s="87" t="s">
        <v>176</v>
      </c>
      <c r="E4" s="103" t="s">
        <v>116</v>
      </c>
      <c r="G4" s="140" t="s">
        <v>88</v>
      </c>
    </row>
    <row r="5" spans="1:9" s="103" customFormat="1" ht="15" customHeight="1" x14ac:dyDescent="0.2">
      <c r="C5" s="103" t="s">
        <v>79</v>
      </c>
      <c r="D5" s="103" t="s">
        <v>74</v>
      </c>
      <c r="E5" s="103" t="s">
        <v>75</v>
      </c>
      <c r="F5" s="141" t="s">
        <v>76</v>
      </c>
      <c r="G5" s="140" t="s">
        <v>77</v>
      </c>
    </row>
    <row r="6" spans="1:9" ht="42" customHeight="1" x14ac:dyDescent="0.2">
      <c r="A6" s="142" t="s">
        <v>0</v>
      </c>
      <c r="B6" s="142" t="s">
        <v>1</v>
      </c>
      <c r="C6" s="143" t="s">
        <v>312</v>
      </c>
      <c r="D6" s="144" t="s">
        <v>119</v>
      </c>
      <c r="E6" s="143" t="s">
        <v>313</v>
      </c>
      <c r="F6" s="142" t="s">
        <v>310</v>
      </c>
      <c r="G6" s="145" t="s">
        <v>89</v>
      </c>
    </row>
    <row r="7" spans="1:9" ht="15" customHeight="1" x14ac:dyDescent="0.2">
      <c r="A7" s="146"/>
      <c r="B7" s="146"/>
      <c r="C7" s="147"/>
      <c r="D7" s="148"/>
      <c r="E7" s="148"/>
      <c r="F7" s="149"/>
    </row>
    <row r="8" spans="1:9" ht="15" customHeight="1" x14ac:dyDescent="0.2">
      <c r="A8" s="10" t="s">
        <v>2</v>
      </c>
      <c r="B8" s="3" t="s">
        <v>128</v>
      </c>
      <c r="C8" s="150">
        <v>2215985.5</v>
      </c>
      <c r="D8" s="151">
        <f>'Revenue Offset'!G8</f>
        <v>0.44402401863866087</v>
      </c>
      <c r="E8" s="152">
        <f t="shared" ref="E8:E13" si="0">C8*(1-D8)</f>
        <v>1232034.713044998</v>
      </c>
      <c r="F8" s="53">
        <f>Summary!D6</f>
        <v>1783</v>
      </c>
      <c r="G8" s="92">
        <f>E8/F8</f>
        <v>690.98974371564668</v>
      </c>
      <c r="I8" s="55"/>
    </row>
    <row r="9" spans="1:9" ht="15" customHeight="1" x14ac:dyDescent="0.2">
      <c r="A9" s="10" t="s">
        <v>4</v>
      </c>
      <c r="B9" s="3" t="s">
        <v>124</v>
      </c>
      <c r="C9" s="150">
        <v>8657880.7899999991</v>
      </c>
      <c r="D9" s="151">
        <f>'Revenue Offset'!G9</f>
        <v>0.52294831349281878</v>
      </c>
      <c r="E9" s="152">
        <f>C9*(1-D9)</f>
        <v>4130256.632447626</v>
      </c>
      <c r="F9" s="53">
        <f>Summary!D7</f>
        <v>6592</v>
      </c>
      <c r="G9" s="92">
        <f t="shared" ref="G9:G37" si="1">E9/F9</f>
        <v>626.55592118440927</v>
      </c>
      <c r="I9" s="55"/>
    </row>
    <row r="10" spans="1:9" ht="15" customHeight="1" x14ac:dyDescent="0.2">
      <c r="A10" s="10" t="s">
        <v>5</v>
      </c>
      <c r="B10" s="3" t="s">
        <v>113</v>
      </c>
      <c r="C10" s="173">
        <v>7818806.0999999996</v>
      </c>
      <c r="D10" s="151">
        <f>'Revenue Offset'!G10</f>
        <v>0.61433220072252825</v>
      </c>
      <c r="E10" s="152">
        <f t="shared" si="0"/>
        <v>3015461.7415642715</v>
      </c>
      <c r="F10" s="53">
        <f>Summary!D8</f>
        <v>4802</v>
      </c>
      <c r="G10" s="92">
        <f t="shared" si="1"/>
        <v>627.95954634824477</v>
      </c>
      <c r="H10" s="55"/>
      <c r="I10" s="55"/>
    </row>
    <row r="11" spans="1:9" ht="15" customHeight="1" x14ac:dyDescent="0.2">
      <c r="A11" s="10" t="s">
        <v>6</v>
      </c>
      <c r="B11" s="3" t="s">
        <v>7</v>
      </c>
      <c r="C11" s="173">
        <v>3668680.28</v>
      </c>
      <c r="D11" s="151">
        <f>'Revenue Offset'!G11</f>
        <v>0.44595293826179216</v>
      </c>
      <c r="E11" s="152">
        <f t="shared" si="0"/>
        <v>2032621.5295909054</v>
      </c>
      <c r="F11" s="53">
        <f>Summary!D9</f>
        <v>2633</v>
      </c>
      <c r="G11" s="92">
        <f t="shared" si="1"/>
        <v>771.97931241583956</v>
      </c>
      <c r="H11" s="55"/>
      <c r="I11" s="55"/>
    </row>
    <row r="12" spans="1:9" ht="15" customHeight="1" x14ac:dyDescent="0.2">
      <c r="A12" s="10" t="s">
        <v>8</v>
      </c>
      <c r="B12" s="3" t="s">
        <v>9</v>
      </c>
      <c r="C12" s="150">
        <v>6304024.2999999998</v>
      </c>
      <c r="D12" s="151">
        <f>'Revenue Offset'!G12</f>
        <v>0.52285817428189341</v>
      </c>
      <c r="E12" s="152">
        <f t="shared" si="0"/>
        <v>3007913.6638733088</v>
      </c>
      <c r="F12" s="53">
        <f>Summary!D10</f>
        <v>5984</v>
      </c>
      <c r="G12" s="92">
        <f t="shared" si="1"/>
        <v>502.65936896278555</v>
      </c>
      <c r="H12" s="55"/>
      <c r="I12" s="55"/>
    </row>
    <row r="13" spans="1:9" ht="15" customHeight="1" x14ac:dyDescent="0.2">
      <c r="A13" s="10" t="s">
        <v>10</v>
      </c>
      <c r="B13" s="3" t="s">
        <v>146</v>
      </c>
      <c r="C13" s="150">
        <v>5834585.5199999996</v>
      </c>
      <c r="D13" s="151">
        <f>'Revenue Offset'!G13</f>
        <v>0.49115993716738748</v>
      </c>
      <c r="E13" s="152">
        <f t="shared" si="0"/>
        <v>2968870.8625990511</v>
      </c>
      <c r="F13" s="53">
        <f>Summary!D11</f>
        <v>4744</v>
      </c>
      <c r="G13" s="92">
        <f t="shared" si="1"/>
        <v>625.8159491144711</v>
      </c>
      <c r="H13" s="55"/>
      <c r="I13" s="55"/>
    </row>
    <row r="14" spans="1:9" ht="15" customHeight="1" x14ac:dyDescent="0.2">
      <c r="A14" s="10" t="s">
        <v>12</v>
      </c>
      <c r="B14" s="3" t="s">
        <v>13</v>
      </c>
      <c r="C14" s="150">
        <v>1491043.22</v>
      </c>
      <c r="D14" s="151">
        <f>'Revenue Offset'!G14</f>
        <v>0.36664620415479249</v>
      </c>
      <c r="E14" s="152">
        <f t="shared" ref="E14:E37" si="2">C14*(1-D14)</f>
        <v>944357.88315626094</v>
      </c>
      <c r="F14" s="53">
        <f>Summary!D12</f>
        <v>989</v>
      </c>
      <c r="G14" s="92">
        <f t="shared" si="1"/>
        <v>954.86135809530936</v>
      </c>
      <c r="H14" s="55"/>
      <c r="I14" s="55"/>
    </row>
    <row r="15" spans="1:9" ht="15" customHeight="1" x14ac:dyDescent="0.2">
      <c r="A15" s="10" t="s">
        <v>14</v>
      </c>
      <c r="B15" s="3" t="s">
        <v>139</v>
      </c>
      <c r="C15" s="150">
        <v>5022573.92</v>
      </c>
      <c r="D15" s="151">
        <f>'Revenue Offset'!G15</f>
        <v>0.44116155475212726</v>
      </c>
      <c r="E15" s="152">
        <f t="shared" si="2"/>
        <v>2806807.4005953134</v>
      </c>
      <c r="F15" s="53">
        <f>Summary!D13</f>
        <v>3214</v>
      </c>
      <c r="G15" s="92">
        <f t="shared" si="1"/>
        <v>873.30659632710433</v>
      </c>
      <c r="H15" s="55"/>
      <c r="I15" s="55"/>
    </row>
    <row r="16" spans="1:9" ht="15" customHeight="1" x14ac:dyDescent="0.2">
      <c r="A16" s="10" t="s">
        <v>16</v>
      </c>
      <c r="B16" s="3" t="s">
        <v>17</v>
      </c>
      <c r="C16" s="150">
        <v>3362341.44</v>
      </c>
      <c r="D16" s="151">
        <f>'Revenue Offset'!G16</f>
        <v>0.48449966456626248</v>
      </c>
      <c r="E16" s="152">
        <f t="shared" si="2"/>
        <v>1733288.140162756</v>
      </c>
      <c r="F16" s="53">
        <f>Summary!D14</f>
        <v>3122</v>
      </c>
      <c r="G16" s="92">
        <f t="shared" si="1"/>
        <v>555.18518262740417</v>
      </c>
      <c r="H16" s="55"/>
      <c r="I16" s="55"/>
    </row>
    <row r="17" spans="1:9" ht="15" customHeight="1" x14ac:dyDescent="0.2">
      <c r="A17" s="10" t="s">
        <v>18</v>
      </c>
      <c r="B17" s="3" t="s">
        <v>140</v>
      </c>
      <c r="C17" s="150">
        <v>21214042.719999999</v>
      </c>
      <c r="D17" s="151">
        <f>'Revenue Offset'!G17</f>
        <v>0.61116821351728845</v>
      </c>
      <c r="E17" s="152">
        <f t="shared" si="2"/>
        <v>8248694.1293381611</v>
      </c>
      <c r="F17" s="53">
        <f>Summary!D15</f>
        <v>5937</v>
      </c>
      <c r="G17" s="92">
        <f t="shared" si="1"/>
        <v>1389.3707477409737</v>
      </c>
      <c r="H17" s="55"/>
      <c r="I17" s="55"/>
    </row>
    <row r="18" spans="1:9" ht="15" customHeight="1" x14ac:dyDescent="0.2">
      <c r="A18" s="10" t="s">
        <v>19</v>
      </c>
      <c r="B18" s="3" t="s">
        <v>129</v>
      </c>
      <c r="C18" s="173">
        <v>6701483.75</v>
      </c>
      <c r="D18" s="151">
        <f>'Revenue Offset'!G18</f>
        <v>0.48670802933762197</v>
      </c>
      <c r="E18" s="152">
        <f t="shared" si="2"/>
        <v>3439817.8003994026</v>
      </c>
      <c r="F18" s="53">
        <f>Summary!D16</f>
        <v>4620</v>
      </c>
      <c r="G18" s="92">
        <f t="shared" si="1"/>
        <v>744.54930744575813</v>
      </c>
      <c r="H18" s="55"/>
      <c r="I18" s="55"/>
    </row>
    <row r="19" spans="1:9" ht="15" customHeight="1" x14ac:dyDescent="0.2">
      <c r="A19" s="10" t="s">
        <v>21</v>
      </c>
      <c r="B19" s="121" t="s">
        <v>177</v>
      </c>
      <c r="C19" s="150">
        <v>1690398.29</v>
      </c>
      <c r="D19" s="151">
        <f>'Revenue Offset'!G19</f>
        <v>0.40223203366520849</v>
      </c>
      <c r="E19" s="152">
        <f t="shared" si="2"/>
        <v>1010465.9481091091</v>
      </c>
      <c r="F19" s="53">
        <f>Summary!D17</f>
        <v>1145</v>
      </c>
      <c r="G19" s="92">
        <f t="shared" si="1"/>
        <v>882.50301144900357</v>
      </c>
      <c r="H19" s="55"/>
      <c r="I19" s="55"/>
    </row>
    <row r="20" spans="1:9" ht="15" customHeight="1" x14ac:dyDescent="0.2">
      <c r="A20" s="37" t="s">
        <v>109</v>
      </c>
      <c r="B20" s="3" t="s">
        <v>141</v>
      </c>
      <c r="C20" s="150">
        <v>4699957</v>
      </c>
      <c r="D20" s="151">
        <f>'Revenue Offset'!G20</f>
        <v>0.48301278402964265</v>
      </c>
      <c r="E20" s="152">
        <f t="shared" si="2"/>
        <v>2429817.6846103929</v>
      </c>
      <c r="F20" s="53">
        <f>Summary!D18</f>
        <v>3915</v>
      </c>
      <c r="G20" s="92">
        <f t="shared" si="1"/>
        <v>620.64308674594963</v>
      </c>
      <c r="H20" s="55"/>
      <c r="I20" s="55"/>
    </row>
    <row r="21" spans="1:9" ht="15" customHeight="1" x14ac:dyDescent="0.2">
      <c r="A21" s="10" t="s">
        <v>26</v>
      </c>
      <c r="B21" s="3" t="s">
        <v>62</v>
      </c>
      <c r="C21" s="150">
        <v>12466151.029999999</v>
      </c>
      <c r="D21" s="151">
        <f>'Revenue Offset'!G21</f>
        <v>0.59562144533473793</v>
      </c>
      <c r="E21" s="152">
        <f t="shared" si="2"/>
        <v>5041044.1357502677</v>
      </c>
      <c r="F21" s="53">
        <f>Summary!D19</f>
        <v>5258</v>
      </c>
      <c r="G21" s="92">
        <f t="shared" si="1"/>
        <v>958.7379489825538</v>
      </c>
      <c r="H21" s="55"/>
      <c r="I21" s="55"/>
    </row>
    <row r="22" spans="1:9" ht="15" customHeight="1" x14ac:dyDescent="0.2">
      <c r="A22" s="10" t="s">
        <v>22</v>
      </c>
      <c r="B22" s="3" t="s">
        <v>23</v>
      </c>
      <c r="C22" s="150">
        <v>29842348.199999999</v>
      </c>
      <c r="D22" s="151">
        <f>'Revenue Offset'!G22</f>
        <v>0.6573430933426625</v>
      </c>
      <c r="E22" s="152">
        <f t="shared" si="2"/>
        <v>10225686.721603164</v>
      </c>
      <c r="F22" s="53">
        <f>Summary!D20</f>
        <v>13256</v>
      </c>
      <c r="G22" s="92">
        <f t="shared" si="1"/>
        <v>771.40062776125262</v>
      </c>
      <c r="H22" s="55"/>
      <c r="I22" s="55"/>
    </row>
    <row r="23" spans="1:9" ht="15" customHeight="1" x14ac:dyDescent="0.2">
      <c r="A23" s="10" t="s">
        <v>24</v>
      </c>
      <c r="B23" s="3" t="s">
        <v>137</v>
      </c>
      <c r="C23" s="150">
        <v>2717175.14</v>
      </c>
      <c r="D23" s="151">
        <f>'Revenue Offset'!G23</f>
        <v>0.45377253973023318</v>
      </c>
      <c r="E23" s="152">
        <f t="shared" si="2"/>
        <v>1484195.6758303479</v>
      </c>
      <c r="F23" s="53">
        <f>Summary!D21</f>
        <v>1965</v>
      </c>
      <c r="G23" s="92">
        <f t="shared" si="1"/>
        <v>755.31586556251807</v>
      </c>
      <c r="H23" s="55"/>
      <c r="I23" s="55"/>
    </row>
    <row r="24" spans="1:9" ht="15" customHeight="1" x14ac:dyDescent="0.2">
      <c r="A24" s="10" t="s">
        <v>27</v>
      </c>
      <c r="B24" s="3" t="s">
        <v>132</v>
      </c>
      <c r="C24" s="150">
        <v>10993904.17</v>
      </c>
      <c r="D24" s="151">
        <f>'Revenue Offset'!G24</f>
        <v>0.57396444678620484</v>
      </c>
      <c r="E24" s="152">
        <f t="shared" si="2"/>
        <v>4683794.0450453991</v>
      </c>
      <c r="F24" s="53">
        <f>Summary!D22</f>
        <v>6809</v>
      </c>
      <c r="G24" s="92">
        <f t="shared" si="1"/>
        <v>687.88280878916123</v>
      </c>
      <c r="H24" s="55"/>
      <c r="I24" s="55"/>
    </row>
    <row r="25" spans="1:9" ht="15" customHeight="1" x14ac:dyDescent="0.2">
      <c r="A25" s="10" t="s">
        <v>29</v>
      </c>
      <c r="B25" s="3" t="s">
        <v>133</v>
      </c>
      <c r="C25" s="150">
        <v>6385875.4900000002</v>
      </c>
      <c r="D25" s="151">
        <f>'Revenue Offset'!G25</f>
        <v>0.5221964888221784</v>
      </c>
      <c r="E25" s="152">
        <f t="shared" si="2"/>
        <v>3051193.7310663923</v>
      </c>
      <c r="F25" s="53">
        <f>Summary!D23</f>
        <v>4041</v>
      </c>
      <c r="G25" s="92">
        <f t="shared" si="1"/>
        <v>755.05907722504139</v>
      </c>
      <c r="H25" s="55"/>
      <c r="I25" s="55"/>
    </row>
    <row r="26" spans="1:9" ht="15" customHeight="1" x14ac:dyDescent="0.2">
      <c r="A26" s="37" t="s">
        <v>118</v>
      </c>
      <c r="B26" s="3" t="s">
        <v>63</v>
      </c>
      <c r="C26" s="173">
        <v>3192772.35</v>
      </c>
      <c r="D26" s="151">
        <f>'Revenue Offset'!G26</f>
        <v>0.45103804534668668</v>
      </c>
      <c r="E26" s="152">
        <f t="shared" si="2"/>
        <v>1752710.5500190526</v>
      </c>
      <c r="F26" s="53">
        <f>Summary!D24</f>
        <v>3299</v>
      </c>
      <c r="G26" s="92">
        <f t="shared" si="1"/>
        <v>531.28540467385653</v>
      </c>
      <c r="H26" s="55"/>
      <c r="I26" s="55"/>
    </row>
    <row r="27" spans="1:9" ht="15" customHeight="1" x14ac:dyDescent="0.2">
      <c r="A27" s="10" t="s">
        <v>31</v>
      </c>
      <c r="B27" s="3" t="s">
        <v>134</v>
      </c>
      <c r="C27" s="150">
        <v>3176911.07</v>
      </c>
      <c r="D27" s="151">
        <f>'Revenue Offset'!G27</f>
        <v>0.4631827119673686</v>
      </c>
      <c r="E27" s="152">
        <f t="shared" si="2"/>
        <v>1705420.7849182452</v>
      </c>
      <c r="F27" s="53">
        <f>Summary!D25</f>
        <v>2123</v>
      </c>
      <c r="G27" s="92">
        <f t="shared" si="1"/>
        <v>803.30701126624831</v>
      </c>
      <c r="H27" s="55"/>
      <c r="I27" s="55"/>
    </row>
    <row r="28" spans="1:9" ht="15" customHeight="1" x14ac:dyDescent="0.2">
      <c r="A28" s="10" t="s">
        <v>33</v>
      </c>
      <c r="B28" s="3" t="s">
        <v>130</v>
      </c>
      <c r="C28" s="150">
        <v>849658.8</v>
      </c>
      <c r="D28" s="151">
        <f>'Revenue Offset'!G28</f>
        <v>0.39775666830134243</v>
      </c>
      <c r="E28" s="152">
        <f t="shared" si="2"/>
        <v>511701.34651908331</v>
      </c>
      <c r="F28" s="53">
        <f>Summary!D26</f>
        <v>820</v>
      </c>
      <c r="G28" s="92">
        <f t="shared" si="1"/>
        <v>624.02603234034552</v>
      </c>
      <c r="H28" s="55"/>
      <c r="I28" s="55"/>
    </row>
    <row r="29" spans="1:9" ht="15" customHeight="1" x14ac:dyDescent="0.2">
      <c r="A29" s="10" t="s">
        <v>35</v>
      </c>
      <c r="B29" s="3" t="s">
        <v>36</v>
      </c>
      <c r="C29" s="150">
        <v>3111138.69</v>
      </c>
      <c r="D29" s="151">
        <f>'Revenue Offset'!G29</f>
        <v>0.45814628002705043</v>
      </c>
      <c r="E29" s="152">
        <f>C29*(1-D29)</f>
        <v>1685782.0725282694</v>
      </c>
      <c r="F29" s="53">
        <f>Summary!D27</f>
        <v>2490</v>
      </c>
      <c r="G29" s="92">
        <f t="shared" si="1"/>
        <v>677.02091266195555</v>
      </c>
      <c r="H29" s="55"/>
      <c r="I29" s="55"/>
    </row>
    <row r="30" spans="1:9" ht="15" customHeight="1" x14ac:dyDescent="0.2">
      <c r="A30" s="10" t="s">
        <v>37</v>
      </c>
      <c r="B30" s="3" t="s">
        <v>131</v>
      </c>
      <c r="C30" s="150">
        <v>3171725.47</v>
      </c>
      <c r="D30" s="151">
        <f>'Revenue Offset'!G30</f>
        <v>0.48459172359339164</v>
      </c>
      <c r="E30" s="152">
        <f>C30*(1-D30)</f>
        <v>1634733.5577276398</v>
      </c>
      <c r="F30" s="53">
        <f>Summary!D28</f>
        <v>2066</v>
      </c>
      <c r="G30" s="92">
        <f t="shared" si="1"/>
        <v>791.25535223990312</v>
      </c>
      <c r="H30" s="55"/>
      <c r="I30" s="55"/>
    </row>
    <row r="31" spans="1:9" ht="15" customHeight="1" x14ac:dyDescent="0.2">
      <c r="A31" s="10" t="s">
        <v>39</v>
      </c>
      <c r="B31" s="3" t="s">
        <v>135</v>
      </c>
      <c r="C31" s="150">
        <v>6315687.3099999996</v>
      </c>
      <c r="D31" s="151">
        <f>'Revenue Offset'!G31</f>
        <v>0.52797293341370011</v>
      </c>
      <c r="E31" s="152">
        <f t="shared" si="2"/>
        <v>2981175.3544156193</v>
      </c>
      <c r="F31" s="53">
        <f>Summary!D29</f>
        <v>3498</v>
      </c>
      <c r="G31" s="92">
        <f t="shared" si="1"/>
        <v>852.25138776890208</v>
      </c>
      <c r="H31" s="55"/>
      <c r="I31" s="55"/>
    </row>
    <row r="32" spans="1:9" ht="15" customHeight="1" x14ac:dyDescent="0.2">
      <c r="A32" s="10" t="s">
        <v>46</v>
      </c>
      <c r="B32" s="3" t="s">
        <v>70</v>
      </c>
      <c r="C32" s="150">
        <v>5179893.37</v>
      </c>
      <c r="D32" s="151">
        <f>'Revenue Offset'!G32</f>
        <v>0.53432125696067156</v>
      </c>
      <c r="E32" s="152">
        <f t="shared" si="2"/>
        <v>2412166.2336193509</v>
      </c>
      <c r="F32" s="53">
        <f>Summary!D30</f>
        <v>4509</v>
      </c>
      <c r="G32" s="92">
        <f t="shared" si="1"/>
        <v>534.96700679071876</v>
      </c>
      <c r="H32" s="55"/>
      <c r="I32" s="55"/>
    </row>
    <row r="33" spans="1:9" ht="15" customHeight="1" x14ac:dyDescent="0.2">
      <c r="A33" s="10" t="s">
        <v>41</v>
      </c>
      <c r="B33" s="3" t="s">
        <v>117</v>
      </c>
      <c r="C33" s="150">
        <v>3904063.56</v>
      </c>
      <c r="D33" s="151">
        <f>'Revenue Offset'!G33</f>
        <v>0.4557607599729368</v>
      </c>
      <c r="E33" s="152">
        <f>C33*(1-D33)</f>
        <v>2124744.5849117511</v>
      </c>
      <c r="F33" s="53">
        <f>Summary!D31</f>
        <v>2138</v>
      </c>
      <c r="G33" s="92">
        <f>E33/F33</f>
        <v>993.80008648819046</v>
      </c>
      <c r="H33" s="55"/>
      <c r="I33" s="55"/>
    </row>
    <row r="34" spans="1:9" ht="15" customHeight="1" x14ac:dyDescent="0.2">
      <c r="A34" s="10" t="s">
        <v>42</v>
      </c>
      <c r="B34" s="3" t="s">
        <v>69</v>
      </c>
      <c r="C34" s="150">
        <v>5259491.79</v>
      </c>
      <c r="D34" s="151">
        <f>'Revenue Offset'!G34</f>
        <v>0.53242904110820199</v>
      </c>
      <c r="E34" s="152">
        <f t="shared" si="2"/>
        <v>2459185.6195338392</v>
      </c>
      <c r="F34" s="53">
        <f>Summary!D32</f>
        <v>3565</v>
      </c>
      <c r="G34" s="92">
        <f t="shared" si="1"/>
        <v>689.81363801790724</v>
      </c>
      <c r="H34" s="55"/>
      <c r="I34" s="55"/>
    </row>
    <row r="35" spans="1:9" ht="15" customHeight="1" x14ac:dyDescent="0.2">
      <c r="A35" s="10" t="s">
        <v>43</v>
      </c>
      <c r="B35" s="3" t="s">
        <v>44</v>
      </c>
      <c r="C35" s="150">
        <v>20107275.670000002</v>
      </c>
      <c r="D35" s="151">
        <f>'Revenue Offset'!G35</f>
        <v>0.58769945824984193</v>
      </c>
      <c r="E35" s="152">
        <f t="shared" si="2"/>
        <v>8290240.6518607736</v>
      </c>
      <c r="F35" s="53">
        <f>Summary!D33</f>
        <v>10428</v>
      </c>
      <c r="G35" s="92">
        <f t="shared" si="1"/>
        <v>794.99814459731238</v>
      </c>
      <c r="H35" s="55"/>
      <c r="I35" s="55"/>
    </row>
    <row r="36" spans="1:9" ht="15" customHeight="1" x14ac:dyDescent="0.2">
      <c r="A36" s="10" t="s">
        <v>45</v>
      </c>
      <c r="B36" s="3" t="s">
        <v>136</v>
      </c>
      <c r="C36" s="150">
        <v>3165360.39</v>
      </c>
      <c r="D36" s="151">
        <f>'Revenue Offset'!G36</f>
        <v>0.53132935359523303</v>
      </c>
      <c r="E36" s="152">
        <f t="shared" si="2"/>
        <v>1483511.5000853452</v>
      </c>
      <c r="F36" s="53">
        <f>Summary!D34</f>
        <v>3131</v>
      </c>
      <c r="G36" s="92">
        <f t="shared" si="1"/>
        <v>473.81395722942995</v>
      </c>
      <c r="H36" s="55"/>
      <c r="I36" s="55"/>
    </row>
    <row r="37" spans="1:9" ht="15" customHeight="1" x14ac:dyDescent="0.2">
      <c r="A37" s="10" t="s">
        <v>47</v>
      </c>
      <c r="B37" s="3" t="s">
        <v>48</v>
      </c>
      <c r="C37" s="150">
        <v>14639416.25</v>
      </c>
      <c r="D37" s="151">
        <f>'Revenue Offset'!G37</f>
        <v>0.615448443409224</v>
      </c>
      <c r="E37" s="152">
        <f t="shared" si="2"/>
        <v>5629610.3065178003</v>
      </c>
      <c r="F37" s="53">
        <f>Summary!D35</f>
        <v>7216</v>
      </c>
      <c r="G37" s="92">
        <f t="shared" si="1"/>
        <v>780.15663892985037</v>
      </c>
      <c r="H37" s="55"/>
      <c r="I37" s="55"/>
    </row>
    <row r="38" spans="1:9" ht="15" customHeight="1" x14ac:dyDescent="0.2">
      <c r="G38" s="55"/>
    </row>
    <row r="39" spans="1:9" ht="15" customHeight="1" x14ac:dyDescent="0.2">
      <c r="B39" s="54" t="s">
        <v>49</v>
      </c>
      <c r="C39" s="52">
        <f>SUM(C8:C38)</f>
        <v>213160651.57999998</v>
      </c>
      <c r="D39" s="153">
        <f>'Revenue Offset'!G39</f>
        <v>0.54817861885206953</v>
      </c>
      <c r="E39" s="52">
        <f>SUM(E8:E38)</f>
        <v>94157305.001443878</v>
      </c>
      <c r="F39" s="52">
        <f>SUM(F8:F38)</f>
        <v>126092</v>
      </c>
      <c r="G39" s="55">
        <f>+E39/F39</f>
        <v>746.73496337153722</v>
      </c>
    </row>
    <row r="40" spans="1:9" ht="12" customHeight="1" x14ac:dyDescent="0.2">
      <c r="C40" s="154"/>
    </row>
    <row r="41" spans="1:9" ht="15" customHeight="1" x14ac:dyDescent="0.2">
      <c r="A41" s="16" t="s">
        <v>329</v>
      </c>
      <c r="E41" s="155"/>
    </row>
    <row r="42" spans="1:9" ht="15" customHeight="1" x14ac:dyDescent="0.2">
      <c r="A42" s="129" t="str">
        <f>'FY2015 Detail'!B40</f>
        <v>s:\finance\bargain\FY21 allocation\Summary of FY2021 Institutional Allocation Draft</v>
      </c>
    </row>
    <row r="43" spans="1:9" ht="15" customHeight="1" x14ac:dyDescent="0.2">
      <c r="A43" s="129"/>
    </row>
    <row r="44" spans="1:9" ht="15" customHeight="1" x14ac:dyDescent="0.2">
      <c r="C44" s="55"/>
      <c r="D44" s="134"/>
      <c r="E44" s="55"/>
      <c r="F44" s="55"/>
    </row>
  </sheetData>
  <phoneticPr fontId="11" type="noConversion"/>
  <pageMargins left="0.75" right="0.4" top="0.64" bottom="0.28000000000000003" header="0.5" footer="0.24"/>
  <pageSetup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 tint="0.39997558519241921"/>
    <pageSetUpPr fitToPage="1"/>
  </sheetPr>
  <dimension ref="A1:S47"/>
  <sheetViews>
    <sheetView topLeftCell="C1" zoomScale="80" zoomScaleNormal="80" workbookViewId="0">
      <selection activeCell="M41" sqref="M41:N44"/>
    </sheetView>
  </sheetViews>
  <sheetFormatPr defaultRowHeight="12.75" x14ac:dyDescent="0.2"/>
  <cols>
    <col min="1" max="1" width="7.7109375" style="54" customWidth="1"/>
    <col min="2" max="2" width="30.7109375" style="157" customWidth="1"/>
    <col min="3" max="3" width="8.5703125" style="55" customWidth="1"/>
    <col min="4" max="4" width="12.7109375" style="55" customWidth="1"/>
    <col min="5" max="5" width="9.28515625" style="55" customWidth="1"/>
    <col min="6" max="6" width="12.7109375" style="55" bestFit="1" customWidth="1"/>
    <col min="7" max="7" width="11.42578125" style="55" customWidth="1"/>
    <col min="8" max="9" width="12" style="55" customWidth="1"/>
    <col min="10" max="10" width="16.140625" style="55" customWidth="1"/>
    <col min="11" max="11" width="12.28515625" style="55" customWidth="1"/>
    <col min="12" max="12" width="10.5703125" style="87" customWidth="1"/>
    <col min="13" max="13" width="14" style="158" customWidth="1"/>
    <col min="14" max="14" width="7.7109375" style="54" customWidth="1"/>
    <col min="15" max="15" width="30.7109375" style="157" customWidth="1"/>
    <col min="16" max="16" width="12.28515625" style="52" customWidth="1"/>
    <col min="17" max="18" width="16.42578125" style="87" customWidth="1"/>
    <col min="19" max="19" width="16.28515625" style="54" bestFit="1" customWidth="1"/>
    <col min="20" max="20" width="3.42578125" style="54" customWidth="1"/>
    <col min="21" max="16384" width="9.140625" style="54"/>
  </cols>
  <sheetData>
    <row r="1" spans="1:19" ht="15.75" x14ac:dyDescent="0.25">
      <c r="A1" s="156" t="s">
        <v>72</v>
      </c>
      <c r="M1" s="87"/>
      <c r="N1" s="156" t="s">
        <v>72</v>
      </c>
      <c r="R1" s="268"/>
      <c r="S1" s="87" t="s">
        <v>282</v>
      </c>
    </row>
    <row r="2" spans="1:19" x14ac:dyDescent="0.2">
      <c r="A2" s="108" t="s">
        <v>126</v>
      </c>
      <c r="N2" s="108" t="s">
        <v>126</v>
      </c>
      <c r="R2" s="171"/>
    </row>
    <row r="3" spans="1:19" x14ac:dyDescent="0.2">
      <c r="A3" s="87" t="s">
        <v>316</v>
      </c>
      <c r="G3" s="481"/>
      <c r="K3" s="87" t="s">
        <v>282</v>
      </c>
      <c r="N3" s="87" t="s">
        <v>316</v>
      </c>
      <c r="R3" s="268"/>
    </row>
    <row r="4" spans="1:19" s="159" customFormat="1" ht="13.5" x14ac:dyDescent="0.25">
      <c r="A4" s="269" t="s">
        <v>161</v>
      </c>
      <c r="B4" s="160"/>
      <c r="N4" s="269" t="s">
        <v>162</v>
      </c>
      <c r="O4" s="160"/>
    </row>
    <row r="5" spans="1:19" s="270" customFormat="1" ht="12.75" customHeight="1" x14ac:dyDescent="0.2">
      <c r="B5" s="271"/>
      <c r="C5" s="161"/>
      <c r="D5" s="161"/>
      <c r="E5" s="161"/>
      <c r="F5" s="90" t="s">
        <v>97</v>
      </c>
      <c r="G5" s="161"/>
      <c r="H5" s="161"/>
      <c r="I5" s="161"/>
      <c r="J5" s="90" t="s">
        <v>163</v>
      </c>
      <c r="K5" s="90" t="s">
        <v>164</v>
      </c>
      <c r="L5" s="91"/>
      <c r="M5" s="162" t="s">
        <v>165</v>
      </c>
      <c r="O5" s="271"/>
      <c r="P5" s="162" t="s">
        <v>98</v>
      </c>
      <c r="Q5" s="91" t="s">
        <v>166</v>
      </c>
      <c r="R5" s="91"/>
    </row>
    <row r="6" spans="1:19" s="103" customFormat="1" x14ac:dyDescent="0.2">
      <c r="B6" s="91"/>
      <c r="C6" s="90" t="s">
        <v>79</v>
      </c>
      <c r="D6" s="90" t="s">
        <v>74</v>
      </c>
      <c r="E6" s="90" t="s">
        <v>75</v>
      </c>
      <c r="F6" s="90" t="s">
        <v>76</v>
      </c>
      <c r="G6" s="90" t="s">
        <v>77</v>
      </c>
      <c r="H6" s="90" t="s">
        <v>78</v>
      </c>
      <c r="I6" s="90" t="s">
        <v>81</v>
      </c>
      <c r="J6" s="90" t="s">
        <v>82</v>
      </c>
      <c r="K6" s="91" t="s">
        <v>111</v>
      </c>
      <c r="L6" s="91" t="s">
        <v>123</v>
      </c>
      <c r="M6" s="91" t="s">
        <v>99</v>
      </c>
      <c r="O6" s="91"/>
      <c r="P6" s="91" t="s">
        <v>167</v>
      </c>
      <c r="Q6" s="91" t="s">
        <v>168</v>
      </c>
      <c r="R6" s="91" t="s">
        <v>169</v>
      </c>
    </row>
    <row r="7" spans="1:19" s="163" customFormat="1" ht="76.5" x14ac:dyDescent="0.2">
      <c r="A7" s="272" t="s">
        <v>0</v>
      </c>
      <c r="B7" s="273" t="s">
        <v>1</v>
      </c>
      <c r="C7" s="274" t="s">
        <v>310</v>
      </c>
      <c r="D7" s="275" t="s">
        <v>170</v>
      </c>
      <c r="E7" s="275" t="s">
        <v>100</v>
      </c>
      <c r="F7" s="275" t="s">
        <v>101</v>
      </c>
      <c r="G7" s="461" t="s">
        <v>328</v>
      </c>
      <c r="H7" s="276" t="s">
        <v>171</v>
      </c>
      <c r="I7" s="276" t="s">
        <v>172</v>
      </c>
      <c r="J7" s="276" t="s">
        <v>173</v>
      </c>
      <c r="K7" s="247" t="s">
        <v>174</v>
      </c>
      <c r="L7" s="277" t="s">
        <v>119</v>
      </c>
      <c r="M7" s="247" t="s">
        <v>102</v>
      </c>
      <c r="N7" s="272" t="s">
        <v>0</v>
      </c>
      <c r="O7" s="273" t="s">
        <v>1</v>
      </c>
      <c r="P7" s="278" t="s">
        <v>103</v>
      </c>
      <c r="Q7" s="247" t="s">
        <v>314</v>
      </c>
      <c r="R7" s="247" t="s">
        <v>291</v>
      </c>
      <c r="S7" s="272" t="s">
        <v>175</v>
      </c>
    </row>
    <row r="8" spans="1:19" s="165" customFormat="1" x14ac:dyDescent="0.2">
      <c r="A8" s="54"/>
      <c r="B8" s="279"/>
      <c r="C8" s="280"/>
      <c r="D8" s="281"/>
      <c r="E8" s="281"/>
      <c r="F8" s="281"/>
      <c r="G8" s="462"/>
      <c r="H8" s="282"/>
      <c r="I8" s="282"/>
      <c r="J8" s="282"/>
      <c r="K8" s="283"/>
      <c r="L8" s="164"/>
      <c r="M8" s="283"/>
      <c r="N8" s="54"/>
      <c r="O8" s="279"/>
      <c r="P8" s="284"/>
      <c r="Q8" s="283"/>
      <c r="R8" s="164"/>
    </row>
    <row r="9" spans="1:19" x14ac:dyDescent="0.2">
      <c r="A9" s="285" t="s">
        <v>2</v>
      </c>
      <c r="B9" s="251" t="s">
        <v>128</v>
      </c>
      <c r="C9" s="286">
        <f>Summary!D6</f>
        <v>1783</v>
      </c>
      <c r="D9" s="287">
        <v>1380665</v>
      </c>
      <c r="E9" s="287">
        <v>1853</v>
      </c>
      <c r="F9" s="287">
        <f>+C9*E9</f>
        <v>3303899</v>
      </c>
      <c r="G9" s="463">
        <v>3857</v>
      </c>
      <c r="H9" s="288">
        <v>1153171</v>
      </c>
      <c r="I9" s="288">
        <v>574</v>
      </c>
      <c r="J9" s="288">
        <f t="shared" ref="J9:J38" si="0">+G9*I9</f>
        <v>2213918</v>
      </c>
      <c r="K9" s="289">
        <f t="shared" ref="K9:K38" si="1">+H9+J9+D9+F9</f>
        <v>8051653</v>
      </c>
      <c r="L9" s="290">
        <f>'Revenue Offset'!G8</f>
        <v>0.44402401863866087</v>
      </c>
      <c r="M9" s="291">
        <f t="shared" ref="M9:M38" si="2">K9*(1-L9)</f>
        <v>4476525.6782559706</v>
      </c>
      <c r="N9" s="285" t="s">
        <v>2</v>
      </c>
      <c r="O9" s="251" t="s">
        <v>128</v>
      </c>
      <c r="P9" s="292"/>
      <c r="Q9" s="291">
        <f t="shared" ref="Q9:Q15" si="3">+M9+P9</f>
        <v>4476525.6782559706</v>
      </c>
      <c r="R9" s="291">
        <v>4492556.3754225122</v>
      </c>
      <c r="S9" s="293">
        <f t="shared" ref="S9:S38" si="4">AVERAGE(Q9:R9)</f>
        <v>4484541.0268392414</v>
      </c>
    </row>
    <row r="10" spans="1:19" x14ac:dyDescent="0.2">
      <c r="A10" s="285" t="s">
        <v>4</v>
      </c>
      <c r="B10" s="251" t="s">
        <v>124</v>
      </c>
      <c r="C10" s="286">
        <f>Summary!D7</f>
        <v>6592</v>
      </c>
      <c r="D10" s="287">
        <v>1380665</v>
      </c>
      <c r="E10" s="287">
        <v>1853</v>
      </c>
      <c r="F10" s="287">
        <f t="shared" ref="F10:F38" si="5">+C10*E10</f>
        <v>12214976</v>
      </c>
      <c r="G10" s="463">
        <f>11682+2644</f>
        <v>14326</v>
      </c>
      <c r="H10" s="288">
        <v>1153171</v>
      </c>
      <c r="I10" s="288">
        <v>574</v>
      </c>
      <c r="J10" s="288">
        <f t="shared" si="0"/>
        <v>8223124</v>
      </c>
      <c r="K10" s="289">
        <f>+H10+J10+D10+F10</f>
        <v>22971936</v>
      </c>
      <c r="L10" s="290">
        <f>'Revenue Offset'!G9</f>
        <v>0.52294831349281878</v>
      </c>
      <c r="M10" s="291">
        <f>K10*(1-L10)</f>
        <v>10958800.811135031</v>
      </c>
      <c r="N10" s="285" t="s">
        <v>4</v>
      </c>
      <c r="O10" s="251" t="s">
        <v>124</v>
      </c>
      <c r="P10" s="292">
        <f>200000*2</f>
        <v>400000</v>
      </c>
      <c r="Q10" s="291">
        <f t="shared" si="3"/>
        <v>11358800.811135031</v>
      </c>
      <c r="R10" s="291">
        <v>11675271.89963793</v>
      </c>
      <c r="S10" s="293">
        <f t="shared" si="4"/>
        <v>11517036.355386481</v>
      </c>
    </row>
    <row r="11" spans="1:19" ht="15" customHeight="1" x14ac:dyDescent="0.2">
      <c r="A11" s="285" t="s">
        <v>5</v>
      </c>
      <c r="B11" s="251" t="s">
        <v>113</v>
      </c>
      <c r="C11" s="286">
        <f>Summary!D8</f>
        <v>4802</v>
      </c>
      <c r="D11" s="287">
        <v>5033898</v>
      </c>
      <c r="E11" s="287">
        <v>1850</v>
      </c>
      <c r="F11" s="287">
        <f t="shared" si="5"/>
        <v>8883700</v>
      </c>
      <c r="G11" s="463">
        <f>6605+2012</f>
        <v>8617</v>
      </c>
      <c r="H11" s="288">
        <v>2644241</v>
      </c>
      <c r="I11" s="288">
        <v>1161</v>
      </c>
      <c r="J11" s="288">
        <f t="shared" si="0"/>
        <v>10004337</v>
      </c>
      <c r="K11" s="289">
        <f t="shared" si="1"/>
        <v>26566176</v>
      </c>
      <c r="L11" s="290">
        <f>'Revenue Offset'!G10</f>
        <v>0.61433220072252825</v>
      </c>
      <c r="M11" s="291">
        <f t="shared" si="2"/>
        <v>10245718.633137988</v>
      </c>
      <c r="N11" s="285" t="s">
        <v>5</v>
      </c>
      <c r="O11" s="251" t="s">
        <v>113</v>
      </c>
      <c r="P11" s="292">
        <v>200000</v>
      </c>
      <c r="Q11" s="291">
        <f t="shared" si="3"/>
        <v>10445718.633137988</v>
      </c>
      <c r="R11" s="291">
        <v>10499466.610430429</v>
      </c>
      <c r="S11" s="293">
        <f t="shared" si="4"/>
        <v>10472592.621784208</v>
      </c>
    </row>
    <row r="12" spans="1:19" x14ac:dyDescent="0.2">
      <c r="A12" s="285" t="s">
        <v>6</v>
      </c>
      <c r="B12" s="251" t="s">
        <v>7</v>
      </c>
      <c r="C12" s="286">
        <f>Summary!D9</f>
        <v>2633</v>
      </c>
      <c r="D12" s="287">
        <v>1380665</v>
      </c>
      <c r="E12" s="287">
        <v>1853</v>
      </c>
      <c r="F12" s="287">
        <f t="shared" si="5"/>
        <v>4878949</v>
      </c>
      <c r="G12" s="463">
        <v>5045</v>
      </c>
      <c r="H12" s="288">
        <v>1153171</v>
      </c>
      <c r="I12" s="288">
        <v>574</v>
      </c>
      <c r="J12" s="288">
        <f t="shared" si="0"/>
        <v>2895830</v>
      </c>
      <c r="K12" s="289">
        <f t="shared" si="1"/>
        <v>10308615</v>
      </c>
      <c r="L12" s="290">
        <f>'Revenue Offset'!G11</f>
        <v>0.44595293826179216</v>
      </c>
      <c r="M12" s="291">
        <f t="shared" si="2"/>
        <v>5711457.851340415</v>
      </c>
      <c r="N12" s="285" t="s">
        <v>6</v>
      </c>
      <c r="O12" s="251" t="s">
        <v>7</v>
      </c>
      <c r="P12" s="292">
        <v>200000</v>
      </c>
      <c r="Q12" s="291">
        <f t="shared" si="3"/>
        <v>5911457.851340415</v>
      </c>
      <c r="R12" s="291">
        <v>5920549.9035352301</v>
      </c>
      <c r="S12" s="293">
        <f t="shared" si="4"/>
        <v>5916003.8774378225</v>
      </c>
    </row>
    <row r="13" spans="1:19" x14ac:dyDescent="0.2">
      <c r="A13" s="285" t="s">
        <v>8</v>
      </c>
      <c r="B13" s="251" t="s">
        <v>9</v>
      </c>
      <c r="C13" s="286">
        <f>Summary!D10</f>
        <v>5984</v>
      </c>
      <c r="D13" s="287">
        <v>1380665</v>
      </c>
      <c r="E13" s="287">
        <v>1853</v>
      </c>
      <c r="F13" s="287">
        <f t="shared" si="5"/>
        <v>11088352</v>
      </c>
      <c r="G13" s="463">
        <v>13504</v>
      </c>
      <c r="H13" s="288">
        <v>1153171</v>
      </c>
      <c r="I13" s="288">
        <v>574</v>
      </c>
      <c r="J13" s="288">
        <f t="shared" si="0"/>
        <v>7751296</v>
      </c>
      <c r="K13" s="289">
        <f t="shared" si="1"/>
        <v>21373484</v>
      </c>
      <c r="L13" s="290">
        <f>'Revenue Offset'!G12</f>
        <v>0.52285817428189341</v>
      </c>
      <c r="M13" s="291">
        <f t="shared" si="2"/>
        <v>10198183.177716739</v>
      </c>
      <c r="N13" s="285" t="s">
        <v>8</v>
      </c>
      <c r="O13" s="251" t="s">
        <v>9</v>
      </c>
      <c r="P13" s="292"/>
      <c r="Q13" s="291">
        <f t="shared" si="3"/>
        <v>10198183.177716739</v>
      </c>
      <c r="R13" s="291">
        <v>9952540.8914172798</v>
      </c>
      <c r="S13" s="293">
        <f t="shared" si="4"/>
        <v>10075362.03456701</v>
      </c>
    </row>
    <row r="14" spans="1:19" x14ac:dyDescent="0.2">
      <c r="A14" s="285" t="s">
        <v>10</v>
      </c>
      <c r="B14" s="3" t="s">
        <v>146</v>
      </c>
      <c r="C14" s="286">
        <f>Summary!D11</f>
        <v>4744</v>
      </c>
      <c r="D14" s="287">
        <v>1380665</v>
      </c>
      <c r="E14" s="287">
        <v>1853</v>
      </c>
      <c r="F14" s="287">
        <f t="shared" si="5"/>
        <v>8790632</v>
      </c>
      <c r="G14" s="463">
        <f>3748+6787</f>
        <v>10535</v>
      </c>
      <c r="H14" s="288">
        <v>1153171</v>
      </c>
      <c r="I14" s="288">
        <v>574</v>
      </c>
      <c r="J14" s="288">
        <f t="shared" si="0"/>
        <v>6047090</v>
      </c>
      <c r="K14" s="289">
        <f t="shared" si="1"/>
        <v>17371558</v>
      </c>
      <c r="L14" s="290">
        <f>'Revenue Offset'!G13</f>
        <v>0.49115993716738748</v>
      </c>
      <c r="M14" s="291">
        <f t="shared" si="2"/>
        <v>8839344.6642203722</v>
      </c>
      <c r="N14" s="285" t="s">
        <v>10</v>
      </c>
      <c r="O14" s="3" t="s">
        <v>146</v>
      </c>
      <c r="P14" s="292">
        <v>200000</v>
      </c>
      <c r="Q14" s="291">
        <f t="shared" si="3"/>
        <v>9039344.6642203722</v>
      </c>
      <c r="R14" s="291">
        <v>9214556.0178781711</v>
      </c>
      <c r="S14" s="293">
        <f t="shared" si="4"/>
        <v>9126950.3410492726</v>
      </c>
    </row>
    <row r="15" spans="1:19" x14ac:dyDescent="0.2">
      <c r="A15" s="285" t="s">
        <v>12</v>
      </c>
      <c r="B15" s="251" t="s">
        <v>13</v>
      </c>
      <c r="C15" s="286">
        <f>Summary!D12</f>
        <v>989</v>
      </c>
      <c r="D15" s="287">
        <v>1380665</v>
      </c>
      <c r="E15" s="287">
        <v>1853</v>
      </c>
      <c r="F15" s="287">
        <f t="shared" si="5"/>
        <v>1832617</v>
      </c>
      <c r="G15" s="463">
        <v>2100</v>
      </c>
      <c r="H15" s="288">
        <v>1153171</v>
      </c>
      <c r="I15" s="288">
        <v>574</v>
      </c>
      <c r="J15" s="288">
        <f t="shared" si="0"/>
        <v>1205400</v>
      </c>
      <c r="K15" s="289">
        <f t="shared" si="1"/>
        <v>5571853</v>
      </c>
      <c r="L15" s="290">
        <f>'Revenue Offset'!G14</f>
        <v>0.36664620415479249</v>
      </c>
      <c r="M15" s="291">
        <f t="shared" si="2"/>
        <v>3528954.2474415074</v>
      </c>
      <c r="N15" s="285" t="s">
        <v>12</v>
      </c>
      <c r="O15" s="251" t="s">
        <v>13</v>
      </c>
      <c r="P15" s="292"/>
      <c r="Q15" s="291">
        <f t="shared" si="3"/>
        <v>3528954.2474415074</v>
      </c>
      <c r="R15" s="291">
        <v>3421715.4093612647</v>
      </c>
      <c r="S15" s="293">
        <f t="shared" si="4"/>
        <v>3475334.8284013858</v>
      </c>
    </row>
    <row r="16" spans="1:19" x14ac:dyDescent="0.2">
      <c r="A16" s="285" t="s">
        <v>14</v>
      </c>
      <c r="B16" s="251" t="s">
        <v>139</v>
      </c>
      <c r="C16" s="286">
        <f>Summary!D13</f>
        <v>3214</v>
      </c>
      <c r="D16" s="287">
        <v>1380665</v>
      </c>
      <c r="E16" s="287">
        <v>1853</v>
      </c>
      <c r="F16" s="287">
        <f t="shared" si="5"/>
        <v>5955542</v>
      </c>
      <c r="G16" s="463">
        <v>7578</v>
      </c>
      <c r="H16" s="288">
        <v>1153171</v>
      </c>
      <c r="I16" s="288">
        <v>574</v>
      </c>
      <c r="J16" s="288">
        <f t="shared" si="0"/>
        <v>4349772</v>
      </c>
      <c r="K16" s="289">
        <f t="shared" si="1"/>
        <v>12839150</v>
      </c>
      <c r="L16" s="290">
        <f>'Revenue Offset'!G15</f>
        <v>0.44116155475212726</v>
      </c>
      <c r="M16" s="291">
        <f t="shared" si="2"/>
        <v>7175010.6243042257</v>
      </c>
      <c r="N16" s="285" t="s">
        <v>14</v>
      </c>
      <c r="O16" s="251" t="s">
        <v>139</v>
      </c>
      <c r="P16" s="292">
        <v>200000</v>
      </c>
      <c r="Q16" s="291">
        <f t="shared" ref="Q16:Q38" si="6">+M16+P16</f>
        <v>7375010.6243042257</v>
      </c>
      <c r="R16" s="291">
        <v>7504895.0278444588</v>
      </c>
      <c r="S16" s="293">
        <f t="shared" si="4"/>
        <v>7439952.8260743422</v>
      </c>
    </row>
    <row r="17" spans="1:19" x14ac:dyDescent="0.2">
      <c r="A17" s="285" t="s">
        <v>16</v>
      </c>
      <c r="B17" s="251" t="s">
        <v>17</v>
      </c>
      <c r="C17" s="286">
        <f>Summary!D14</f>
        <v>3122</v>
      </c>
      <c r="D17" s="287">
        <v>1380665</v>
      </c>
      <c r="E17" s="287">
        <v>1853</v>
      </c>
      <c r="F17" s="287">
        <f t="shared" si="5"/>
        <v>5785066</v>
      </c>
      <c r="G17" s="463">
        <v>7721</v>
      </c>
      <c r="H17" s="288">
        <v>1153171</v>
      </c>
      <c r="I17" s="288">
        <v>574</v>
      </c>
      <c r="J17" s="288">
        <f t="shared" si="0"/>
        <v>4431854</v>
      </c>
      <c r="K17" s="289">
        <f t="shared" si="1"/>
        <v>12750756</v>
      </c>
      <c r="L17" s="290">
        <f>'Revenue Offset'!G16</f>
        <v>0.48449966456626248</v>
      </c>
      <c r="M17" s="291">
        <f t="shared" si="2"/>
        <v>6573018.995033741</v>
      </c>
      <c r="N17" s="285" t="s">
        <v>16</v>
      </c>
      <c r="O17" s="251" t="s">
        <v>17</v>
      </c>
      <c r="P17" s="292"/>
      <c r="Q17" s="291">
        <f t="shared" si="6"/>
        <v>6573018.995033741</v>
      </c>
      <c r="R17" s="291">
        <v>6596105.1713567972</v>
      </c>
      <c r="S17" s="293">
        <f t="shared" si="4"/>
        <v>6584562.0831952691</v>
      </c>
    </row>
    <row r="18" spans="1:19" x14ac:dyDescent="0.2">
      <c r="A18" s="285" t="s">
        <v>18</v>
      </c>
      <c r="B18" s="251" t="s">
        <v>140</v>
      </c>
      <c r="C18" s="286">
        <f>Summary!D15</f>
        <v>5937</v>
      </c>
      <c r="D18" s="287">
        <v>5033898</v>
      </c>
      <c r="E18" s="287">
        <v>1850</v>
      </c>
      <c r="F18" s="287">
        <f t="shared" si="5"/>
        <v>10983450</v>
      </c>
      <c r="G18" s="463">
        <v>11760</v>
      </c>
      <c r="H18" s="288">
        <v>2644241</v>
      </c>
      <c r="I18" s="288">
        <v>1161</v>
      </c>
      <c r="J18" s="288">
        <f t="shared" si="0"/>
        <v>13653360</v>
      </c>
      <c r="K18" s="289">
        <f t="shared" si="1"/>
        <v>32314949</v>
      </c>
      <c r="L18" s="290">
        <f>'Revenue Offset'!G17</f>
        <v>0.61116821351728845</v>
      </c>
      <c r="M18" s="291">
        <f t="shared" si="2"/>
        <v>12565079.349767713</v>
      </c>
      <c r="N18" s="285" t="s">
        <v>18</v>
      </c>
      <c r="O18" s="251" t="s">
        <v>140</v>
      </c>
      <c r="P18" s="292"/>
      <c r="Q18" s="291">
        <f t="shared" si="6"/>
        <v>12565079.349767713</v>
      </c>
      <c r="R18" s="291">
        <v>12956486.292759124</v>
      </c>
      <c r="S18" s="293">
        <f t="shared" si="4"/>
        <v>12760782.821263418</v>
      </c>
    </row>
    <row r="19" spans="1:19" x14ac:dyDescent="0.2">
      <c r="A19" s="285" t="s">
        <v>19</v>
      </c>
      <c r="B19" s="251" t="s">
        <v>129</v>
      </c>
      <c r="C19" s="286">
        <f>Summary!D16</f>
        <v>4620</v>
      </c>
      <c r="D19" s="287">
        <v>1380665</v>
      </c>
      <c r="E19" s="287">
        <v>1853</v>
      </c>
      <c r="F19" s="287">
        <f t="shared" si="5"/>
        <v>8560860</v>
      </c>
      <c r="G19" s="463">
        <v>11183</v>
      </c>
      <c r="H19" s="288">
        <v>1153171</v>
      </c>
      <c r="I19" s="288">
        <v>574</v>
      </c>
      <c r="J19" s="288">
        <f t="shared" si="0"/>
        <v>6419042</v>
      </c>
      <c r="K19" s="289">
        <f t="shared" si="1"/>
        <v>17513738</v>
      </c>
      <c r="L19" s="290">
        <f>'Revenue Offset'!G18</f>
        <v>0.48670802933762197</v>
      </c>
      <c r="M19" s="291">
        <f t="shared" si="2"/>
        <v>8989661.0916845743</v>
      </c>
      <c r="N19" s="285" t="s">
        <v>19</v>
      </c>
      <c r="O19" s="251" t="s">
        <v>129</v>
      </c>
      <c r="P19" s="292"/>
      <c r="Q19" s="291">
        <f t="shared" si="6"/>
        <v>8989661.0916845743</v>
      </c>
      <c r="R19" s="291">
        <v>9210836.4536346141</v>
      </c>
      <c r="S19" s="293">
        <f t="shared" si="4"/>
        <v>9100248.7726595942</v>
      </c>
    </row>
    <row r="20" spans="1:19" x14ac:dyDescent="0.2">
      <c r="A20" s="285" t="s">
        <v>21</v>
      </c>
      <c r="B20" s="258" t="s">
        <v>177</v>
      </c>
      <c r="C20" s="286">
        <f>Summary!D17</f>
        <v>1145</v>
      </c>
      <c r="D20" s="287">
        <v>1380665</v>
      </c>
      <c r="E20" s="287">
        <v>1853</v>
      </c>
      <c r="F20" s="287">
        <f t="shared" si="5"/>
        <v>2121685</v>
      </c>
      <c r="G20" s="463">
        <v>2714</v>
      </c>
      <c r="H20" s="288">
        <v>1153171</v>
      </c>
      <c r="I20" s="288">
        <v>574</v>
      </c>
      <c r="J20" s="288">
        <f t="shared" si="0"/>
        <v>1557836</v>
      </c>
      <c r="K20" s="289">
        <f t="shared" si="1"/>
        <v>6213357</v>
      </c>
      <c r="L20" s="290">
        <f>'Revenue Offset'!G19</f>
        <v>0.40223203366520849</v>
      </c>
      <c r="M20" s="291">
        <f t="shared" si="2"/>
        <v>3714145.7780020409</v>
      </c>
      <c r="N20" s="285" t="s">
        <v>21</v>
      </c>
      <c r="O20" s="258" t="s">
        <v>71</v>
      </c>
      <c r="P20" s="292">
        <v>200000</v>
      </c>
      <c r="Q20" s="291">
        <f t="shared" si="6"/>
        <v>3914145.7780020409</v>
      </c>
      <c r="R20" s="291">
        <v>3896655.4555772883</v>
      </c>
      <c r="S20" s="293">
        <f t="shared" si="4"/>
        <v>3905400.6167896646</v>
      </c>
    </row>
    <row r="21" spans="1:19" x14ac:dyDescent="0.2">
      <c r="A21" s="259" t="s">
        <v>109</v>
      </c>
      <c r="B21" s="251" t="s">
        <v>141</v>
      </c>
      <c r="C21" s="286">
        <f>Summary!D18</f>
        <v>3915</v>
      </c>
      <c r="D21" s="287">
        <v>1380665</v>
      </c>
      <c r="E21" s="287">
        <v>1853</v>
      </c>
      <c r="F21" s="287">
        <f>+C21*E21</f>
        <v>7254495</v>
      </c>
      <c r="G21" s="463">
        <v>7938</v>
      </c>
      <c r="H21" s="288">
        <v>1153171</v>
      </c>
      <c r="I21" s="288">
        <v>574</v>
      </c>
      <c r="J21" s="288">
        <f t="shared" si="0"/>
        <v>4556412</v>
      </c>
      <c r="K21" s="289">
        <f t="shared" si="1"/>
        <v>14344743</v>
      </c>
      <c r="L21" s="290">
        <f>'Revenue Offset'!G20</f>
        <v>0.48301278402964265</v>
      </c>
      <c r="M21" s="291">
        <f t="shared" si="2"/>
        <v>7416048.7473802716</v>
      </c>
      <c r="N21" s="259" t="s">
        <v>109</v>
      </c>
      <c r="O21" s="251" t="s">
        <v>141</v>
      </c>
      <c r="P21" s="292">
        <f>(200000)+(264*500)+(327*500)</f>
        <v>495500</v>
      </c>
      <c r="Q21" s="291">
        <f>+M21+P21</f>
        <v>7911548.7473802716</v>
      </c>
      <c r="R21" s="291">
        <v>7990312.1972464006</v>
      </c>
      <c r="S21" s="293">
        <f t="shared" si="4"/>
        <v>7950930.4723133361</v>
      </c>
    </row>
    <row r="22" spans="1:19" x14ac:dyDescent="0.2">
      <c r="A22" s="285" t="s">
        <v>26</v>
      </c>
      <c r="B22" s="251" t="s">
        <v>62</v>
      </c>
      <c r="C22" s="286">
        <f>Summary!D19</f>
        <v>5258</v>
      </c>
      <c r="D22" s="287">
        <v>5033898</v>
      </c>
      <c r="E22" s="287">
        <v>1850</v>
      </c>
      <c r="F22" s="287">
        <f>+C22*E22</f>
        <v>9727300</v>
      </c>
      <c r="G22" s="463">
        <v>7892</v>
      </c>
      <c r="H22" s="288">
        <v>2644241</v>
      </c>
      <c r="I22" s="288">
        <v>1161</v>
      </c>
      <c r="J22" s="288">
        <f t="shared" si="0"/>
        <v>9162612</v>
      </c>
      <c r="K22" s="289">
        <f t="shared" si="1"/>
        <v>26568051</v>
      </c>
      <c r="L22" s="290">
        <f>'Revenue Offset'!G21</f>
        <v>0.59562144533473793</v>
      </c>
      <c r="M22" s="291">
        <f t="shared" si="2"/>
        <v>10743550.06365297</v>
      </c>
      <c r="N22" s="285" t="s">
        <v>26</v>
      </c>
      <c r="O22" s="251" t="s">
        <v>62</v>
      </c>
      <c r="P22" s="292"/>
      <c r="Q22" s="291">
        <f t="shared" si="6"/>
        <v>10743550.06365297</v>
      </c>
      <c r="R22" s="291">
        <v>10972825.090442395</v>
      </c>
      <c r="S22" s="293">
        <f t="shared" si="4"/>
        <v>10858187.577047683</v>
      </c>
    </row>
    <row r="23" spans="1:19" x14ac:dyDescent="0.2">
      <c r="A23" s="285" t="s">
        <v>22</v>
      </c>
      <c r="B23" s="251" t="s">
        <v>23</v>
      </c>
      <c r="C23" s="286">
        <f>Summary!D20</f>
        <v>13256</v>
      </c>
      <c r="D23" s="287">
        <v>5033898</v>
      </c>
      <c r="E23" s="287">
        <v>1850</v>
      </c>
      <c r="F23" s="287">
        <f>+C23*E23</f>
        <v>24523600</v>
      </c>
      <c r="G23" s="463">
        <v>17945</v>
      </c>
      <c r="H23" s="288">
        <v>2644241</v>
      </c>
      <c r="I23" s="288">
        <v>1161</v>
      </c>
      <c r="J23" s="288">
        <f t="shared" si="0"/>
        <v>20834145</v>
      </c>
      <c r="K23" s="289">
        <f t="shared" si="1"/>
        <v>53035884</v>
      </c>
      <c r="L23" s="290">
        <f>'Revenue Offset'!G22</f>
        <v>0.6573430933426625</v>
      </c>
      <c r="M23" s="291">
        <f t="shared" si="2"/>
        <v>18173111.953277379</v>
      </c>
      <c r="N23" s="285" t="s">
        <v>22</v>
      </c>
      <c r="O23" s="251" t="s">
        <v>23</v>
      </c>
      <c r="P23" s="292"/>
      <c r="Q23" s="291">
        <f t="shared" si="6"/>
        <v>18173111.953277379</v>
      </c>
      <c r="R23" s="291">
        <v>19209967.689135216</v>
      </c>
      <c r="S23" s="293">
        <f t="shared" si="4"/>
        <v>18691539.821206298</v>
      </c>
    </row>
    <row r="24" spans="1:19" x14ac:dyDescent="0.2">
      <c r="A24" s="285" t="s">
        <v>24</v>
      </c>
      <c r="B24" s="251" t="s">
        <v>137</v>
      </c>
      <c r="C24" s="286">
        <f>Summary!D21</f>
        <v>1965</v>
      </c>
      <c r="D24" s="287">
        <v>1380665</v>
      </c>
      <c r="E24" s="287">
        <v>1853</v>
      </c>
      <c r="F24" s="287">
        <f t="shared" si="5"/>
        <v>3641145</v>
      </c>
      <c r="G24" s="463">
        <v>4946</v>
      </c>
      <c r="H24" s="288">
        <v>1153171</v>
      </c>
      <c r="I24" s="288">
        <v>574</v>
      </c>
      <c r="J24" s="288">
        <f t="shared" si="0"/>
        <v>2839004</v>
      </c>
      <c r="K24" s="289">
        <f t="shared" si="1"/>
        <v>9013985</v>
      </c>
      <c r="L24" s="290">
        <f>'Revenue Offset'!G23</f>
        <v>0.45377253973023318</v>
      </c>
      <c r="M24" s="291">
        <f t="shared" si="2"/>
        <v>4923686.1334597738</v>
      </c>
      <c r="N24" s="285" t="s">
        <v>24</v>
      </c>
      <c r="O24" s="251" t="s">
        <v>137</v>
      </c>
      <c r="P24" s="292">
        <f>(200000)+((68+91+154)*500)</f>
        <v>356500</v>
      </c>
      <c r="Q24" s="291">
        <f t="shared" si="6"/>
        <v>5280186.1334597738</v>
      </c>
      <c r="R24" s="291">
        <v>5103069.9498713752</v>
      </c>
      <c r="S24" s="293">
        <f t="shared" si="4"/>
        <v>5191628.0416655745</v>
      </c>
    </row>
    <row r="25" spans="1:19" x14ac:dyDescent="0.2">
      <c r="A25" s="285" t="s">
        <v>27</v>
      </c>
      <c r="B25" s="251" t="s">
        <v>132</v>
      </c>
      <c r="C25" s="286">
        <f>Summary!D22</f>
        <v>6809</v>
      </c>
      <c r="D25" s="287">
        <v>1380665</v>
      </c>
      <c r="E25" s="287">
        <v>1853</v>
      </c>
      <c r="F25" s="287">
        <f t="shared" si="5"/>
        <v>12617077</v>
      </c>
      <c r="G25" s="463">
        <v>15775</v>
      </c>
      <c r="H25" s="288">
        <v>1153171</v>
      </c>
      <c r="I25" s="288">
        <v>574</v>
      </c>
      <c r="J25" s="288">
        <f t="shared" si="0"/>
        <v>9054850</v>
      </c>
      <c r="K25" s="289">
        <f t="shared" si="1"/>
        <v>24205763</v>
      </c>
      <c r="L25" s="290">
        <f>'Revenue Offset'!G24</f>
        <v>0.57396444678620484</v>
      </c>
      <c r="M25" s="291">
        <f t="shared" si="2"/>
        <v>10312515.630667014</v>
      </c>
      <c r="N25" s="285" t="s">
        <v>27</v>
      </c>
      <c r="O25" s="251" t="s">
        <v>132</v>
      </c>
      <c r="P25" s="292"/>
      <c r="Q25" s="291">
        <f t="shared" si="6"/>
        <v>10312515.630667014</v>
      </c>
      <c r="R25" s="291">
        <v>10099000.37434563</v>
      </c>
      <c r="S25" s="293">
        <f t="shared" si="4"/>
        <v>10205758.002506323</v>
      </c>
    </row>
    <row r="26" spans="1:19" ht="14.25" customHeight="1" x14ac:dyDescent="0.2">
      <c r="A26" s="285" t="s">
        <v>29</v>
      </c>
      <c r="B26" s="251" t="s">
        <v>133</v>
      </c>
      <c r="C26" s="286">
        <f>Summary!D23</f>
        <v>4041</v>
      </c>
      <c r="D26" s="287">
        <v>1380665</v>
      </c>
      <c r="E26" s="287">
        <v>1853</v>
      </c>
      <c r="F26" s="287">
        <f t="shared" si="5"/>
        <v>7487973</v>
      </c>
      <c r="G26" s="463">
        <v>10231</v>
      </c>
      <c r="H26" s="288">
        <v>1153171</v>
      </c>
      <c r="I26" s="288">
        <v>574</v>
      </c>
      <c r="J26" s="288">
        <f t="shared" si="0"/>
        <v>5872594</v>
      </c>
      <c r="K26" s="289">
        <f t="shared" si="1"/>
        <v>15894403</v>
      </c>
      <c r="L26" s="290">
        <f>'Revenue Offset'!G25</f>
        <v>0.5221964888221784</v>
      </c>
      <c r="M26" s="291">
        <f t="shared" si="2"/>
        <v>7594401.5614753012</v>
      </c>
      <c r="N26" s="285" t="s">
        <v>29</v>
      </c>
      <c r="O26" s="251" t="s">
        <v>133</v>
      </c>
      <c r="P26" s="292"/>
      <c r="Q26" s="291">
        <f t="shared" si="6"/>
        <v>7594401.5614753012</v>
      </c>
      <c r="R26" s="291">
        <v>7485049.323982087</v>
      </c>
      <c r="S26" s="293">
        <f t="shared" si="4"/>
        <v>7539725.4427286945</v>
      </c>
    </row>
    <row r="27" spans="1:19" ht="14.25" customHeight="1" x14ac:dyDescent="0.2">
      <c r="A27" s="259" t="s">
        <v>118</v>
      </c>
      <c r="B27" s="251" t="s">
        <v>63</v>
      </c>
      <c r="C27" s="286">
        <f>Summary!D24</f>
        <v>3299</v>
      </c>
      <c r="D27" s="287">
        <v>1380665</v>
      </c>
      <c r="E27" s="287">
        <v>1853</v>
      </c>
      <c r="F27" s="287">
        <f t="shared" si="5"/>
        <v>6113047</v>
      </c>
      <c r="G27" s="463">
        <v>6328</v>
      </c>
      <c r="H27" s="288">
        <v>1153171</v>
      </c>
      <c r="I27" s="288">
        <v>574</v>
      </c>
      <c r="J27" s="288">
        <f t="shared" si="0"/>
        <v>3632272</v>
      </c>
      <c r="K27" s="289">
        <f t="shared" si="1"/>
        <v>12279155</v>
      </c>
      <c r="L27" s="290">
        <f>'Revenue Offset'!G26</f>
        <v>0.45103804534668668</v>
      </c>
      <c r="M27" s="291">
        <f t="shared" si="2"/>
        <v>6740788.9302910054</v>
      </c>
      <c r="N27" s="259" t="s">
        <v>118</v>
      </c>
      <c r="O27" s="251" t="s">
        <v>63</v>
      </c>
      <c r="P27" s="167">
        <f>(200000*4)+(244*500)</f>
        <v>922000</v>
      </c>
      <c r="Q27" s="291">
        <f>+M27+P27</f>
        <v>7662788.9302910054</v>
      </c>
      <c r="R27" s="291">
        <v>7549802.7594107147</v>
      </c>
      <c r="S27" s="293">
        <f>AVERAGE(Q27:R27)</f>
        <v>7606295.8448508605</v>
      </c>
    </row>
    <row r="28" spans="1:19" x14ac:dyDescent="0.2">
      <c r="A28" s="285" t="s">
        <v>31</v>
      </c>
      <c r="B28" s="251" t="s">
        <v>134</v>
      </c>
      <c r="C28" s="286">
        <f>Summary!D25</f>
        <v>2123</v>
      </c>
      <c r="D28" s="287">
        <v>1380665</v>
      </c>
      <c r="E28" s="287">
        <v>1853</v>
      </c>
      <c r="F28" s="287">
        <f t="shared" si="5"/>
        <v>3933919</v>
      </c>
      <c r="G28" s="463">
        <v>4850</v>
      </c>
      <c r="H28" s="288">
        <v>1153171</v>
      </c>
      <c r="I28" s="288">
        <v>574</v>
      </c>
      <c r="J28" s="288">
        <f t="shared" si="0"/>
        <v>2783900</v>
      </c>
      <c r="K28" s="289">
        <f t="shared" si="1"/>
        <v>9251655</v>
      </c>
      <c r="L28" s="290">
        <f>'Revenue Offset'!G27</f>
        <v>0.4631827119673686</v>
      </c>
      <c r="M28" s="291">
        <f t="shared" si="2"/>
        <v>4966448.3469135342</v>
      </c>
      <c r="N28" s="285" t="s">
        <v>31</v>
      </c>
      <c r="O28" s="251" t="s">
        <v>134</v>
      </c>
      <c r="P28" s="292">
        <v>200000</v>
      </c>
      <c r="Q28" s="291">
        <f t="shared" si="6"/>
        <v>5166448.3469135342</v>
      </c>
      <c r="R28" s="291">
        <v>5110475.0624126019</v>
      </c>
      <c r="S28" s="293">
        <f t="shared" si="4"/>
        <v>5138461.7046630681</v>
      </c>
    </row>
    <row r="29" spans="1:19" x14ac:dyDescent="0.2">
      <c r="A29" s="285" t="s">
        <v>33</v>
      </c>
      <c r="B29" s="251" t="s">
        <v>130</v>
      </c>
      <c r="C29" s="286">
        <f>Summary!D26</f>
        <v>820</v>
      </c>
      <c r="D29" s="287">
        <v>1380665</v>
      </c>
      <c r="E29" s="287">
        <v>1853</v>
      </c>
      <c r="F29" s="287">
        <f t="shared" si="5"/>
        <v>1519460</v>
      </c>
      <c r="G29" s="463">
        <v>2379</v>
      </c>
      <c r="H29" s="288">
        <v>1153171</v>
      </c>
      <c r="I29" s="288">
        <v>574</v>
      </c>
      <c r="J29" s="288">
        <f t="shared" si="0"/>
        <v>1365546</v>
      </c>
      <c r="K29" s="289">
        <f t="shared" si="1"/>
        <v>5418842</v>
      </c>
      <c r="L29" s="290">
        <f>'Revenue Offset'!G28</f>
        <v>0.39775666830134243</v>
      </c>
      <c r="M29" s="291">
        <f t="shared" si="2"/>
        <v>3263461.4600286167</v>
      </c>
      <c r="N29" s="285" t="s">
        <v>33</v>
      </c>
      <c r="O29" s="251" t="s">
        <v>130</v>
      </c>
      <c r="P29" s="292"/>
      <c r="Q29" s="291">
        <f t="shared" si="6"/>
        <v>3263461.4600286167</v>
      </c>
      <c r="R29" s="291">
        <v>3239453.4355969243</v>
      </c>
      <c r="S29" s="293">
        <f t="shared" si="4"/>
        <v>3251457.4478127705</v>
      </c>
    </row>
    <row r="30" spans="1:19" x14ac:dyDescent="0.2">
      <c r="A30" s="285" t="s">
        <v>35</v>
      </c>
      <c r="B30" s="251" t="s">
        <v>36</v>
      </c>
      <c r="C30" s="286">
        <f>Summary!D27</f>
        <v>2490</v>
      </c>
      <c r="D30" s="287">
        <v>1380665</v>
      </c>
      <c r="E30" s="287">
        <v>1853</v>
      </c>
      <c r="F30" s="287">
        <f t="shared" si="5"/>
        <v>4613970</v>
      </c>
      <c r="G30" s="463">
        <v>4763</v>
      </c>
      <c r="H30" s="288">
        <v>1153171</v>
      </c>
      <c r="I30" s="288">
        <v>574</v>
      </c>
      <c r="J30" s="288">
        <f t="shared" si="0"/>
        <v>2733962</v>
      </c>
      <c r="K30" s="289">
        <f t="shared" si="1"/>
        <v>9881768</v>
      </c>
      <c r="L30" s="290">
        <f>'Revenue Offset'!G29</f>
        <v>0.45814628002705043</v>
      </c>
      <c r="M30" s="291">
        <f t="shared" si="2"/>
        <v>5354472.7507096548</v>
      </c>
      <c r="N30" s="285" t="s">
        <v>35</v>
      </c>
      <c r="O30" s="251" t="s">
        <v>36</v>
      </c>
      <c r="P30" s="292">
        <v>200000</v>
      </c>
      <c r="Q30" s="291">
        <f t="shared" si="6"/>
        <v>5554472.7507096548</v>
      </c>
      <c r="R30" s="291">
        <v>5632223.1288101003</v>
      </c>
      <c r="S30" s="293">
        <f t="shared" si="4"/>
        <v>5593347.9397598775</v>
      </c>
    </row>
    <row r="31" spans="1:19" x14ac:dyDescent="0.2">
      <c r="A31" s="285" t="s">
        <v>37</v>
      </c>
      <c r="B31" s="251" t="s">
        <v>131</v>
      </c>
      <c r="C31" s="286">
        <f>Summary!D28</f>
        <v>2066</v>
      </c>
      <c r="D31" s="287">
        <v>1380665</v>
      </c>
      <c r="E31" s="287">
        <v>1853</v>
      </c>
      <c r="F31" s="287">
        <f t="shared" si="5"/>
        <v>3828298</v>
      </c>
      <c r="G31" s="463">
        <v>4684</v>
      </c>
      <c r="H31" s="288">
        <v>1153171</v>
      </c>
      <c r="I31" s="288">
        <v>574</v>
      </c>
      <c r="J31" s="288">
        <f t="shared" si="0"/>
        <v>2688616</v>
      </c>
      <c r="K31" s="289">
        <f t="shared" si="1"/>
        <v>9050750</v>
      </c>
      <c r="L31" s="290">
        <f>'Revenue Offset'!G30</f>
        <v>0.48459172359339164</v>
      </c>
      <c r="M31" s="291">
        <f t="shared" si="2"/>
        <v>4664831.4576871106</v>
      </c>
      <c r="N31" s="285" t="s">
        <v>37</v>
      </c>
      <c r="O31" s="251" t="s">
        <v>131</v>
      </c>
      <c r="P31" s="292">
        <f>200000+(74*500)</f>
        <v>237000</v>
      </c>
      <c r="Q31" s="291">
        <f t="shared" si="6"/>
        <v>4901831.4576871106</v>
      </c>
      <c r="R31" s="291">
        <v>4831288.292741809</v>
      </c>
      <c r="S31" s="293">
        <f t="shared" si="4"/>
        <v>4866559.8752144594</v>
      </c>
    </row>
    <row r="32" spans="1:19" x14ac:dyDescent="0.2">
      <c r="A32" s="285" t="s">
        <v>39</v>
      </c>
      <c r="B32" s="251" t="s">
        <v>135</v>
      </c>
      <c r="C32" s="286">
        <f>Summary!D29</f>
        <v>3498</v>
      </c>
      <c r="D32" s="287">
        <v>1380665</v>
      </c>
      <c r="E32" s="287">
        <v>1853</v>
      </c>
      <c r="F32" s="287">
        <f t="shared" si="5"/>
        <v>6481794</v>
      </c>
      <c r="G32" s="463">
        <v>7511</v>
      </c>
      <c r="H32" s="288">
        <v>1153171</v>
      </c>
      <c r="I32" s="288">
        <v>574</v>
      </c>
      <c r="J32" s="288">
        <f t="shared" si="0"/>
        <v>4311314</v>
      </c>
      <c r="K32" s="289">
        <f t="shared" si="1"/>
        <v>13326944</v>
      </c>
      <c r="L32" s="290">
        <f>'Revenue Offset'!G31</f>
        <v>0.52797293341370011</v>
      </c>
      <c r="M32" s="291">
        <f t="shared" si="2"/>
        <v>6290678.2828798899</v>
      </c>
      <c r="N32" s="285" t="s">
        <v>39</v>
      </c>
      <c r="O32" s="251" t="s">
        <v>135</v>
      </c>
      <c r="P32" s="292"/>
      <c r="Q32" s="291">
        <f t="shared" si="6"/>
        <v>6290678.2828798899</v>
      </c>
      <c r="R32" s="291">
        <v>6386188.7526756078</v>
      </c>
      <c r="S32" s="293">
        <f t="shared" si="4"/>
        <v>6338433.5177777484</v>
      </c>
    </row>
    <row r="33" spans="1:19" x14ac:dyDescent="0.2">
      <c r="A33" s="285" t="s">
        <v>46</v>
      </c>
      <c r="B33" s="251" t="s">
        <v>70</v>
      </c>
      <c r="C33" s="286">
        <f>Summary!D30</f>
        <v>4509</v>
      </c>
      <c r="D33" s="287">
        <v>1380665</v>
      </c>
      <c r="E33" s="287">
        <v>1853</v>
      </c>
      <c r="F33" s="287">
        <f t="shared" si="5"/>
        <v>8355177</v>
      </c>
      <c r="G33" s="463">
        <v>11192</v>
      </c>
      <c r="H33" s="288">
        <v>1153171</v>
      </c>
      <c r="I33" s="288">
        <v>574</v>
      </c>
      <c r="J33" s="288">
        <f t="shared" si="0"/>
        <v>6424208</v>
      </c>
      <c r="K33" s="289">
        <f t="shared" si="1"/>
        <v>17313221</v>
      </c>
      <c r="L33" s="290">
        <f>'Revenue Offset'!G32</f>
        <v>0.53432125696067156</v>
      </c>
      <c r="M33" s="291">
        <f t="shared" si="2"/>
        <v>8062398.9932421045</v>
      </c>
      <c r="N33" s="285" t="s">
        <v>46</v>
      </c>
      <c r="O33" s="251" t="s">
        <v>70</v>
      </c>
      <c r="P33" s="292"/>
      <c r="Q33" s="291">
        <f t="shared" si="6"/>
        <v>8062398.9932421045</v>
      </c>
      <c r="R33" s="291">
        <v>7804364.9583069393</v>
      </c>
      <c r="S33" s="293">
        <f t="shared" si="4"/>
        <v>7933381.9757745219</v>
      </c>
    </row>
    <row r="34" spans="1:19" x14ac:dyDescent="0.2">
      <c r="A34" s="285" t="s">
        <v>41</v>
      </c>
      <c r="B34" s="251" t="s">
        <v>117</v>
      </c>
      <c r="C34" s="286">
        <f>Summary!D31</f>
        <v>2138</v>
      </c>
      <c r="D34" s="287">
        <v>1380665</v>
      </c>
      <c r="E34" s="287">
        <v>1853</v>
      </c>
      <c r="F34" s="287">
        <f t="shared" si="5"/>
        <v>3961714</v>
      </c>
      <c r="G34" s="463">
        <v>4784</v>
      </c>
      <c r="H34" s="288">
        <v>1153171</v>
      </c>
      <c r="I34" s="288">
        <v>574</v>
      </c>
      <c r="J34" s="288">
        <f t="shared" si="0"/>
        <v>2746016</v>
      </c>
      <c r="K34" s="289">
        <f t="shared" si="1"/>
        <v>9241566</v>
      </c>
      <c r="L34" s="290">
        <f>'Revenue Offset'!G33</f>
        <v>0.4557607599729368</v>
      </c>
      <c r="M34" s="291">
        <f t="shared" si="2"/>
        <v>5029622.8564999467</v>
      </c>
      <c r="N34" s="285" t="s">
        <v>41</v>
      </c>
      <c r="O34" s="251" t="s">
        <v>117</v>
      </c>
      <c r="P34" s="292">
        <v>200000</v>
      </c>
      <c r="Q34" s="291">
        <f t="shared" si="6"/>
        <v>5229622.8564999467</v>
      </c>
      <c r="R34" s="291">
        <v>5239523.929556868</v>
      </c>
      <c r="S34" s="293">
        <f t="shared" si="4"/>
        <v>5234573.3930284074</v>
      </c>
    </row>
    <row r="35" spans="1:19" x14ac:dyDescent="0.2">
      <c r="A35" s="285" t="s">
        <v>42</v>
      </c>
      <c r="B35" s="251" t="s">
        <v>69</v>
      </c>
      <c r="C35" s="286">
        <f>Summary!D32</f>
        <v>3565</v>
      </c>
      <c r="D35" s="287">
        <v>5033898</v>
      </c>
      <c r="E35" s="287">
        <v>1850</v>
      </c>
      <c r="F35" s="287">
        <f t="shared" si="5"/>
        <v>6595250</v>
      </c>
      <c r="G35" s="463">
        <v>7524</v>
      </c>
      <c r="H35" s="288">
        <v>2644241</v>
      </c>
      <c r="I35" s="288">
        <v>1161</v>
      </c>
      <c r="J35" s="288">
        <f t="shared" si="0"/>
        <v>8735364</v>
      </c>
      <c r="K35" s="289">
        <f t="shared" si="1"/>
        <v>23008753</v>
      </c>
      <c r="L35" s="290">
        <f>'Revenue Offset'!G34</f>
        <v>0.53242904110820199</v>
      </c>
      <c r="M35" s="291">
        <f t="shared" si="2"/>
        <v>10758224.703114534</v>
      </c>
      <c r="N35" s="285" t="s">
        <v>42</v>
      </c>
      <c r="O35" s="251" t="s">
        <v>69</v>
      </c>
      <c r="P35" s="292"/>
      <c r="Q35" s="291">
        <f t="shared" si="6"/>
        <v>10758224.703114534</v>
      </c>
      <c r="R35" s="291">
        <v>10663964.436107853</v>
      </c>
      <c r="S35" s="293">
        <f t="shared" si="4"/>
        <v>10711094.569611194</v>
      </c>
    </row>
    <row r="36" spans="1:19" x14ac:dyDescent="0.2">
      <c r="A36" s="285" t="s">
        <v>43</v>
      </c>
      <c r="B36" s="251" t="s">
        <v>44</v>
      </c>
      <c r="C36" s="286">
        <f>Summary!D33</f>
        <v>10428</v>
      </c>
      <c r="D36" s="287">
        <v>5033898</v>
      </c>
      <c r="E36" s="287">
        <v>1850</v>
      </c>
      <c r="F36" s="287">
        <f>+C36*E36</f>
        <v>19291800</v>
      </c>
      <c r="G36" s="463">
        <v>16390</v>
      </c>
      <c r="H36" s="288">
        <v>2644241</v>
      </c>
      <c r="I36" s="288">
        <v>1161</v>
      </c>
      <c r="J36" s="288">
        <f t="shared" si="0"/>
        <v>19028790</v>
      </c>
      <c r="K36" s="289">
        <f t="shared" si="1"/>
        <v>45998729</v>
      </c>
      <c r="L36" s="290">
        <f>'Revenue Offset'!G35</f>
        <v>0.58769945824984193</v>
      </c>
      <c r="M36" s="291">
        <f t="shared" si="2"/>
        <v>18965300.886518706</v>
      </c>
      <c r="N36" s="285" t="s">
        <v>43</v>
      </c>
      <c r="O36" s="251" t="s">
        <v>44</v>
      </c>
      <c r="P36" s="292"/>
      <c r="Q36" s="291">
        <f>+M36+P36</f>
        <v>18965300.886518706</v>
      </c>
      <c r="R36" s="291">
        <v>20549532.474686366</v>
      </c>
      <c r="S36" s="293">
        <f t="shared" si="4"/>
        <v>19757416.680602536</v>
      </c>
    </row>
    <row r="37" spans="1:19" x14ac:dyDescent="0.2">
      <c r="A37" s="285" t="s">
        <v>45</v>
      </c>
      <c r="B37" s="251" t="s">
        <v>136</v>
      </c>
      <c r="C37" s="286">
        <f>Summary!D34</f>
        <v>3131</v>
      </c>
      <c r="D37" s="287">
        <v>1380665</v>
      </c>
      <c r="E37" s="287">
        <v>1853</v>
      </c>
      <c r="F37" s="287">
        <f t="shared" si="5"/>
        <v>5801743</v>
      </c>
      <c r="G37" s="463">
        <v>6122</v>
      </c>
      <c r="H37" s="288">
        <v>1153171</v>
      </c>
      <c r="I37" s="288">
        <v>574</v>
      </c>
      <c r="J37" s="288">
        <f t="shared" si="0"/>
        <v>3514028</v>
      </c>
      <c r="K37" s="289">
        <f t="shared" si="1"/>
        <v>11849607</v>
      </c>
      <c r="L37" s="290">
        <f>'Revenue Offset'!G36</f>
        <v>0.53132935359523303</v>
      </c>
      <c r="M37" s="291">
        <f t="shared" si="2"/>
        <v>5553562.9723324515</v>
      </c>
      <c r="N37" s="285" t="s">
        <v>45</v>
      </c>
      <c r="O37" s="251" t="s">
        <v>136</v>
      </c>
      <c r="P37" s="292"/>
      <c r="Q37" s="291">
        <f t="shared" si="6"/>
        <v>5553562.9723324515</v>
      </c>
      <c r="R37" s="291">
        <v>5519418.474049936</v>
      </c>
      <c r="S37" s="293">
        <f t="shared" si="4"/>
        <v>5536490.7231911942</v>
      </c>
    </row>
    <row r="38" spans="1:19" x14ac:dyDescent="0.2">
      <c r="A38" s="285" t="s">
        <v>47</v>
      </c>
      <c r="B38" s="251" t="s">
        <v>48</v>
      </c>
      <c r="C38" s="286">
        <f>Summary!D35</f>
        <v>7216</v>
      </c>
      <c r="D38" s="287">
        <v>5033898</v>
      </c>
      <c r="E38" s="287">
        <v>1850</v>
      </c>
      <c r="F38" s="287">
        <f t="shared" si="5"/>
        <v>13349600</v>
      </c>
      <c r="G38" s="463">
        <v>9305</v>
      </c>
      <c r="H38" s="288">
        <v>2644241</v>
      </c>
      <c r="I38" s="288">
        <v>1161</v>
      </c>
      <c r="J38" s="288">
        <f t="shared" si="0"/>
        <v>10803105</v>
      </c>
      <c r="K38" s="289">
        <f t="shared" si="1"/>
        <v>31830844</v>
      </c>
      <c r="L38" s="290">
        <f>'Revenue Offset'!G37</f>
        <v>0.615448443409224</v>
      </c>
      <c r="M38" s="291">
        <f t="shared" si="2"/>
        <v>12240600.607798163</v>
      </c>
      <c r="N38" s="285" t="s">
        <v>47</v>
      </c>
      <c r="O38" s="251" t="s">
        <v>48</v>
      </c>
      <c r="P38" s="292">
        <v>200000</v>
      </c>
      <c r="Q38" s="291">
        <f t="shared" si="6"/>
        <v>12440600.607798163</v>
      </c>
      <c r="R38" s="291">
        <v>12957701.252204083</v>
      </c>
      <c r="S38" s="293">
        <f t="shared" si="4"/>
        <v>12699150.930001123</v>
      </c>
    </row>
    <row r="39" spans="1:19" x14ac:dyDescent="0.2">
      <c r="B39" s="168"/>
      <c r="K39" s="56"/>
      <c r="L39" s="127"/>
      <c r="M39" s="56"/>
      <c r="O39" s="168"/>
      <c r="P39" s="56"/>
      <c r="Q39" s="213"/>
      <c r="R39" s="213"/>
    </row>
    <row r="40" spans="1:19" x14ac:dyDescent="0.2">
      <c r="B40" s="157" t="s">
        <v>49</v>
      </c>
      <c r="C40" s="55">
        <f>SUM(C9:C39)</f>
        <v>126092</v>
      </c>
      <c r="D40" s="55">
        <f>SUM(D9:D39)</f>
        <v>66992581</v>
      </c>
      <c r="F40" s="55">
        <f>SUM(F9:F39)</f>
        <v>233497090</v>
      </c>
      <c r="G40" s="55">
        <f>SUM(G9:G39)</f>
        <v>249499</v>
      </c>
      <c r="H40" s="55">
        <f>SUM(H9:H39)</f>
        <v>45032620</v>
      </c>
      <c r="J40" s="55">
        <f>SUM(J9:J39)</f>
        <v>189839597</v>
      </c>
      <c r="K40" s="55">
        <f>SUM(K9:K39)</f>
        <v>535361888</v>
      </c>
      <c r="L40" s="102">
        <f>'Revenue Offset'!G39</f>
        <v>0.54817861885206953</v>
      </c>
      <c r="M40" s="55">
        <f t="shared" ref="M40:S40" si="7">SUM(M9:M39)</f>
        <v>244029607.23996875</v>
      </c>
      <c r="O40" s="157" t="s">
        <v>49</v>
      </c>
      <c r="P40" s="55">
        <f t="shared" si="7"/>
        <v>4211000</v>
      </c>
      <c r="Q40" s="55">
        <f t="shared" si="7"/>
        <v>248240607.23996875</v>
      </c>
      <c r="R40" s="55">
        <f t="shared" si="7"/>
        <v>251685797.09043798</v>
      </c>
      <c r="S40" s="55">
        <f t="shared" si="7"/>
        <v>249963202.16520336</v>
      </c>
    </row>
    <row r="41" spans="1:19" x14ac:dyDescent="0.2">
      <c r="B41" s="168"/>
      <c r="L41" s="169"/>
      <c r="O41" s="168"/>
      <c r="Q41" s="169"/>
      <c r="R41" s="169"/>
    </row>
    <row r="42" spans="1:19" x14ac:dyDescent="0.2">
      <c r="A42" s="16" t="s">
        <v>329</v>
      </c>
      <c r="B42" s="170"/>
      <c r="M42" s="171"/>
      <c r="N42" s="129"/>
      <c r="O42" s="170"/>
    </row>
    <row r="43" spans="1:19" x14ac:dyDescent="0.2">
      <c r="A43" s="129"/>
      <c r="B43" s="170"/>
      <c r="N43" s="129"/>
      <c r="O43" s="170"/>
    </row>
    <row r="44" spans="1:19" x14ac:dyDescent="0.2">
      <c r="A44" s="129"/>
      <c r="B44" s="170"/>
      <c r="N44" s="129"/>
      <c r="O44" s="170"/>
    </row>
    <row r="45" spans="1:19" x14ac:dyDescent="0.2">
      <c r="J45" s="202"/>
    </row>
    <row r="46" spans="1:19" x14ac:dyDescent="0.2">
      <c r="E46" s="202"/>
      <c r="I46" s="202"/>
      <c r="L46" s="294"/>
      <c r="M46" s="204"/>
      <c r="P46" s="203"/>
    </row>
    <row r="47" spans="1:19" x14ac:dyDescent="0.2">
      <c r="E47" s="202"/>
      <c r="I47" s="202"/>
      <c r="L47" s="294"/>
      <c r="M47" s="204"/>
      <c r="P47" s="203"/>
    </row>
  </sheetData>
  <pageMargins left="0.7" right="0.7" top="0.75" bottom="0.75" header="0.3" footer="0.3"/>
  <pageSetup scale="16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52"/>
  <sheetViews>
    <sheetView zoomScale="90" zoomScaleNormal="90" workbookViewId="0">
      <selection activeCell="L23" sqref="L23"/>
    </sheetView>
  </sheetViews>
  <sheetFormatPr defaultRowHeight="12.75" x14ac:dyDescent="0.2"/>
  <cols>
    <col min="1" max="1" width="46.28515625" style="308" bestFit="1" customWidth="1"/>
    <col min="2" max="2" width="10" style="308" bestFit="1" customWidth="1"/>
    <col min="3" max="3" width="11.85546875" style="308" customWidth="1"/>
    <col min="4" max="4" width="11.28515625" style="390" customWidth="1"/>
    <col min="5" max="5" width="10" style="390" bestFit="1" customWidth="1"/>
    <col min="6" max="6" width="10" style="390" customWidth="1"/>
    <col min="7" max="7" width="11.85546875" style="390" customWidth="1"/>
    <col min="8" max="8" width="11.28515625" style="390" bestFit="1" customWidth="1"/>
    <col min="9" max="9" width="8" style="308" customWidth="1"/>
    <col min="10" max="10" width="17.28515625" style="308" customWidth="1"/>
    <col min="11" max="11" width="11.5703125" style="308" customWidth="1"/>
    <col min="12" max="12" width="11.28515625" style="308" customWidth="1"/>
    <col min="13" max="13" width="11.5703125" style="308" customWidth="1"/>
    <col min="14" max="14" width="1.5703125" style="308" customWidth="1"/>
    <col min="15" max="15" width="11.42578125" style="308" customWidth="1"/>
    <col min="16" max="16384" width="9.140625" style="308"/>
  </cols>
  <sheetData>
    <row r="1" spans="1:13" x14ac:dyDescent="0.2">
      <c r="A1" s="500" t="s">
        <v>253</v>
      </c>
      <c r="B1" s="500"/>
      <c r="C1" s="500"/>
      <c r="D1" s="500"/>
      <c r="E1" s="500"/>
      <c r="F1" s="500"/>
      <c r="G1" s="500"/>
      <c r="H1" s="500"/>
      <c r="I1" s="500"/>
      <c r="J1" s="307"/>
      <c r="K1" s="452" t="s">
        <v>283</v>
      </c>
      <c r="L1" s="307" t="s">
        <v>207</v>
      </c>
      <c r="M1" s="307" t="s">
        <v>214</v>
      </c>
    </row>
    <row r="2" spans="1:13" x14ac:dyDescent="0.2">
      <c r="A2" s="305" t="s">
        <v>230</v>
      </c>
      <c r="B2" s="305"/>
      <c r="C2" s="305"/>
      <c r="D2" s="306"/>
      <c r="E2" s="306"/>
      <c r="F2" s="306"/>
      <c r="G2" s="306"/>
      <c r="H2" s="306"/>
      <c r="I2" s="305"/>
      <c r="J2" s="308" t="s">
        <v>231</v>
      </c>
      <c r="L2" s="309">
        <v>0.1</v>
      </c>
      <c r="M2" s="309">
        <v>0.1</v>
      </c>
    </row>
    <row r="3" spans="1:13" x14ac:dyDescent="0.2">
      <c r="A3" s="501" t="s">
        <v>327</v>
      </c>
      <c r="B3" s="501"/>
      <c r="C3" s="501"/>
      <c r="D3" s="501"/>
      <c r="E3" s="501"/>
      <c r="F3" s="501"/>
      <c r="G3" s="501"/>
      <c r="H3" s="501"/>
      <c r="I3" s="501"/>
      <c r="J3" s="308" t="s">
        <v>232</v>
      </c>
      <c r="L3" s="309">
        <v>0.75</v>
      </c>
      <c r="M3" s="309">
        <v>0.75</v>
      </c>
    </row>
    <row r="4" spans="1:13" ht="15.6" customHeight="1" thickBot="1" x14ac:dyDescent="0.25">
      <c r="B4" s="310" t="s">
        <v>79</v>
      </c>
      <c r="C4" s="310" t="s">
        <v>74</v>
      </c>
      <c r="D4" s="310" t="s">
        <v>75</v>
      </c>
      <c r="E4" s="310" t="s">
        <v>76</v>
      </c>
      <c r="F4" s="310" t="s">
        <v>77</v>
      </c>
      <c r="G4" s="310" t="s">
        <v>78</v>
      </c>
      <c r="H4" s="310" t="s">
        <v>233</v>
      </c>
      <c r="I4" s="311"/>
      <c r="J4" s="312" t="s">
        <v>234</v>
      </c>
      <c r="K4" s="312" t="s">
        <v>111</v>
      </c>
      <c r="L4" s="312" t="s">
        <v>235</v>
      </c>
      <c r="M4" s="312" t="s">
        <v>236</v>
      </c>
    </row>
    <row r="5" spans="1:13" s="322" customFormat="1" ht="77.25" thickBot="1" x14ac:dyDescent="0.25">
      <c r="A5" s="313" t="s">
        <v>207</v>
      </c>
      <c r="B5" s="314" t="s">
        <v>237</v>
      </c>
      <c r="C5" s="315" t="s">
        <v>238</v>
      </c>
      <c r="D5" s="316" t="s">
        <v>239</v>
      </c>
      <c r="E5" s="316" t="s">
        <v>240</v>
      </c>
      <c r="F5" s="316" t="s">
        <v>241</v>
      </c>
      <c r="G5" s="317" t="s">
        <v>242</v>
      </c>
      <c r="H5" s="316" t="s">
        <v>243</v>
      </c>
      <c r="I5" s="318" t="s">
        <v>244</v>
      </c>
      <c r="J5" s="319" t="s">
        <v>245</v>
      </c>
      <c r="K5" s="320" t="s">
        <v>246</v>
      </c>
      <c r="L5" s="319" t="s">
        <v>247</v>
      </c>
      <c r="M5" s="321" t="s">
        <v>248</v>
      </c>
    </row>
    <row r="6" spans="1:13" s="333" customFormat="1" ht="12.75" customHeight="1" x14ac:dyDescent="0.2">
      <c r="A6" s="323" t="s">
        <v>189</v>
      </c>
      <c r="B6" s="324">
        <v>3811</v>
      </c>
      <c r="C6" s="325">
        <v>408</v>
      </c>
      <c r="D6" s="326">
        <v>476</v>
      </c>
      <c r="E6" s="326">
        <v>704</v>
      </c>
      <c r="F6" s="373">
        <v>348</v>
      </c>
      <c r="G6" s="374">
        <v>49</v>
      </c>
      <c r="H6" s="327">
        <f>SUM(D6:F6)-G6</f>
        <v>1479</v>
      </c>
      <c r="I6" s="328">
        <f t="shared" ref="I6:I21" si="0">H6/H$48</f>
        <v>8.4644880673038405E-3</v>
      </c>
      <c r="J6" s="329">
        <f t="shared" ref="J6:J36" si="1">H6*$L$2</f>
        <v>147.9</v>
      </c>
      <c r="K6" s="330">
        <f>C6*L3</f>
        <v>306</v>
      </c>
      <c r="L6" s="331">
        <f t="shared" ref="L6:L36" si="2">(B6-C6)+J6+K6</f>
        <v>3856.9</v>
      </c>
      <c r="M6" s="332">
        <f t="shared" ref="M6:M37" si="3">(L6+-B6)/B6</f>
        <v>1.2044082917869349E-2</v>
      </c>
    </row>
    <row r="7" spans="1:13" s="333" customFormat="1" x14ac:dyDescent="0.2">
      <c r="A7" s="334" t="s">
        <v>190</v>
      </c>
      <c r="B7" s="324">
        <v>11550</v>
      </c>
      <c r="C7" s="325">
        <v>2261</v>
      </c>
      <c r="D7" s="326">
        <v>1701</v>
      </c>
      <c r="E7" s="326">
        <v>3049</v>
      </c>
      <c r="F7" s="335">
        <v>2991</v>
      </c>
      <c r="G7" s="336">
        <v>768</v>
      </c>
      <c r="H7" s="337">
        <f>SUM(D7:F7)-G7</f>
        <v>6973</v>
      </c>
      <c r="I7" s="332">
        <f t="shared" si="0"/>
        <v>3.9907285526240482E-2</v>
      </c>
      <c r="J7" s="338">
        <f t="shared" si="1"/>
        <v>697.30000000000007</v>
      </c>
      <c r="K7" s="339">
        <f t="shared" ref="K7:K36" si="4">C7*$L$3</f>
        <v>1695.75</v>
      </c>
      <c r="L7" s="340">
        <f t="shared" si="2"/>
        <v>11682.05</v>
      </c>
      <c r="M7" s="332">
        <f t="shared" si="3"/>
        <v>1.1432900432900369E-2</v>
      </c>
    </row>
    <row r="8" spans="1:13" s="333" customFormat="1" x14ac:dyDescent="0.2">
      <c r="A8" s="334" t="s">
        <v>191</v>
      </c>
      <c r="B8" s="324">
        <v>2503</v>
      </c>
      <c r="C8" s="325">
        <v>178</v>
      </c>
      <c r="D8" s="326">
        <v>451</v>
      </c>
      <c r="E8" s="326">
        <v>874</v>
      </c>
      <c r="F8" s="335">
        <v>606</v>
      </c>
      <c r="G8" s="336">
        <v>73</v>
      </c>
      <c r="H8" s="337">
        <f t="shared" ref="H8:H35" si="5">SUM(D8:F8)-G8</f>
        <v>1858</v>
      </c>
      <c r="I8" s="332">
        <f t="shared" si="0"/>
        <v>1.0633548904023351E-2</v>
      </c>
      <c r="J8" s="338">
        <f t="shared" si="1"/>
        <v>185.8</v>
      </c>
      <c r="K8" s="339">
        <f t="shared" si="4"/>
        <v>133.5</v>
      </c>
      <c r="L8" s="340">
        <f t="shared" si="2"/>
        <v>2644.3</v>
      </c>
      <c r="M8" s="332">
        <f t="shared" si="3"/>
        <v>5.6452257291250571E-2</v>
      </c>
    </row>
    <row r="9" spans="1:13" s="333" customFormat="1" x14ac:dyDescent="0.2">
      <c r="A9" s="334" t="s">
        <v>7</v>
      </c>
      <c r="B9" s="324">
        <v>5331</v>
      </c>
      <c r="C9" s="325">
        <v>2088</v>
      </c>
      <c r="D9" s="326">
        <v>821</v>
      </c>
      <c r="E9" s="326">
        <v>1346</v>
      </c>
      <c r="F9" s="335">
        <v>536</v>
      </c>
      <c r="G9" s="336">
        <v>339</v>
      </c>
      <c r="H9" s="337">
        <f t="shared" si="5"/>
        <v>2364</v>
      </c>
      <c r="I9" s="332">
        <f t="shared" si="0"/>
        <v>1.3529445430092142E-2</v>
      </c>
      <c r="J9" s="338">
        <f t="shared" si="1"/>
        <v>236.4</v>
      </c>
      <c r="K9" s="339">
        <f t="shared" si="4"/>
        <v>1566</v>
      </c>
      <c r="L9" s="340">
        <f t="shared" si="2"/>
        <v>5045.3999999999996</v>
      </c>
      <c r="M9" s="332">
        <f t="shared" si="3"/>
        <v>-5.3573438379291009E-2</v>
      </c>
    </row>
    <row r="10" spans="1:13" s="333" customFormat="1" x14ac:dyDescent="0.2">
      <c r="A10" s="334" t="s">
        <v>9</v>
      </c>
      <c r="B10" s="324">
        <v>12468</v>
      </c>
      <c r="C10" s="325">
        <v>711</v>
      </c>
      <c r="D10" s="326">
        <v>2655</v>
      </c>
      <c r="E10" s="326">
        <v>4704</v>
      </c>
      <c r="F10" s="335">
        <v>5039</v>
      </c>
      <c r="G10" s="336">
        <v>262</v>
      </c>
      <c r="H10" s="337">
        <f t="shared" si="5"/>
        <v>12136</v>
      </c>
      <c r="I10" s="332">
        <f t="shared" si="0"/>
        <v>6.945573170033767E-2</v>
      </c>
      <c r="J10" s="338">
        <f t="shared" si="1"/>
        <v>1213.6000000000001</v>
      </c>
      <c r="K10" s="339">
        <f t="shared" si="4"/>
        <v>533.25</v>
      </c>
      <c r="L10" s="340">
        <f t="shared" si="2"/>
        <v>13503.85</v>
      </c>
      <c r="M10" s="332">
        <f t="shared" si="3"/>
        <v>8.3080686557587449E-2</v>
      </c>
    </row>
    <row r="11" spans="1:13" s="333" customFormat="1" x14ac:dyDescent="0.2">
      <c r="A11" s="334" t="s">
        <v>192</v>
      </c>
      <c r="B11" s="324">
        <v>3490</v>
      </c>
      <c r="C11" s="325"/>
      <c r="D11" s="326">
        <v>595</v>
      </c>
      <c r="E11" s="326">
        <v>1093</v>
      </c>
      <c r="F11" s="335">
        <v>890</v>
      </c>
      <c r="G11" s="336"/>
      <c r="H11" s="337">
        <f t="shared" si="5"/>
        <v>2578</v>
      </c>
      <c r="I11" s="332">
        <f t="shared" si="0"/>
        <v>1.4754192182224003E-2</v>
      </c>
      <c r="J11" s="338">
        <f t="shared" si="1"/>
        <v>257.8</v>
      </c>
      <c r="K11" s="339">
        <f t="shared" si="4"/>
        <v>0</v>
      </c>
      <c r="L11" s="340">
        <f t="shared" si="2"/>
        <v>3747.8</v>
      </c>
      <c r="M11" s="332">
        <f t="shared" si="3"/>
        <v>7.3868194842406934E-2</v>
      </c>
    </row>
    <row r="12" spans="1:13" s="333" customFormat="1" x14ac:dyDescent="0.2">
      <c r="A12" s="334" t="s">
        <v>221</v>
      </c>
      <c r="B12" s="324">
        <v>2324</v>
      </c>
      <c r="C12" s="325">
        <v>1366</v>
      </c>
      <c r="D12" s="326">
        <v>323</v>
      </c>
      <c r="E12" s="326">
        <v>583</v>
      </c>
      <c r="F12" s="335">
        <v>532</v>
      </c>
      <c r="G12" s="336">
        <v>264</v>
      </c>
      <c r="H12" s="337">
        <f t="shared" si="5"/>
        <v>1174</v>
      </c>
      <c r="I12" s="332">
        <f t="shared" si="0"/>
        <v>6.7189377897327301E-3</v>
      </c>
      <c r="J12" s="338">
        <f t="shared" si="1"/>
        <v>117.4</v>
      </c>
      <c r="K12" s="339">
        <f t="shared" si="4"/>
        <v>1024.5</v>
      </c>
      <c r="L12" s="340">
        <f t="shared" si="2"/>
        <v>2099.9</v>
      </c>
      <c r="M12" s="332">
        <f t="shared" si="3"/>
        <v>-9.6428571428571391E-2</v>
      </c>
    </row>
    <row r="13" spans="1:13" s="333" customFormat="1" x14ac:dyDescent="0.2">
      <c r="A13" s="334" t="s">
        <v>139</v>
      </c>
      <c r="B13" s="324">
        <v>7008</v>
      </c>
      <c r="C13" s="325">
        <v>593</v>
      </c>
      <c r="D13" s="326">
        <v>1825</v>
      </c>
      <c r="E13" s="326">
        <v>2472</v>
      </c>
      <c r="F13" s="335">
        <v>3121</v>
      </c>
      <c r="G13" s="336">
        <v>232</v>
      </c>
      <c r="H13" s="337">
        <f t="shared" si="5"/>
        <v>7186</v>
      </c>
      <c r="I13" s="332">
        <f t="shared" si="0"/>
        <v>4.112630916270818E-2</v>
      </c>
      <c r="J13" s="338">
        <f t="shared" si="1"/>
        <v>718.6</v>
      </c>
      <c r="K13" s="339">
        <f t="shared" si="4"/>
        <v>444.75</v>
      </c>
      <c r="L13" s="340">
        <f t="shared" si="2"/>
        <v>7578.35</v>
      </c>
      <c r="M13" s="332">
        <f t="shared" si="3"/>
        <v>8.138555936073065E-2</v>
      </c>
    </row>
    <row r="14" spans="1:13" s="333" customFormat="1" x14ac:dyDescent="0.2">
      <c r="A14" s="334" t="s">
        <v>193</v>
      </c>
      <c r="B14" s="324">
        <v>6369</v>
      </c>
      <c r="C14" s="325">
        <v>244</v>
      </c>
      <c r="D14" s="326">
        <v>1060</v>
      </c>
      <c r="E14" s="326">
        <v>1685</v>
      </c>
      <c r="F14" s="335">
        <v>2172</v>
      </c>
      <c r="G14" s="336">
        <v>126</v>
      </c>
      <c r="H14" s="337">
        <f t="shared" si="5"/>
        <v>4791</v>
      </c>
      <c r="I14" s="332">
        <f t="shared" si="0"/>
        <v>2.7419447147026842E-2</v>
      </c>
      <c r="J14" s="338">
        <f t="shared" si="1"/>
        <v>479.1</v>
      </c>
      <c r="K14" s="339">
        <f t="shared" si="4"/>
        <v>183</v>
      </c>
      <c r="L14" s="340">
        <f t="shared" si="2"/>
        <v>6787.1</v>
      </c>
      <c r="M14" s="332">
        <f t="shared" si="3"/>
        <v>6.5646098288585392E-2</v>
      </c>
    </row>
    <row r="15" spans="1:13" s="333" customFormat="1" x14ac:dyDescent="0.2">
      <c r="A15" s="334" t="s">
        <v>17</v>
      </c>
      <c r="B15" s="324">
        <v>7644</v>
      </c>
      <c r="C15" s="325">
        <v>1156</v>
      </c>
      <c r="D15" s="326">
        <v>982</v>
      </c>
      <c r="E15" s="326">
        <v>1790</v>
      </c>
      <c r="F15" s="335">
        <v>1029</v>
      </c>
      <c r="G15" s="336">
        <v>139</v>
      </c>
      <c r="H15" s="337">
        <f t="shared" si="5"/>
        <v>3662</v>
      </c>
      <c r="I15" s="332">
        <f t="shared" si="0"/>
        <v>2.0958049562181651E-2</v>
      </c>
      <c r="J15" s="338">
        <f t="shared" si="1"/>
        <v>366.20000000000005</v>
      </c>
      <c r="K15" s="339">
        <f t="shared" si="4"/>
        <v>867</v>
      </c>
      <c r="L15" s="340">
        <f t="shared" si="2"/>
        <v>7721.2</v>
      </c>
      <c r="M15" s="332">
        <f t="shared" si="3"/>
        <v>1.0099424385138648E-2</v>
      </c>
    </row>
    <row r="16" spans="1:13" s="333" customFormat="1" x14ac:dyDescent="0.2">
      <c r="A16" s="334" t="s">
        <v>194</v>
      </c>
      <c r="B16" s="324">
        <v>10032</v>
      </c>
      <c r="C16" s="325">
        <v>387</v>
      </c>
      <c r="D16" s="326">
        <v>2551</v>
      </c>
      <c r="E16" s="326">
        <v>4549</v>
      </c>
      <c r="F16" s="335">
        <v>5596</v>
      </c>
      <c r="G16" s="336">
        <v>218</v>
      </c>
      <c r="H16" s="337">
        <f t="shared" si="5"/>
        <v>12478</v>
      </c>
      <c r="I16" s="332">
        <f t="shared" si="0"/>
        <v>7.1413037257482978E-2</v>
      </c>
      <c r="J16" s="338">
        <f t="shared" si="1"/>
        <v>1247.8000000000002</v>
      </c>
      <c r="K16" s="339">
        <f t="shared" si="4"/>
        <v>290.25</v>
      </c>
      <c r="L16" s="340">
        <f t="shared" si="2"/>
        <v>11183.05</v>
      </c>
      <c r="M16" s="332">
        <f t="shared" si="3"/>
        <v>0.11473783891547042</v>
      </c>
    </row>
    <row r="17" spans="1:13" s="333" customFormat="1" x14ac:dyDescent="0.2">
      <c r="A17" s="334" t="s">
        <v>195</v>
      </c>
      <c r="B17" s="324">
        <v>2644</v>
      </c>
      <c r="C17" s="325">
        <v>334</v>
      </c>
      <c r="D17" s="326">
        <v>447</v>
      </c>
      <c r="E17" s="326">
        <v>717</v>
      </c>
      <c r="F17" s="335">
        <v>421</v>
      </c>
      <c r="G17" s="336">
        <v>50</v>
      </c>
      <c r="H17" s="337">
        <f t="shared" si="5"/>
        <v>1535</v>
      </c>
      <c r="I17" s="332">
        <f t="shared" si="0"/>
        <v>8.7849825444972236E-3</v>
      </c>
      <c r="J17" s="338">
        <f t="shared" si="1"/>
        <v>153.5</v>
      </c>
      <c r="K17" s="339">
        <f t="shared" si="4"/>
        <v>250.5</v>
      </c>
      <c r="L17" s="340">
        <f t="shared" si="2"/>
        <v>2714</v>
      </c>
      <c r="M17" s="332">
        <f t="shared" si="3"/>
        <v>2.6475037821482601E-2</v>
      </c>
    </row>
    <row r="18" spans="1:13" s="333" customFormat="1" x14ac:dyDescent="0.2">
      <c r="A18" s="334" t="s">
        <v>196</v>
      </c>
      <c r="B18" s="324">
        <v>7871</v>
      </c>
      <c r="C18" s="325">
        <v>1816</v>
      </c>
      <c r="D18" s="326">
        <v>1312</v>
      </c>
      <c r="E18" s="326">
        <v>2590</v>
      </c>
      <c r="F18" s="335">
        <v>1549</v>
      </c>
      <c r="G18" s="336">
        <v>240</v>
      </c>
      <c r="H18" s="337">
        <f t="shared" si="5"/>
        <v>5211</v>
      </c>
      <c r="I18" s="332">
        <f t="shared" si="0"/>
        <v>2.9823155725977223E-2</v>
      </c>
      <c r="J18" s="338">
        <f t="shared" si="1"/>
        <v>521.1</v>
      </c>
      <c r="K18" s="339">
        <f t="shared" si="4"/>
        <v>1362</v>
      </c>
      <c r="L18" s="340">
        <f t="shared" si="2"/>
        <v>7938.1</v>
      </c>
      <c r="M18" s="332">
        <f t="shared" si="3"/>
        <v>8.5249650616186466E-3</v>
      </c>
    </row>
    <row r="19" spans="1:13" s="333" customFormat="1" x14ac:dyDescent="0.2">
      <c r="A19" s="334" t="s">
        <v>223</v>
      </c>
      <c r="B19" s="324">
        <v>4782</v>
      </c>
      <c r="C19" s="325">
        <v>576</v>
      </c>
      <c r="D19" s="326">
        <v>1005</v>
      </c>
      <c r="E19" s="326">
        <v>1204</v>
      </c>
      <c r="F19" s="335">
        <v>1065</v>
      </c>
      <c r="G19" s="336">
        <v>196</v>
      </c>
      <c r="H19" s="337">
        <f t="shared" si="5"/>
        <v>3078</v>
      </c>
      <c r="I19" s="332">
        <f t="shared" si="0"/>
        <v>1.7615750014307791E-2</v>
      </c>
      <c r="J19" s="338">
        <f t="shared" si="1"/>
        <v>307.8</v>
      </c>
      <c r="K19" s="339">
        <f t="shared" si="4"/>
        <v>432</v>
      </c>
      <c r="L19" s="340">
        <f t="shared" si="2"/>
        <v>4945.8</v>
      </c>
      <c r="M19" s="332">
        <f t="shared" si="3"/>
        <v>3.4253450439146842E-2</v>
      </c>
    </row>
    <row r="20" spans="1:13" s="333" customFormat="1" x14ac:dyDescent="0.2">
      <c r="A20" s="334" t="s">
        <v>132</v>
      </c>
      <c r="B20" s="324">
        <v>14765</v>
      </c>
      <c r="C20" s="325">
        <v>942</v>
      </c>
      <c r="D20" s="326">
        <v>2836</v>
      </c>
      <c r="E20" s="326">
        <v>4392</v>
      </c>
      <c r="F20" s="335">
        <v>5744</v>
      </c>
      <c r="G20" s="336">
        <v>520</v>
      </c>
      <c r="H20" s="337">
        <f t="shared" si="5"/>
        <v>12452</v>
      </c>
      <c r="I20" s="332">
        <f t="shared" si="0"/>
        <v>7.1264236250214621E-2</v>
      </c>
      <c r="J20" s="338">
        <f t="shared" si="1"/>
        <v>1245.2</v>
      </c>
      <c r="K20" s="339">
        <f t="shared" si="4"/>
        <v>706.5</v>
      </c>
      <c r="L20" s="340">
        <f t="shared" si="2"/>
        <v>15774.7</v>
      </c>
      <c r="M20" s="332">
        <f t="shared" si="3"/>
        <v>6.8384693532001398E-2</v>
      </c>
    </row>
    <row r="21" spans="1:13" s="333" customFormat="1" x14ac:dyDescent="0.2">
      <c r="A21" s="341" t="s">
        <v>133</v>
      </c>
      <c r="B21" s="324">
        <v>9400</v>
      </c>
      <c r="C21" s="325">
        <v>594</v>
      </c>
      <c r="D21" s="326">
        <v>2043</v>
      </c>
      <c r="E21" s="326">
        <v>3289</v>
      </c>
      <c r="F21" s="335">
        <v>4592</v>
      </c>
      <c r="G21" s="336">
        <v>128</v>
      </c>
      <c r="H21" s="337">
        <f t="shared" si="5"/>
        <v>9796</v>
      </c>
      <c r="I21" s="332">
        <f t="shared" si="0"/>
        <v>5.6063641046185546E-2</v>
      </c>
      <c r="J21" s="338">
        <f t="shared" si="1"/>
        <v>979.6</v>
      </c>
      <c r="K21" s="339">
        <f t="shared" si="4"/>
        <v>445.5</v>
      </c>
      <c r="L21" s="340">
        <f t="shared" si="2"/>
        <v>10231.1</v>
      </c>
      <c r="M21" s="332">
        <f t="shared" si="3"/>
        <v>8.8414893617021317E-2</v>
      </c>
    </row>
    <row r="22" spans="1:13" s="333" customFormat="1" x14ac:dyDescent="0.2">
      <c r="A22" s="342" t="s">
        <v>63</v>
      </c>
      <c r="B22" s="343">
        <v>6239</v>
      </c>
      <c r="C22" s="344">
        <v>1255</v>
      </c>
      <c r="D22" s="345">
        <v>1039</v>
      </c>
      <c r="E22" s="345">
        <v>1984</v>
      </c>
      <c r="F22" s="345">
        <v>1263</v>
      </c>
      <c r="G22" s="344">
        <v>261</v>
      </c>
      <c r="H22" s="346">
        <f t="shared" si="5"/>
        <v>4025</v>
      </c>
      <c r="I22" s="347">
        <f t="shared" ref="I22" si="6">SUM(I23:I27)</f>
        <v>2.3035540548274482E-2</v>
      </c>
      <c r="J22" s="348">
        <f t="shared" si="1"/>
        <v>402.5</v>
      </c>
      <c r="K22" s="349">
        <f t="shared" si="4"/>
        <v>941.25</v>
      </c>
      <c r="L22" s="350">
        <f t="shared" si="2"/>
        <v>6327.75</v>
      </c>
      <c r="M22" s="332">
        <f t="shared" si="3"/>
        <v>1.422503606347171E-2</v>
      </c>
    </row>
    <row r="23" spans="1:13" s="333" customFormat="1" x14ac:dyDescent="0.2">
      <c r="A23" s="351" t="s">
        <v>224</v>
      </c>
      <c r="B23" s="324">
        <v>1468</v>
      </c>
      <c r="C23" s="325">
        <v>101</v>
      </c>
      <c r="D23" s="326">
        <v>267</v>
      </c>
      <c r="E23" s="326">
        <v>554</v>
      </c>
      <c r="F23" s="335">
        <v>263</v>
      </c>
      <c r="G23" s="336">
        <v>15</v>
      </c>
      <c r="H23" s="337">
        <f t="shared" si="5"/>
        <v>1069</v>
      </c>
      <c r="I23" s="332">
        <f t="shared" ref="I23:I36" si="7">H23/H$48</f>
        <v>6.1180106449951355E-3</v>
      </c>
      <c r="J23" s="338">
        <f t="shared" si="1"/>
        <v>106.9</v>
      </c>
      <c r="K23" s="339">
        <f t="shared" si="4"/>
        <v>75.75</v>
      </c>
      <c r="L23" s="340">
        <f t="shared" si="2"/>
        <v>1549.65</v>
      </c>
      <c r="M23" s="332">
        <f t="shared" si="3"/>
        <v>5.5619891008174452E-2</v>
      </c>
    </row>
    <row r="24" spans="1:13" s="333" customFormat="1" x14ac:dyDescent="0.2">
      <c r="A24" s="351" t="s">
        <v>225</v>
      </c>
      <c r="B24" s="324">
        <v>1681</v>
      </c>
      <c r="C24" s="325">
        <v>265</v>
      </c>
      <c r="D24" s="326">
        <v>311</v>
      </c>
      <c r="E24" s="326">
        <v>549</v>
      </c>
      <c r="F24" s="335">
        <v>357</v>
      </c>
      <c r="G24" s="336">
        <v>76</v>
      </c>
      <c r="H24" s="337">
        <f t="shared" si="5"/>
        <v>1141</v>
      </c>
      <c r="I24" s="332">
        <f t="shared" si="7"/>
        <v>6.5300749728152002E-3</v>
      </c>
      <c r="J24" s="338">
        <f t="shared" si="1"/>
        <v>114.10000000000001</v>
      </c>
      <c r="K24" s="339">
        <f t="shared" si="4"/>
        <v>198.75</v>
      </c>
      <c r="L24" s="340">
        <f t="shared" si="2"/>
        <v>1728.85</v>
      </c>
      <c r="M24" s="332">
        <f t="shared" si="3"/>
        <v>2.8465199286139147E-2</v>
      </c>
    </row>
    <row r="25" spans="1:13" s="333" customFormat="1" x14ac:dyDescent="0.2">
      <c r="A25" s="351" t="s">
        <v>226</v>
      </c>
      <c r="B25" s="324">
        <v>1744</v>
      </c>
      <c r="C25" s="325">
        <v>547</v>
      </c>
      <c r="D25" s="326">
        <v>263</v>
      </c>
      <c r="E25" s="326">
        <v>515</v>
      </c>
      <c r="F25" s="335">
        <v>333</v>
      </c>
      <c r="G25" s="336">
        <v>94</v>
      </c>
      <c r="H25" s="337">
        <f t="shared" si="5"/>
        <v>1017</v>
      </c>
      <c r="I25" s="332">
        <f t="shared" si="7"/>
        <v>5.8204086304584216E-3</v>
      </c>
      <c r="J25" s="338">
        <f t="shared" si="1"/>
        <v>101.7</v>
      </c>
      <c r="K25" s="339">
        <f t="shared" si="4"/>
        <v>410.25</v>
      </c>
      <c r="L25" s="340">
        <f t="shared" si="2"/>
        <v>1708.95</v>
      </c>
      <c r="M25" s="332">
        <f t="shared" si="3"/>
        <v>-2.0097477064220156E-2</v>
      </c>
    </row>
    <row r="26" spans="1:13" s="333" customFormat="1" x14ac:dyDescent="0.2">
      <c r="A26" s="351" t="s">
        <v>227</v>
      </c>
      <c r="B26" s="324">
        <v>446</v>
      </c>
      <c r="C26" s="325">
        <v>67</v>
      </c>
      <c r="D26" s="326">
        <v>79</v>
      </c>
      <c r="E26" s="326">
        <v>115</v>
      </c>
      <c r="F26" s="335">
        <v>129</v>
      </c>
      <c r="G26" s="336">
        <v>22</v>
      </c>
      <c r="H26" s="337">
        <f t="shared" si="5"/>
        <v>301</v>
      </c>
      <c r="I26" s="332">
        <f t="shared" si="7"/>
        <v>1.7226578149144394E-3</v>
      </c>
      <c r="J26" s="338">
        <f t="shared" si="1"/>
        <v>30.1</v>
      </c>
      <c r="K26" s="339">
        <f t="shared" si="4"/>
        <v>50.25</v>
      </c>
      <c r="L26" s="340">
        <f t="shared" si="2"/>
        <v>459.35</v>
      </c>
      <c r="M26" s="332">
        <f t="shared" si="3"/>
        <v>2.9932735426009018E-2</v>
      </c>
    </row>
    <row r="27" spans="1:13" s="333" customFormat="1" x14ac:dyDescent="0.2">
      <c r="A27" s="351" t="s">
        <v>228</v>
      </c>
      <c r="B27" s="324">
        <v>900</v>
      </c>
      <c r="C27" s="325">
        <v>275</v>
      </c>
      <c r="D27" s="326">
        <v>119</v>
      </c>
      <c r="E27" s="326">
        <v>251</v>
      </c>
      <c r="F27" s="335">
        <v>181</v>
      </c>
      <c r="G27" s="336">
        <v>54</v>
      </c>
      <c r="H27" s="337">
        <f t="shared" si="5"/>
        <v>497</v>
      </c>
      <c r="I27" s="332">
        <f t="shared" si="7"/>
        <v>2.8443884850912838E-3</v>
      </c>
      <c r="J27" s="338">
        <f t="shared" si="1"/>
        <v>49.7</v>
      </c>
      <c r="K27" s="339">
        <f t="shared" si="4"/>
        <v>206.25</v>
      </c>
      <c r="L27" s="340">
        <f t="shared" si="2"/>
        <v>880.95</v>
      </c>
      <c r="M27" s="332">
        <f t="shared" si="3"/>
        <v>-2.1166666666666615E-2</v>
      </c>
    </row>
    <row r="28" spans="1:13" s="333" customFormat="1" x14ac:dyDescent="0.2">
      <c r="A28" s="334" t="s">
        <v>229</v>
      </c>
      <c r="B28" s="324">
        <v>4668</v>
      </c>
      <c r="C28" s="325">
        <v>460</v>
      </c>
      <c r="D28" s="326">
        <v>803</v>
      </c>
      <c r="E28" s="326">
        <v>1394</v>
      </c>
      <c r="F28" s="335">
        <v>872</v>
      </c>
      <c r="G28" s="336">
        <v>100</v>
      </c>
      <c r="H28" s="337">
        <f t="shared" si="5"/>
        <v>2969</v>
      </c>
      <c r="I28" s="332">
        <f t="shared" si="7"/>
        <v>1.6991930406913523E-2</v>
      </c>
      <c r="J28" s="338">
        <f t="shared" si="1"/>
        <v>296.90000000000003</v>
      </c>
      <c r="K28" s="339">
        <f t="shared" si="4"/>
        <v>345</v>
      </c>
      <c r="L28" s="340">
        <f t="shared" si="2"/>
        <v>4849.8999999999996</v>
      </c>
      <c r="M28" s="332">
        <f t="shared" si="3"/>
        <v>3.8967437874892812E-2</v>
      </c>
    </row>
    <row r="29" spans="1:13" s="333" customFormat="1" x14ac:dyDescent="0.2">
      <c r="A29" s="334" t="s">
        <v>203</v>
      </c>
      <c r="B29" s="324">
        <v>1890</v>
      </c>
      <c r="C29" s="325">
        <v>0</v>
      </c>
      <c r="D29" s="326">
        <v>336</v>
      </c>
      <c r="E29" s="326">
        <v>530</v>
      </c>
      <c r="F29" s="335">
        <v>354</v>
      </c>
      <c r="G29" s="336"/>
      <c r="H29" s="337">
        <f t="shared" si="5"/>
        <v>1220</v>
      </c>
      <c r="I29" s="332">
        <f t="shared" si="7"/>
        <v>6.9822011102844391E-3</v>
      </c>
      <c r="J29" s="338">
        <f t="shared" si="1"/>
        <v>122</v>
      </c>
      <c r="K29" s="339">
        <f t="shared" si="4"/>
        <v>0</v>
      </c>
      <c r="L29" s="340">
        <f t="shared" si="2"/>
        <v>2012</v>
      </c>
      <c r="M29" s="332">
        <f t="shared" si="3"/>
        <v>6.4550264550264552E-2</v>
      </c>
    </row>
    <row r="30" spans="1:13" s="333" customFormat="1" x14ac:dyDescent="0.2">
      <c r="A30" s="334" t="s">
        <v>204</v>
      </c>
      <c r="B30" s="324">
        <v>2617</v>
      </c>
      <c r="C30" s="325">
        <v>1357</v>
      </c>
      <c r="D30" s="326">
        <v>454</v>
      </c>
      <c r="E30" s="326">
        <v>503</v>
      </c>
      <c r="F30" s="335">
        <v>369</v>
      </c>
      <c r="G30" s="336">
        <v>311</v>
      </c>
      <c r="H30" s="337">
        <f t="shared" si="5"/>
        <v>1015</v>
      </c>
      <c r="I30" s="332">
        <f t="shared" si="7"/>
        <v>5.8089623991300866E-3</v>
      </c>
      <c r="J30" s="338">
        <f t="shared" si="1"/>
        <v>101.5</v>
      </c>
      <c r="K30" s="339">
        <f t="shared" si="4"/>
        <v>1017.75</v>
      </c>
      <c r="L30" s="340">
        <f t="shared" si="2"/>
        <v>2379.25</v>
      </c>
      <c r="M30" s="332">
        <f t="shared" si="3"/>
        <v>-9.0848299579671374E-2</v>
      </c>
    </row>
    <row r="31" spans="1:13" s="333" customFormat="1" x14ac:dyDescent="0.2">
      <c r="A31" s="334" t="s">
        <v>36</v>
      </c>
      <c r="B31" s="324">
        <v>4492</v>
      </c>
      <c r="C31" s="325">
        <v>166</v>
      </c>
      <c r="D31" s="326">
        <v>890</v>
      </c>
      <c r="E31" s="326">
        <v>1512</v>
      </c>
      <c r="F31" s="335">
        <v>745</v>
      </c>
      <c r="G31" s="336">
        <v>25</v>
      </c>
      <c r="H31" s="337">
        <f t="shared" si="5"/>
        <v>3122</v>
      </c>
      <c r="I31" s="332">
        <f t="shared" si="7"/>
        <v>1.7867567103531164E-2</v>
      </c>
      <c r="J31" s="338">
        <f t="shared" si="1"/>
        <v>312.20000000000005</v>
      </c>
      <c r="K31" s="339">
        <f t="shared" si="4"/>
        <v>124.5</v>
      </c>
      <c r="L31" s="340">
        <f t="shared" si="2"/>
        <v>4762.7</v>
      </c>
      <c r="M31" s="332">
        <f t="shared" si="3"/>
        <v>6.0262689225289365E-2</v>
      </c>
    </row>
    <row r="32" spans="1:13" s="333" customFormat="1" x14ac:dyDescent="0.2">
      <c r="A32" s="334" t="s">
        <v>131</v>
      </c>
      <c r="B32" s="324">
        <v>4609</v>
      </c>
      <c r="C32" s="325">
        <v>937</v>
      </c>
      <c r="D32" s="326">
        <v>991</v>
      </c>
      <c r="E32" s="326">
        <v>1269</v>
      </c>
      <c r="F32" s="335">
        <v>1097</v>
      </c>
      <c r="G32" s="336">
        <v>269</v>
      </c>
      <c r="H32" s="337">
        <f t="shared" si="5"/>
        <v>3088</v>
      </c>
      <c r="I32" s="332">
        <f t="shared" si="7"/>
        <v>1.7672981170949464E-2</v>
      </c>
      <c r="J32" s="338">
        <f t="shared" si="1"/>
        <v>308.8</v>
      </c>
      <c r="K32" s="339">
        <f t="shared" si="4"/>
        <v>702.75</v>
      </c>
      <c r="L32" s="340">
        <f t="shared" si="2"/>
        <v>4683.55</v>
      </c>
      <c r="M32" s="332">
        <f t="shared" si="3"/>
        <v>1.6174875244087693E-2</v>
      </c>
    </row>
    <row r="33" spans="1:20" s="333" customFormat="1" x14ac:dyDescent="0.2">
      <c r="A33" s="334" t="s">
        <v>205</v>
      </c>
      <c r="B33" s="324">
        <v>6983</v>
      </c>
      <c r="C33" s="325">
        <v>200</v>
      </c>
      <c r="D33" s="326">
        <v>1394</v>
      </c>
      <c r="E33" s="326">
        <v>2473</v>
      </c>
      <c r="F33" s="335">
        <v>1979</v>
      </c>
      <c r="G33" s="336">
        <v>69</v>
      </c>
      <c r="H33" s="337">
        <f t="shared" si="5"/>
        <v>5777</v>
      </c>
      <c r="I33" s="332">
        <f t="shared" si="7"/>
        <v>3.3062439191896068E-2</v>
      </c>
      <c r="J33" s="338">
        <f t="shared" si="1"/>
        <v>577.70000000000005</v>
      </c>
      <c r="K33" s="339">
        <f t="shared" si="4"/>
        <v>150</v>
      </c>
      <c r="L33" s="340">
        <f t="shared" si="2"/>
        <v>7510.7</v>
      </c>
      <c r="M33" s="332">
        <f t="shared" si="3"/>
        <v>7.5569239581841585E-2</v>
      </c>
    </row>
    <row r="34" spans="1:20" s="333" customFormat="1" ht="12.75" customHeight="1" x14ac:dyDescent="0.2">
      <c r="A34" s="323" t="s">
        <v>206</v>
      </c>
      <c r="B34" s="324">
        <v>5608</v>
      </c>
      <c r="C34" s="325">
        <v>40</v>
      </c>
      <c r="D34" s="326">
        <v>1242</v>
      </c>
      <c r="E34" s="326">
        <v>2476</v>
      </c>
      <c r="F34" s="335">
        <v>1532</v>
      </c>
      <c r="G34" s="336">
        <v>8</v>
      </c>
      <c r="H34" s="337">
        <f t="shared" si="5"/>
        <v>5242</v>
      </c>
      <c r="I34" s="332">
        <f t="shared" si="7"/>
        <v>3.0000572311566418E-2</v>
      </c>
      <c r="J34" s="338">
        <f t="shared" si="1"/>
        <v>524.20000000000005</v>
      </c>
      <c r="K34" s="339">
        <f t="shared" si="4"/>
        <v>30</v>
      </c>
      <c r="L34" s="340">
        <f t="shared" si="2"/>
        <v>6122.2</v>
      </c>
      <c r="M34" s="332">
        <f t="shared" si="3"/>
        <v>9.1690442225392257E-2</v>
      </c>
    </row>
    <row r="35" spans="1:20" s="333" customFormat="1" x14ac:dyDescent="0.2">
      <c r="A35" s="334" t="s">
        <v>70</v>
      </c>
      <c r="B35" s="324">
        <v>9993</v>
      </c>
      <c r="C35" s="325">
        <v>550</v>
      </c>
      <c r="D35" s="326">
        <v>2913</v>
      </c>
      <c r="E35" s="326">
        <v>4599</v>
      </c>
      <c r="F35" s="335">
        <v>6433</v>
      </c>
      <c r="G35" s="336">
        <v>578</v>
      </c>
      <c r="H35" s="337">
        <f t="shared" si="5"/>
        <v>13367</v>
      </c>
      <c r="I35" s="332">
        <f t="shared" si="7"/>
        <v>7.6500887082927946E-2</v>
      </c>
      <c r="J35" s="338">
        <f t="shared" si="1"/>
        <v>1336.7</v>
      </c>
      <c r="K35" s="339">
        <f t="shared" si="4"/>
        <v>412.5</v>
      </c>
      <c r="L35" s="340">
        <f t="shared" si="2"/>
        <v>11192.2</v>
      </c>
      <c r="M35" s="332">
        <f t="shared" si="3"/>
        <v>0.12000400280196144</v>
      </c>
    </row>
    <row r="36" spans="1:20" s="333" customFormat="1" ht="13.5" thickBot="1" x14ac:dyDescent="0.25">
      <c r="A36" s="352" t="s">
        <v>117</v>
      </c>
      <c r="B36" s="324">
        <v>4475</v>
      </c>
      <c r="C36" s="325">
        <v>132</v>
      </c>
      <c r="D36" s="326">
        <v>900</v>
      </c>
      <c r="E36" s="326">
        <v>1612</v>
      </c>
      <c r="F36" s="335">
        <v>955</v>
      </c>
      <c r="G36" s="336">
        <v>43</v>
      </c>
      <c r="H36" s="337">
        <f>SUM(D36:F36)-G36</f>
        <v>3424</v>
      </c>
      <c r="I36" s="353">
        <f t="shared" si="7"/>
        <v>1.9595948034109769E-2</v>
      </c>
      <c r="J36" s="338">
        <f t="shared" si="1"/>
        <v>342.40000000000003</v>
      </c>
      <c r="K36" s="354">
        <f t="shared" si="4"/>
        <v>99</v>
      </c>
      <c r="L36" s="340">
        <f t="shared" si="2"/>
        <v>4784.3999999999996</v>
      </c>
      <c r="M36" s="332">
        <f t="shared" si="3"/>
        <v>6.9139664804469189E-2</v>
      </c>
    </row>
    <row r="37" spans="1:20" s="360" customFormat="1" ht="13.5" thickBot="1" x14ac:dyDescent="0.25">
      <c r="A37" s="355" t="s">
        <v>249</v>
      </c>
      <c r="B37" s="356">
        <f>SUM(B6:B22,B28:B36)</f>
        <v>163566</v>
      </c>
      <c r="C37" s="357">
        <f>SUM(C6:C22,C28:C36)</f>
        <v>18751</v>
      </c>
      <c r="D37" s="358">
        <f t="shared" ref="D37:L37" si="8">SUM(D6:D22,D28:D36)</f>
        <v>32045</v>
      </c>
      <c r="E37" s="358">
        <f t="shared" si="8"/>
        <v>53393</v>
      </c>
      <c r="F37" s="358">
        <f t="shared" si="8"/>
        <v>51830</v>
      </c>
      <c r="G37" s="357">
        <f t="shared" si="8"/>
        <v>5268</v>
      </c>
      <c r="H37" s="358">
        <f t="shared" si="8"/>
        <v>132000</v>
      </c>
      <c r="I37" s="359">
        <f>SUM(I6:I22,I28:I36)</f>
        <v>0.75545126767011972</v>
      </c>
      <c r="J37" s="356">
        <f t="shared" si="8"/>
        <v>13200.000000000002</v>
      </c>
      <c r="K37" s="357">
        <f t="shared" si="8"/>
        <v>14063.25</v>
      </c>
      <c r="L37" s="356">
        <f t="shared" si="8"/>
        <v>172078.25000000003</v>
      </c>
      <c r="M37" s="332">
        <f t="shared" si="3"/>
        <v>5.20416834794519E-2</v>
      </c>
      <c r="N37" s="333"/>
      <c r="O37" s="333"/>
      <c r="P37" s="333"/>
      <c r="Q37" s="333"/>
      <c r="R37" s="333"/>
      <c r="S37" s="333"/>
      <c r="T37" s="333"/>
    </row>
    <row r="38" spans="1:20" s="333" customFormat="1" ht="13.5" thickBot="1" x14ac:dyDescent="0.25">
      <c r="A38" s="361"/>
      <c r="B38" s="362"/>
      <c r="C38" s="362"/>
      <c r="D38" s="363"/>
      <c r="E38" s="363"/>
      <c r="F38" s="363"/>
      <c r="G38" s="363"/>
      <c r="H38" s="364"/>
      <c r="I38" s="365"/>
      <c r="M38" s="365"/>
    </row>
    <row r="39" spans="1:20" s="371" customFormat="1" ht="13.5" thickBot="1" x14ac:dyDescent="0.25">
      <c r="A39" s="366" t="s">
        <v>214</v>
      </c>
      <c r="B39" s="367"/>
      <c r="C39" s="367"/>
      <c r="D39" s="368"/>
      <c r="E39" s="368"/>
      <c r="F39" s="369"/>
      <c r="G39" s="369"/>
      <c r="H39" s="370"/>
      <c r="I39" s="365"/>
      <c r="M39" s="365"/>
    </row>
    <row r="40" spans="1:20" s="333" customFormat="1" x14ac:dyDescent="0.2">
      <c r="A40" s="372" t="s">
        <v>208</v>
      </c>
      <c r="B40" s="324">
        <v>6354</v>
      </c>
      <c r="C40" s="325">
        <v>404</v>
      </c>
      <c r="D40" s="326">
        <v>841</v>
      </c>
      <c r="E40" s="326">
        <v>1898</v>
      </c>
      <c r="F40" s="373">
        <v>820</v>
      </c>
      <c r="G40" s="374">
        <v>39</v>
      </c>
      <c r="H40" s="375">
        <f t="shared" ref="H40:H46" si="9">SUM(D40:F40)-G40</f>
        <v>3520</v>
      </c>
      <c r="I40" s="328">
        <f t="shared" ref="I40:I46" si="10">H40/H$48</f>
        <v>2.0145367137869855E-2</v>
      </c>
      <c r="J40" s="338">
        <f t="shared" ref="J40:J46" si="11">H40*$M$2</f>
        <v>352</v>
      </c>
      <c r="K40" s="354">
        <f t="shared" ref="K40:K46" si="12">C40*$L$3</f>
        <v>303</v>
      </c>
      <c r="L40" s="340">
        <f t="shared" ref="L40:L46" si="13">(B40-C40)+J40+K40</f>
        <v>6605</v>
      </c>
      <c r="M40" s="332">
        <f t="shared" ref="M40:M48" si="14">(L40+-B40)/B40</f>
        <v>3.9502675480012593E-2</v>
      </c>
    </row>
    <row r="41" spans="1:20" s="333" customFormat="1" x14ac:dyDescent="0.2">
      <c r="A41" s="334" t="s">
        <v>140</v>
      </c>
      <c r="B41" s="324">
        <v>10575</v>
      </c>
      <c r="C41" s="325"/>
      <c r="D41" s="326">
        <v>2458</v>
      </c>
      <c r="E41" s="326">
        <v>4537</v>
      </c>
      <c r="F41" s="335">
        <v>4859</v>
      </c>
      <c r="G41" s="336"/>
      <c r="H41" s="337">
        <f t="shared" si="9"/>
        <v>11854</v>
      </c>
      <c r="I41" s="332">
        <f t="shared" si="10"/>
        <v>6.7841813083042407E-2</v>
      </c>
      <c r="J41" s="338">
        <f t="shared" si="11"/>
        <v>1185.4000000000001</v>
      </c>
      <c r="K41" s="354">
        <f t="shared" si="12"/>
        <v>0</v>
      </c>
      <c r="L41" s="340">
        <f t="shared" si="13"/>
        <v>11760.4</v>
      </c>
      <c r="M41" s="332">
        <f t="shared" si="14"/>
        <v>0.11209456264775411</v>
      </c>
    </row>
    <row r="42" spans="1:20" s="333" customFormat="1" x14ac:dyDescent="0.2">
      <c r="A42" s="334" t="s">
        <v>209</v>
      </c>
      <c r="B42" s="324">
        <v>17357</v>
      </c>
      <c r="C42" s="325">
        <v>1086</v>
      </c>
      <c r="D42" s="326">
        <v>2112</v>
      </c>
      <c r="E42" s="326">
        <v>3899</v>
      </c>
      <c r="F42" s="335">
        <v>2823</v>
      </c>
      <c r="G42" s="336">
        <v>243</v>
      </c>
      <c r="H42" s="337">
        <f t="shared" si="9"/>
        <v>8591</v>
      </c>
      <c r="I42" s="332">
        <f t="shared" si="10"/>
        <v>4.9167286670863619E-2</v>
      </c>
      <c r="J42" s="338">
        <f t="shared" si="11"/>
        <v>859.1</v>
      </c>
      <c r="K42" s="339">
        <f t="shared" si="12"/>
        <v>814.5</v>
      </c>
      <c r="L42" s="340">
        <f t="shared" si="13"/>
        <v>17944.599999999999</v>
      </c>
      <c r="M42" s="332">
        <f t="shared" si="14"/>
        <v>3.3853776574292706E-2</v>
      </c>
    </row>
    <row r="43" spans="1:20" s="333" customFormat="1" x14ac:dyDescent="0.2">
      <c r="A43" s="334" t="s">
        <v>210</v>
      </c>
      <c r="B43" s="324">
        <v>7534</v>
      </c>
      <c r="C43" s="325"/>
      <c r="D43" s="326">
        <v>895</v>
      </c>
      <c r="E43" s="326">
        <v>1744</v>
      </c>
      <c r="F43" s="335">
        <v>938</v>
      </c>
      <c r="G43" s="336"/>
      <c r="H43" s="337">
        <f t="shared" si="9"/>
        <v>3577</v>
      </c>
      <c r="I43" s="332">
        <f t="shared" si="10"/>
        <v>2.0471584730727407E-2</v>
      </c>
      <c r="J43" s="338">
        <f t="shared" si="11"/>
        <v>357.70000000000005</v>
      </c>
      <c r="K43" s="339">
        <f t="shared" si="12"/>
        <v>0</v>
      </c>
      <c r="L43" s="340">
        <f t="shared" si="13"/>
        <v>7891.7</v>
      </c>
      <c r="M43" s="332">
        <f t="shared" si="14"/>
        <v>4.7478099283249246E-2</v>
      </c>
    </row>
    <row r="44" spans="1:20" s="333" customFormat="1" x14ac:dyDescent="0.2">
      <c r="A44" s="334" t="s">
        <v>211</v>
      </c>
      <c r="B44" s="324">
        <v>16326</v>
      </c>
      <c r="C44" s="325">
        <v>3270</v>
      </c>
      <c r="D44" s="326">
        <v>2282</v>
      </c>
      <c r="E44" s="326">
        <v>4006</v>
      </c>
      <c r="F44" s="335">
        <v>3113</v>
      </c>
      <c r="G44" s="336">
        <v>582</v>
      </c>
      <c r="H44" s="337">
        <f t="shared" si="9"/>
        <v>8819</v>
      </c>
      <c r="I44" s="332">
        <f t="shared" si="10"/>
        <v>5.0472157042293825E-2</v>
      </c>
      <c r="J44" s="338">
        <f t="shared" si="11"/>
        <v>881.90000000000009</v>
      </c>
      <c r="K44" s="339">
        <f t="shared" si="12"/>
        <v>2452.5</v>
      </c>
      <c r="L44" s="340">
        <f t="shared" si="13"/>
        <v>16390.400000000001</v>
      </c>
      <c r="M44" s="332">
        <f t="shared" si="14"/>
        <v>3.944628200416603E-3</v>
      </c>
    </row>
    <row r="45" spans="1:20" s="333" customFormat="1" x14ac:dyDescent="0.2">
      <c r="A45" s="334" t="s">
        <v>212</v>
      </c>
      <c r="B45" s="324">
        <v>8718</v>
      </c>
      <c r="C45" s="325">
        <v>5527</v>
      </c>
      <c r="D45" s="326">
        <v>890</v>
      </c>
      <c r="E45" s="326">
        <v>929</v>
      </c>
      <c r="F45" s="335">
        <v>970</v>
      </c>
      <c r="G45" s="336">
        <v>910</v>
      </c>
      <c r="H45" s="337">
        <f t="shared" si="9"/>
        <v>1879</v>
      </c>
      <c r="I45" s="332">
        <f t="shared" si="10"/>
        <v>1.0753734332970869E-2</v>
      </c>
      <c r="J45" s="338">
        <f t="shared" si="11"/>
        <v>187.9</v>
      </c>
      <c r="K45" s="339">
        <f t="shared" si="12"/>
        <v>4145.25</v>
      </c>
      <c r="L45" s="340">
        <f t="shared" si="13"/>
        <v>7524.15</v>
      </c>
      <c r="M45" s="332">
        <f t="shared" si="14"/>
        <v>-0.13694081211286996</v>
      </c>
    </row>
    <row r="46" spans="1:20" s="333" customFormat="1" ht="13.5" thickBot="1" x14ac:dyDescent="0.25">
      <c r="A46" s="352" t="s">
        <v>213</v>
      </c>
      <c r="B46" s="324">
        <v>8856</v>
      </c>
      <c r="C46" s="325"/>
      <c r="D46" s="326">
        <v>1085</v>
      </c>
      <c r="E46" s="326">
        <v>2276</v>
      </c>
      <c r="F46" s="335">
        <v>1129</v>
      </c>
      <c r="G46" s="336"/>
      <c r="H46" s="337">
        <f t="shared" si="9"/>
        <v>4490</v>
      </c>
      <c r="I46" s="376">
        <f t="shared" si="10"/>
        <v>2.5696789332112401E-2</v>
      </c>
      <c r="J46" s="338">
        <f t="shared" si="11"/>
        <v>449</v>
      </c>
      <c r="K46" s="354">
        <f t="shared" si="12"/>
        <v>0</v>
      </c>
      <c r="L46" s="340">
        <f t="shared" si="13"/>
        <v>9305</v>
      </c>
      <c r="M46" s="332">
        <f t="shared" si="14"/>
        <v>5.0700090334236676E-2</v>
      </c>
    </row>
    <row r="47" spans="1:20" s="360" customFormat="1" ht="13.5" thickBot="1" x14ac:dyDescent="0.25">
      <c r="A47" s="355" t="s">
        <v>250</v>
      </c>
      <c r="B47" s="356">
        <f t="shared" ref="B47:K47" si="15">SUM(B40:B46)</f>
        <v>75720</v>
      </c>
      <c r="C47" s="357">
        <f t="shared" si="15"/>
        <v>10287</v>
      </c>
      <c r="D47" s="358">
        <f t="shared" si="15"/>
        <v>10563</v>
      </c>
      <c r="E47" s="358">
        <f t="shared" si="15"/>
        <v>19289</v>
      </c>
      <c r="F47" s="358">
        <f t="shared" si="15"/>
        <v>14652</v>
      </c>
      <c r="G47" s="357">
        <f t="shared" si="15"/>
        <v>1774</v>
      </c>
      <c r="H47" s="358">
        <f t="shared" si="15"/>
        <v>42730</v>
      </c>
      <c r="I47" s="359">
        <f t="shared" si="15"/>
        <v>0.24454873232988036</v>
      </c>
      <c r="J47" s="356">
        <f t="shared" si="15"/>
        <v>4273</v>
      </c>
      <c r="K47" s="357">
        <f t="shared" si="15"/>
        <v>7715.25</v>
      </c>
      <c r="L47" s="377">
        <f>SUM(L40:L46)</f>
        <v>77421.25</v>
      </c>
      <c r="M47" s="332">
        <f t="shared" si="14"/>
        <v>2.2467643951399895E-2</v>
      </c>
    </row>
    <row r="48" spans="1:20" s="360" customFormat="1" ht="13.5" thickBot="1" x14ac:dyDescent="0.25">
      <c r="A48" s="378" t="s">
        <v>251</v>
      </c>
      <c r="B48" s="379">
        <f t="shared" ref="B48:L48" si="16">B37+B47</f>
        <v>239286</v>
      </c>
      <c r="C48" s="380">
        <f t="shared" si="16"/>
        <v>29038</v>
      </c>
      <c r="D48" s="381">
        <f t="shared" si="16"/>
        <v>42608</v>
      </c>
      <c r="E48" s="381">
        <f t="shared" si="16"/>
        <v>72682</v>
      </c>
      <c r="F48" s="381">
        <f t="shared" si="16"/>
        <v>66482</v>
      </c>
      <c r="G48" s="380">
        <f>G37+G47</f>
        <v>7042</v>
      </c>
      <c r="H48" s="381">
        <f t="shared" si="16"/>
        <v>174730</v>
      </c>
      <c r="I48" s="382">
        <f t="shared" si="16"/>
        <v>1</v>
      </c>
      <c r="J48" s="356">
        <f t="shared" si="16"/>
        <v>17473</v>
      </c>
      <c r="K48" s="357">
        <f t="shared" si="16"/>
        <v>21778.5</v>
      </c>
      <c r="L48" s="356">
        <f t="shared" si="16"/>
        <v>249499.50000000003</v>
      </c>
      <c r="M48" s="332">
        <f t="shared" si="14"/>
        <v>4.2683232617035806E-2</v>
      </c>
    </row>
    <row r="49" spans="1:12" ht="13.5" hidden="1" thickBot="1" x14ac:dyDescent="0.25">
      <c r="A49" s="383" t="s">
        <v>252</v>
      </c>
      <c r="B49" s="384"/>
      <c r="C49" s="385"/>
      <c r="D49" s="386"/>
      <c r="E49" s="386"/>
      <c r="F49" s="386"/>
      <c r="G49" s="386"/>
      <c r="H49" s="386"/>
      <c r="I49" s="387"/>
      <c r="J49" s="388"/>
      <c r="K49" s="389"/>
    </row>
    <row r="51" spans="1:12" x14ac:dyDescent="0.2">
      <c r="A51" s="16" t="s">
        <v>329</v>
      </c>
    </row>
    <row r="52" spans="1:12" x14ac:dyDescent="0.2">
      <c r="A52" s="129"/>
      <c r="L52" s="391"/>
    </row>
  </sheetData>
  <mergeCells count="2">
    <mergeCell ref="A1:I1"/>
    <mergeCell ref="A3:I3"/>
  </mergeCells>
  <pageMargins left="0.7" right="0.7" top="0.75" bottom="0.75" header="0.3" footer="0.3"/>
  <pageSetup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39997558519241921"/>
  </sheetPr>
  <dimension ref="A1:K49"/>
  <sheetViews>
    <sheetView zoomScale="80" workbookViewId="0">
      <selection activeCell="I10" sqref="I9:I10"/>
    </sheetView>
  </sheetViews>
  <sheetFormatPr defaultRowHeight="15" customHeight="1" x14ac:dyDescent="0.2"/>
  <cols>
    <col min="1" max="1" width="7.28515625" style="54" customWidth="1"/>
    <col min="2" max="2" width="30.28515625" style="54" customWidth="1"/>
    <col min="3" max="3" width="10.85546875" style="54" customWidth="1"/>
    <col min="4" max="4" width="12.85546875" style="54" customWidth="1"/>
    <col min="5" max="5" width="10.7109375" style="54" customWidth="1"/>
    <col min="6" max="6" width="12.85546875" style="54" customWidth="1"/>
    <col min="7" max="7" width="14.140625" style="54" customWidth="1"/>
    <col min="8" max="8" width="14.7109375" style="107" customWidth="1"/>
    <col min="9" max="9" width="9.140625" style="54"/>
    <col min="10" max="12" width="9.140625" style="54" customWidth="1"/>
    <col min="13" max="16384" width="9.140625" style="54"/>
  </cols>
  <sheetData>
    <row r="1" spans="1:10" ht="15" customHeight="1" x14ac:dyDescent="0.25">
      <c r="A1" s="106" t="s">
        <v>254</v>
      </c>
      <c r="G1" s="106"/>
      <c r="H1" s="453" t="s">
        <v>284</v>
      </c>
    </row>
    <row r="2" spans="1:10" ht="15" customHeight="1" x14ac:dyDescent="0.2">
      <c r="A2" s="108" t="s">
        <v>104</v>
      </c>
      <c r="G2" s="108"/>
      <c r="I2" s="87"/>
    </row>
    <row r="3" spans="1:10" ht="15" customHeight="1" x14ac:dyDescent="0.2">
      <c r="A3" s="87" t="s">
        <v>321</v>
      </c>
      <c r="G3" s="109"/>
    </row>
    <row r="4" spans="1:10" ht="12.75" x14ac:dyDescent="0.2">
      <c r="A4" s="58"/>
      <c r="B4" s="58"/>
      <c r="C4" s="58"/>
      <c r="D4" s="91"/>
      <c r="E4" s="91"/>
      <c r="F4" s="91"/>
      <c r="G4" s="110"/>
      <c r="H4" s="111"/>
    </row>
    <row r="5" spans="1:10" ht="34.5" customHeight="1" x14ac:dyDescent="0.2">
      <c r="A5" s="112"/>
      <c r="B5" s="113"/>
      <c r="C5" s="197"/>
      <c r="D5" s="505" t="s">
        <v>105</v>
      </c>
      <c r="E5" s="505" t="s">
        <v>106</v>
      </c>
      <c r="F5" s="502" t="s">
        <v>107</v>
      </c>
      <c r="G5" s="505" t="s">
        <v>119</v>
      </c>
      <c r="H5" s="505" t="s">
        <v>66</v>
      </c>
    </row>
    <row r="6" spans="1:10" ht="15.75" customHeight="1" x14ac:dyDescent="0.2">
      <c r="A6" s="114"/>
      <c r="B6" s="114"/>
      <c r="C6" s="198" t="s">
        <v>320</v>
      </c>
      <c r="D6" s="505"/>
      <c r="E6" s="505"/>
      <c r="F6" s="503"/>
      <c r="G6" s="506"/>
      <c r="H6" s="507"/>
    </row>
    <row r="7" spans="1:10" ht="15.75" customHeight="1" x14ac:dyDescent="0.2">
      <c r="A7" s="115" t="s">
        <v>0</v>
      </c>
      <c r="B7" s="115" t="s">
        <v>83</v>
      </c>
      <c r="C7" s="115" t="s">
        <v>108</v>
      </c>
      <c r="D7" s="97">
        <v>5</v>
      </c>
      <c r="E7" s="100">
        <v>50000</v>
      </c>
      <c r="F7" s="504"/>
      <c r="G7" s="506"/>
      <c r="H7" s="508"/>
    </row>
    <row r="8" spans="1:10" s="58" customFormat="1" ht="15" customHeight="1" x14ac:dyDescent="0.2">
      <c r="B8" s="91"/>
      <c r="C8" s="91"/>
      <c r="D8" s="98"/>
      <c r="E8" s="101"/>
      <c r="F8" s="116"/>
      <c r="G8" s="117"/>
      <c r="H8" s="118"/>
    </row>
    <row r="9" spans="1:10" ht="15" customHeight="1" x14ac:dyDescent="0.2">
      <c r="A9" s="10" t="s">
        <v>2</v>
      </c>
      <c r="B9" s="121" t="s">
        <v>128</v>
      </c>
      <c r="C9" s="93">
        <v>493480</v>
      </c>
      <c r="D9" s="96">
        <f t="shared" ref="D9:D38" si="0">C9*$D$7</f>
        <v>2467400</v>
      </c>
      <c r="E9" s="96"/>
      <c r="F9" s="96">
        <f>D9+E9</f>
        <v>2467400</v>
      </c>
      <c r="G9" s="119">
        <f>'Revenue Offset'!G8</f>
        <v>0.44402401863866087</v>
      </c>
      <c r="H9" s="120">
        <f t="shared" ref="H9:H38" si="1">F9*(1-G9)</f>
        <v>1371815.1364109684</v>
      </c>
      <c r="J9" s="203"/>
    </row>
    <row r="10" spans="1:10" ht="15" customHeight="1" x14ac:dyDescent="0.2">
      <c r="A10" s="10" t="s">
        <v>4</v>
      </c>
      <c r="B10" s="121" t="s">
        <v>124</v>
      </c>
      <c r="C10" s="93">
        <f>323839+113712+419337</f>
        <v>856888</v>
      </c>
      <c r="D10" s="96">
        <f t="shared" si="0"/>
        <v>4284440</v>
      </c>
      <c r="E10" s="96">
        <v>100000</v>
      </c>
      <c r="F10" s="96">
        <f t="shared" ref="F10:F38" si="2">D10+E10</f>
        <v>4384440</v>
      </c>
      <c r="G10" s="119">
        <f>'Revenue Offset'!G9</f>
        <v>0.52294831349281878</v>
      </c>
      <c r="H10" s="120">
        <f t="shared" si="1"/>
        <v>2091604.4963895455</v>
      </c>
      <c r="J10" s="203"/>
    </row>
    <row r="11" spans="1:10" ht="15" customHeight="1" x14ac:dyDescent="0.2">
      <c r="A11" s="10" t="s">
        <v>5</v>
      </c>
      <c r="B11" s="121" t="s">
        <v>113</v>
      </c>
      <c r="C11" s="93">
        <f>925103+97053</f>
        <v>1022156</v>
      </c>
      <c r="D11" s="96">
        <f t="shared" si="0"/>
        <v>5110780</v>
      </c>
      <c r="E11" s="96">
        <v>50000</v>
      </c>
      <c r="F11" s="96">
        <f t="shared" si="2"/>
        <v>5160780</v>
      </c>
      <c r="G11" s="119">
        <f>'Revenue Offset'!G10</f>
        <v>0.61433220072252825</v>
      </c>
      <c r="H11" s="120">
        <f t="shared" si="1"/>
        <v>1990346.6651551907</v>
      </c>
      <c r="J11" s="203"/>
    </row>
    <row r="12" spans="1:10" ht="15" customHeight="1" x14ac:dyDescent="0.2">
      <c r="A12" s="10" t="s">
        <v>6</v>
      </c>
      <c r="B12" s="121" t="s">
        <v>7</v>
      </c>
      <c r="C12" s="93">
        <f>360749+272882-11472</f>
        <v>622159</v>
      </c>
      <c r="D12" s="96">
        <f t="shared" si="0"/>
        <v>3110795</v>
      </c>
      <c r="E12" s="96">
        <v>50000</v>
      </c>
      <c r="F12" s="96">
        <f t="shared" si="2"/>
        <v>3160795</v>
      </c>
      <c r="G12" s="119">
        <f>'Revenue Offset'!G11</f>
        <v>0.44595293826179216</v>
      </c>
      <c r="H12" s="120">
        <f t="shared" si="1"/>
        <v>1751229.1825068186</v>
      </c>
      <c r="J12" s="203"/>
    </row>
    <row r="13" spans="1:10" ht="17.25" customHeight="1" x14ac:dyDescent="0.2">
      <c r="A13" s="10" t="s">
        <v>8</v>
      </c>
      <c r="B13" s="121" t="s">
        <v>9</v>
      </c>
      <c r="C13" s="93">
        <v>739917</v>
      </c>
      <c r="D13" s="96">
        <f t="shared" si="0"/>
        <v>3699585</v>
      </c>
      <c r="E13" s="96"/>
      <c r="F13" s="96">
        <f t="shared" si="2"/>
        <v>3699585</v>
      </c>
      <c r="G13" s="119">
        <f>'Revenue Offset'!G12</f>
        <v>0.52285817428189341</v>
      </c>
      <c r="H13" s="120">
        <f t="shared" si="1"/>
        <v>1765226.7412993214</v>
      </c>
      <c r="J13" s="203"/>
    </row>
    <row r="14" spans="1:10" ht="15" customHeight="1" x14ac:dyDescent="0.2">
      <c r="A14" s="10" t="s">
        <v>10</v>
      </c>
      <c r="B14" s="121" t="s">
        <v>146</v>
      </c>
      <c r="C14" s="93">
        <f>539331+325845</f>
        <v>865176</v>
      </c>
      <c r="D14" s="96">
        <f t="shared" si="0"/>
        <v>4325880</v>
      </c>
      <c r="E14" s="96">
        <v>50000</v>
      </c>
      <c r="F14" s="96">
        <f t="shared" si="2"/>
        <v>4375880</v>
      </c>
      <c r="G14" s="119">
        <f>'Revenue Offset'!G13</f>
        <v>0.49115993716738748</v>
      </c>
      <c r="H14" s="120">
        <f t="shared" si="1"/>
        <v>2226623.0541479723</v>
      </c>
      <c r="J14" s="203"/>
    </row>
    <row r="15" spans="1:10" ht="15" customHeight="1" x14ac:dyDescent="0.2">
      <c r="A15" s="10" t="s">
        <v>12</v>
      </c>
      <c r="B15" s="121" t="s">
        <v>13</v>
      </c>
      <c r="C15" s="93">
        <v>161222</v>
      </c>
      <c r="D15" s="96">
        <f t="shared" si="0"/>
        <v>806110</v>
      </c>
      <c r="E15" s="96"/>
      <c r="F15" s="96">
        <f t="shared" si="2"/>
        <v>806110</v>
      </c>
      <c r="G15" s="119">
        <f>'Revenue Offset'!G14</f>
        <v>0.36664620415479249</v>
      </c>
      <c r="H15" s="120">
        <f t="shared" si="1"/>
        <v>510552.82836878026</v>
      </c>
      <c r="J15" s="203"/>
    </row>
    <row r="16" spans="1:10" ht="15" customHeight="1" x14ac:dyDescent="0.2">
      <c r="A16" s="10" t="s">
        <v>14</v>
      </c>
      <c r="B16" s="121" t="s">
        <v>139</v>
      </c>
      <c r="C16" s="93">
        <f>498704+415217</f>
        <v>913921</v>
      </c>
      <c r="D16" s="96">
        <f t="shared" si="0"/>
        <v>4569605</v>
      </c>
      <c r="E16" s="96">
        <v>50000</v>
      </c>
      <c r="F16" s="96">
        <f t="shared" si="2"/>
        <v>4619605</v>
      </c>
      <c r="G16" s="119">
        <f>'Revenue Offset'!G15</f>
        <v>0.44116155475212726</v>
      </c>
      <c r="H16" s="120">
        <f t="shared" si="1"/>
        <v>2581612.8758592992</v>
      </c>
      <c r="J16" s="203"/>
    </row>
    <row r="17" spans="1:11" ht="15" customHeight="1" x14ac:dyDescent="0.2">
      <c r="A17" s="10" t="s">
        <v>16</v>
      </c>
      <c r="B17" s="121" t="s">
        <v>17</v>
      </c>
      <c r="C17" s="93">
        <v>399066</v>
      </c>
      <c r="D17" s="96">
        <f t="shared" si="0"/>
        <v>1995330</v>
      </c>
      <c r="E17" s="96"/>
      <c r="F17" s="96">
        <f t="shared" si="2"/>
        <v>1995330</v>
      </c>
      <c r="G17" s="119">
        <f>'Revenue Offset'!G16</f>
        <v>0.48449966456626248</v>
      </c>
      <c r="H17" s="120">
        <f t="shared" si="1"/>
        <v>1028593.2843009995</v>
      </c>
      <c r="J17" s="203"/>
    </row>
    <row r="18" spans="1:11" ht="15" customHeight="1" x14ac:dyDescent="0.2">
      <c r="A18" s="10" t="s">
        <v>18</v>
      </c>
      <c r="B18" s="121" t="s">
        <v>140</v>
      </c>
      <c r="C18" s="93">
        <v>386384</v>
      </c>
      <c r="D18" s="96">
        <f t="shared" si="0"/>
        <v>1931920</v>
      </c>
      <c r="E18" s="96"/>
      <c r="F18" s="96">
        <f t="shared" si="2"/>
        <v>1931920</v>
      </c>
      <c r="G18" s="119">
        <f>'Revenue Offset'!G17</f>
        <v>0.61116821351728845</v>
      </c>
      <c r="H18" s="120">
        <f t="shared" si="1"/>
        <v>751191.90494168014</v>
      </c>
      <c r="J18" s="203"/>
    </row>
    <row r="19" spans="1:11" ht="15" customHeight="1" x14ac:dyDescent="0.2">
      <c r="A19" s="10" t="s">
        <v>19</v>
      </c>
      <c r="B19" s="121" t="s">
        <v>129</v>
      </c>
      <c r="C19" s="93">
        <f>1005856-27454</f>
        <v>978402</v>
      </c>
      <c r="D19" s="96">
        <f t="shared" si="0"/>
        <v>4892010</v>
      </c>
      <c r="E19" s="96"/>
      <c r="F19" s="96">
        <f t="shared" si="2"/>
        <v>4892010</v>
      </c>
      <c r="G19" s="119">
        <f>'Revenue Offset'!G18</f>
        <v>0.48670802933762197</v>
      </c>
      <c r="H19" s="120">
        <f t="shared" si="1"/>
        <v>2511029.4534000596</v>
      </c>
      <c r="J19" s="203"/>
    </row>
    <row r="20" spans="1:11" ht="15" customHeight="1" x14ac:dyDescent="0.2">
      <c r="A20" s="10" t="s">
        <v>21</v>
      </c>
      <c r="B20" s="121" t="s">
        <v>177</v>
      </c>
      <c r="C20" s="93">
        <f>100743+183316</f>
        <v>284059</v>
      </c>
      <c r="D20" s="96">
        <f t="shared" si="0"/>
        <v>1420295</v>
      </c>
      <c r="E20" s="96">
        <v>50000</v>
      </c>
      <c r="F20" s="96">
        <f t="shared" si="2"/>
        <v>1470295</v>
      </c>
      <c r="G20" s="119">
        <f>'Revenue Offset'!G19</f>
        <v>0.40223203366520849</v>
      </c>
      <c r="H20" s="120">
        <f t="shared" si="1"/>
        <v>878895.25206221221</v>
      </c>
      <c r="J20" s="203"/>
    </row>
    <row r="21" spans="1:11" ht="15" customHeight="1" x14ac:dyDescent="0.2">
      <c r="A21" s="37" t="s">
        <v>109</v>
      </c>
      <c r="B21" s="121" t="s">
        <v>141</v>
      </c>
      <c r="C21" s="93">
        <f>196824+165849+231919+131436</f>
        <v>726028</v>
      </c>
      <c r="D21" s="96">
        <f t="shared" si="0"/>
        <v>3630140</v>
      </c>
      <c r="E21" s="96">
        <v>150000</v>
      </c>
      <c r="F21" s="96">
        <f t="shared" si="2"/>
        <v>3780140</v>
      </c>
      <c r="G21" s="119">
        <f>'Revenue Offset'!G20</f>
        <v>0.48301278402964265</v>
      </c>
      <c r="H21" s="120">
        <f t="shared" si="1"/>
        <v>1954284.0545781867</v>
      </c>
      <c r="J21" s="203"/>
    </row>
    <row r="22" spans="1:11" ht="15" customHeight="1" x14ac:dyDescent="0.2">
      <c r="A22" s="10" t="s">
        <v>26</v>
      </c>
      <c r="B22" s="121" t="s">
        <v>62</v>
      </c>
      <c r="C22" s="93">
        <v>1154542</v>
      </c>
      <c r="D22" s="96">
        <f t="shared" si="0"/>
        <v>5772710</v>
      </c>
      <c r="E22" s="96"/>
      <c r="F22" s="96">
        <f t="shared" si="2"/>
        <v>5772710</v>
      </c>
      <c r="G22" s="119">
        <f>'Revenue Offset'!G21</f>
        <v>0.59562144533473793</v>
      </c>
      <c r="H22" s="120">
        <f t="shared" si="1"/>
        <v>2334360.1263017049</v>
      </c>
      <c r="J22" s="203"/>
    </row>
    <row r="23" spans="1:11" ht="15" customHeight="1" x14ac:dyDescent="0.2">
      <c r="A23" s="10" t="s">
        <v>22</v>
      </c>
      <c r="B23" s="121" t="s">
        <v>23</v>
      </c>
      <c r="C23" s="199">
        <v>1809355</v>
      </c>
      <c r="D23" s="96">
        <f t="shared" si="0"/>
        <v>9046775</v>
      </c>
      <c r="E23" s="96"/>
      <c r="F23" s="96">
        <f t="shared" si="2"/>
        <v>9046775</v>
      </c>
      <c r="G23" s="119">
        <f>'Revenue Offset'!G22</f>
        <v>0.6573430933426625</v>
      </c>
      <c r="H23" s="120">
        <f t="shared" si="1"/>
        <v>3099939.9367249343</v>
      </c>
      <c r="J23" s="203"/>
    </row>
    <row r="24" spans="1:11" ht="15" customHeight="1" x14ac:dyDescent="0.2">
      <c r="A24" s="10" t="s">
        <v>24</v>
      </c>
      <c r="B24" s="121" t="s">
        <v>137</v>
      </c>
      <c r="C24" s="93">
        <f>86143+97548+101250+101328+170094-18613</f>
        <v>537750</v>
      </c>
      <c r="D24" s="96">
        <f t="shared" si="0"/>
        <v>2688750</v>
      </c>
      <c r="E24" s="96">
        <v>200000</v>
      </c>
      <c r="F24" s="96">
        <f t="shared" si="2"/>
        <v>2888750</v>
      </c>
      <c r="G24" s="119">
        <f>'Revenue Offset'!G23</f>
        <v>0.45377253973023318</v>
      </c>
      <c r="H24" s="120">
        <f t="shared" si="1"/>
        <v>1577914.5758542886</v>
      </c>
      <c r="J24" s="203"/>
    </row>
    <row r="25" spans="1:11" ht="15" customHeight="1" x14ac:dyDescent="0.2">
      <c r="A25" s="10" t="s">
        <v>27</v>
      </c>
      <c r="B25" s="121" t="s">
        <v>132</v>
      </c>
      <c r="C25" s="93">
        <v>566197</v>
      </c>
      <c r="D25" s="96">
        <f t="shared" si="0"/>
        <v>2830985</v>
      </c>
      <c r="E25" s="96"/>
      <c r="F25" s="96">
        <f t="shared" si="2"/>
        <v>2830985</v>
      </c>
      <c r="G25" s="119">
        <f>'Revenue Offset'!G24</f>
        <v>0.57396444678620484</v>
      </c>
      <c r="H25" s="120">
        <f t="shared" si="1"/>
        <v>1206100.2606149558</v>
      </c>
      <c r="J25" s="203"/>
    </row>
    <row r="26" spans="1:11" ht="15" customHeight="1" x14ac:dyDescent="0.2">
      <c r="A26" s="10" t="s">
        <v>29</v>
      </c>
      <c r="B26" s="121" t="s">
        <v>133</v>
      </c>
      <c r="C26" s="93">
        <v>490064</v>
      </c>
      <c r="D26" s="96">
        <f t="shared" si="0"/>
        <v>2450320</v>
      </c>
      <c r="E26" s="96"/>
      <c r="F26" s="96">
        <f t="shared" si="2"/>
        <v>2450320</v>
      </c>
      <c r="G26" s="119">
        <f>'Revenue Offset'!G25</f>
        <v>0.5221964888221784</v>
      </c>
      <c r="H26" s="120">
        <f t="shared" si="1"/>
        <v>1170771.4995092398</v>
      </c>
      <c r="J26" s="203"/>
    </row>
    <row r="27" spans="1:11" ht="15" customHeight="1" x14ac:dyDescent="0.2">
      <c r="A27" s="37" t="s">
        <v>118</v>
      </c>
      <c r="B27" s="121" t="s">
        <v>63</v>
      </c>
      <c r="C27" s="200">
        <f>305158+188416+97173+132211+96361+124080</f>
        <v>943399</v>
      </c>
      <c r="D27" s="96">
        <f t="shared" si="0"/>
        <v>4716995</v>
      </c>
      <c r="E27" s="96">
        <v>250000</v>
      </c>
      <c r="F27" s="96">
        <f>D27+E27</f>
        <v>4966995</v>
      </c>
      <c r="G27" s="119">
        <f>'Revenue Offset'!G26</f>
        <v>0.45103804534668668</v>
      </c>
      <c r="H27" s="120">
        <f t="shared" si="1"/>
        <v>2726691.2839532341</v>
      </c>
      <c r="J27" s="203"/>
    </row>
    <row r="28" spans="1:11" ht="15" customHeight="1" x14ac:dyDescent="0.2">
      <c r="A28" s="10" t="s">
        <v>31</v>
      </c>
      <c r="B28" s="121" t="s">
        <v>134</v>
      </c>
      <c r="C28" s="93">
        <f>171244+320041</f>
        <v>491285</v>
      </c>
      <c r="D28" s="96">
        <f t="shared" si="0"/>
        <v>2456425</v>
      </c>
      <c r="E28" s="96">
        <v>50000</v>
      </c>
      <c r="F28" s="96">
        <f t="shared" si="2"/>
        <v>2506425</v>
      </c>
      <c r="G28" s="119">
        <f>'Revenue Offset'!G27</f>
        <v>0.4631827119673686</v>
      </c>
      <c r="H28" s="120">
        <f t="shared" si="1"/>
        <v>1345492.2711571881</v>
      </c>
      <c r="J28" s="203"/>
    </row>
    <row r="29" spans="1:11" ht="15" customHeight="1" x14ac:dyDescent="0.2">
      <c r="A29" s="10" t="s">
        <v>33</v>
      </c>
      <c r="B29" s="121" t="s">
        <v>130</v>
      </c>
      <c r="C29" s="93">
        <v>112270</v>
      </c>
      <c r="D29" s="96">
        <f t="shared" si="0"/>
        <v>561350</v>
      </c>
      <c r="E29" s="96"/>
      <c r="F29" s="96">
        <f t="shared" si="2"/>
        <v>561350</v>
      </c>
      <c r="G29" s="119">
        <f>'Revenue Offset'!G28</f>
        <v>0.39775666830134243</v>
      </c>
      <c r="H29" s="120">
        <f t="shared" si="1"/>
        <v>338069.29424904141</v>
      </c>
      <c r="J29" s="203"/>
      <c r="K29" s="55"/>
    </row>
    <row r="30" spans="1:11" ht="15" customHeight="1" x14ac:dyDescent="0.2">
      <c r="A30" s="10" t="s">
        <v>35</v>
      </c>
      <c r="B30" s="121" t="s">
        <v>36</v>
      </c>
      <c r="C30" s="93">
        <f>195906+476819</f>
        <v>672725</v>
      </c>
      <c r="D30" s="96">
        <f t="shared" si="0"/>
        <v>3363625</v>
      </c>
      <c r="E30" s="96">
        <v>50000</v>
      </c>
      <c r="F30" s="96">
        <f t="shared" si="2"/>
        <v>3413625</v>
      </c>
      <c r="G30" s="119">
        <f>'Revenue Offset'!G29</f>
        <v>0.45814628002705043</v>
      </c>
      <c r="H30" s="120">
        <f t="shared" si="1"/>
        <v>1849685.4048426601</v>
      </c>
      <c r="J30" s="203"/>
    </row>
    <row r="31" spans="1:11" ht="15" customHeight="1" x14ac:dyDescent="0.2">
      <c r="A31" s="10" t="s">
        <v>37</v>
      </c>
      <c r="B31" s="121" t="s">
        <v>131</v>
      </c>
      <c r="C31" s="93">
        <f>146322+361379+27571-8000</f>
        <v>527272</v>
      </c>
      <c r="D31" s="96">
        <f t="shared" si="0"/>
        <v>2636360</v>
      </c>
      <c r="E31" s="96">
        <v>100000</v>
      </c>
      <c r="F31" s="96">
        <f t="shared" si="2"/>
        <v>2736360</v>
      </c>
      <c r="G31" s="119">
        <f>'Revenue Offset'!G30</f>
        <v>0.48459172359339164</v>
      </c>
      <c r="H31" s="120">
        <f t="shared" si="1"/>
        <v>1410342.5912279868</v>
      </c>
      <c r="J31" s="203"/>
    </row>
    <row r="32" spans="1:11" ht="15" customHeight="1" x14ac:dyDescent="0.2">
      <c r="A32" s="10" t="s">
        <v>39</v>
      </c>
      <c r="B32" s="121" t="s">
        <v>135</v>
      </c>
      <c r="C32" s="93">
        <v>880520</v>
      </c>
      <c r="D32" s="96">
        <f t="shared" si="0"/>
        <v>4402600</v>
      </c>
      <c r="E32" s="96"/>
      <c r="F32" s="96">
        <f t="shared" si="2"/>
        <v>4402600</v>
      </c>
      <c r="G32" s="119">
        <f>'Revenue Offset'!G31</f>
        <v>0.52797293341370011</v>
      </c>
      <c r="H32" s="120">
        <f t="shared" si="1"/>
        <v>2078146.3633528438</v>
      </c>
      <c r="J32" s="203"/>
    </row>
    <row r="33" spans="1:10" ht="15" customHeight="1" x14ac:dyDescent="0.2">
      <c r="A33" s="10" t="s">
        <v>46</v>
      </c>
      <c r="B33" s="121" t="s">
        <v>70</v>
      </c>
      <c r="C33" s="93">
        <v>557150</v>
      </c>
      <c r="D33" s="96">
        <f t="shared" si="0"/>
        <v>2785750</v>
      </c>
      <c r="E33" s="96"/>
      <c r="F33" s="96">
        <f t="shared" si="2"/>
        <v>2785750</v>
      </c>
      <c r="G33" s="119">
        <f>'Revenue Offset'!G32</f>
        <v>0.53432125696067156</v>
      </c>
      <c r="H33" s="120">
        <f t="shared" si="1"/>
        <v>1297264.5584218092</v>
      </c>
      <c r="J33" s="203"/>
    </row>
    <row r="34" spans="1:10" ht="15" customHeight="1" x14ac:dyDescent="0.2">
      <c r="A34" s="10" t="s">
        <v>41</v>
      </c>
      <c r="B34" s="121" t="s">
        <v>117</v>
      </c>
      <c r="C34" s="93">
        <f>110367+302315</f>
        <v>412682</v>
      </c>
      <c r="D34" s="96">
        <f t="shared" si="0"/>
        <v>2063410</v>
      </c>
      <c r="E34" s="96">
        <v>50000</v>
      </c>
      <c r="F34" s="96">
        <f t="shared" si="2"/>
        <v>2113410</v>
      </c>
      <c r="G34" s="119">
        <f>'Revenue Offset'!G33</f>
        <v>0.4557607599729368</v>
      </c>
      <c r="H34" s="120">
        <f t="shared" si="1"/>
        <v>1150200.6522655957</v>
      </c>
      <c r="J34" s="203"/>
    </row>
    <row r="35" spans="1:10" ht="15" customHeight="1" x14ac:dyDescent="0.2">
      <c r="A35" s="10" t="s">
        <v>42</v>
      </c>
      <c r="B35" s="121" t="s">
        <v>69</v>
      </c>
      <c r="C35" s="93">
        <v>801231</v>
      </c>
      <c r="D35" s="96">
        <f t="shared" si="0"/>
        <v>4006155</v>
      </c>
      <c r="E35" s="96"/>
      <c r="F35" s="96">
        <f t="shared" si="2"/>
        <v>4006155</v>
      </c>
      <c r="G35" s="119">
        <f>'Revenue Offset'!G34</f>
        <v>0.53242904110820199</v>
      </c>
      <c r="H35" s="120">
        <f t="shared" si="1"/>
        <v>1873161.734819171</v>
      </c>
      <c r="J35" s="203"/>
    </row>
    <row r="36" spans="1:10" ht="15" customHeight="1" x14ac:dyDescent="0.2">
      <c r="A36" s="10" t="s">
        <v>43</v>
      </c>
      <c r="B36" s="121" t="s">
        <v>44</v>
      </c>
      <c r="C36" s="93">
        <v>2097032</v>
      </c>
      <c r="D36" s="96">
        <f t="shared" si="0"/>
        <v>10485160</v>
      </c>
      <c r="E36" s="96"/>
      <c r="F36" s="96">
        <f t="shared" si="2"/>
        <v>10485160</v>
      </c>
      <c r="G36" s="119">
        <f>'Revenue Offset'!G35</f>
        <v>0.58769945824984193</v>
      </c>
      <c r="H36" s="120">
        <f t="shared" si="1"/>
        <v>4323037.1483370876</v>
      </c>
      <c r="J36" s="203"/>
    </row>
    <row r="37" spans="1:10" ht="15" customHeight="1" x14ac:dyDescent="0.2">
      <c r="A37" s="10" t="s">
        <v>45</v>
      </c>
      <c r="B37" s="121" t="s">
        <v>136</v>
      </c>
      <c r="C37" s="93">
        <v>502694</v>
      </c>
      <c r="D37" s="96">
        <f t="shared" si="0"/>
        <v>2513470</v>
      </c>
      <c r="E37" s="96"/>
      <c r="F37" s="96">
        <f t="shared" si="2"/>
        <v>2513470</v>
      </c>
      <c r="G37" s="119">
        <f>'Revenue Offset'!G36</f>
        <v>0.53132935359523303</v>
      </c>
      <c r="H37" s="120">
        <f t="shared" si="1"/>
        <v>1177989.6096189895</v>
      </c>
      <c r="J37" s="203"/>
    </row>
    <row r="38" spans="1:10" ht="15" customHeight="1" x14ac:dyDescent="0.2">
      <c r="A38" s="10" t="s">
        <v>47</v>
      </c>
      <c r="B38" s="121" t="s">
        <v>48</v>
      </c>
      <c r="C38" s="93">
        <v>1266691</v>
      </c>
      <c r="D38" s="96">
        <f t="shared" si="0"/>
        <v>6333455</v>
      </c>
      <c r="E38" s="96"/>
      <c r="F38" s="96">
        <f t="shared" si="2"/>
        <v>6333455</v>
      </c>
      <c r="G38" s="119">
        <f>'Revenue Offset'!G37</f>
        <v>0.615448443409224</v>
      </c>
      <c r="H38" s="120">
        <f t="shared" si="1"/>
        <v>2435539.9788476331</v>
      </c>
      <c r="J38" s="203"/>
    </row>
    <row r="39" spans="1:10" s="58" customFormat="1" ht="15" customHeight="1" x14ac:dyDescent="0.2">
      <c r="A39" s="122"/>
      <c r="B39" s="123"/>
      <c r="C39" s="201"/>
      <c r="D39" s="99"/>
      <c r="E39" s="95"/>
      <c r="F39" s="99"/>
      <c r="H39" s="124"/>
      <c r="I39" s="402"/>
    </row>
    <row r="40" spans="1:10" s="125" customFormat="1" ht="15" customHeight="1" x14ac:dyDescent="0.2">
      <c r="B40" s="126" t="s">
        <v>49</v>
      </c>
      <c r="C40" s="94">
        <f>SUM(C9:C38)</f>
        <v>22271717</v>
      </c>
      <c r="D40" s="94">
        <f>SUM(D9:D38)</f>
        <v>111358585</v>
      </c>
      <c r="E40" s="94">
        <f>SUM(E9:E38)</f>
        <v>1200000</v>
      </c>
      <c r="F40" s="94">
        <f>SUM(F9:F38)</f>
        <v>112558585</v>
      </c>
      <c r="G40" s="127">
        <f>'Revenue Offset'!G39</f>
        <v>0.54817861885206953</v>
      </c>
      <c r="H40" s="94">
        <f>SUM(H9:H38)</f>
        <v>52807712.219519407</v>
      </c>
    </row>
    <row r="42" spans="1:10" ht="12" customHeight="1" x14ac:dyDescent="0.2">
      <c r="B42" s="128"/>
      <c r="D42" s="52"/>
    </row>
    <row r="43" spans="1:10" ht="12" customHeight="1" x14ac:dyDescent="0.2">
      <c r="A43" s="129"/>
      <c r="D43" s="52"/>
    </row>
    <row r="44" spans="1:10" ht="15" customHeight="1" x14ac:dyDescent="0.2">
      <c r="A44" s="16" t="s">
        <v>329</v>
      </c>
      <c r="B44" s="130"/>
    </row>
    <row r="45" spans="1:10" ht="15" customHeight="1" x14ac:dyDescent="0.2">
      <c r="A45" s="129" t="str">
        <f>'FY2015 Detail'!B40</f>
        <v>s:\finance\bargain\FY21 allocation\Summary of FY2021 Institutional Allocation Draft</v>
      </c>
      <c r="B45" s="130"/>
    </row>
    <row r="46" spans="1:10" ht="15" customHeight="1" x14ac:dyDescent="0.2">
      <c r="A46" s="129"/>
      <c r="B46" s="130"/>
      <c r="E46" s="107"/>
      <c r="H46" s="54"/>
    </row>
    <row r="47" spans="1:10" ht="15" customHeight="1" x14ac:dyDescent="0.2">
      <c r="C47" s="55"/>
      <c r="E47" s="107"/>
      <c r="H47" s="54"/>
    </row>
    <row r="48" spans="1:10" ht="15" customHeight="1" x14ac:dyDescent="0.2">
      <c r="E48" s="107"/>
      <c r="H48" s="54"/>
    </row>
    <row r="49" spans="5:8" ht="15" customHeight="1" x14ac:dyDescent="0.2">
      <c r="E49" s="107"/>
      <c r="H49" s="54"/>
    </row>
  </sheetData>
  <mergeCells count="5">
    <mergeCell ref="F5:F7"/>
    <mergeCell ref="G5:G7"/>
    <mergeCell ref="H5:H7"/>
    <mergeCell ref="E5:E6"/>
    <mergeCell ref="D5:D6"/>
  </mergeCells>
  <phoneticPr fontId="11" type="noConversion"/>
  <pageMargins left="0.42" right="0.19" top="0.37" bottom="0.15" header="0.36" footer="0.16"/>
  <pageSetup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42"/>
  <sheetViews>
    <sheetView zoomScale="80" zoomScaleNormal="80" workbookViewId="0">
      <selection activeCell="C25" sqref="C25"/>
    </sheetView>
  </sheetViews>
  <sheetFormatPr defaultRowHeight="12.75" x14ac:dyDescent="0.2"/>
  <cols>
    <col min="1" max="1" width="6.85546875" customWidth="1"/>
    <col min="2" max="2" width="33.5703125" customWidth="1"/>
    <col min="3" max="3" width="16.7109375" customWidth="1"/>
    <col min="4" max="4" width="17.42578125" customWidth="1"/>
    <col min="5" max="5" width="13.140625" customWidth="1"/>
    <col min="10" max="12" width="0" hidden="1" customWidth="1"/>
  </cols>
  <sheetData>
    <row r="1" spans="1:12" ht="15" customHeight="1" x14ac:dyDescent="0.25">
      <c r="A1" s="36" t="s">
        <v>254</v>
      </c>
      <c r="E1" s="455" t="s">
        <v>285</v>
      </c>
    </row>
    <row r="2" spans="1:12" ht="15" customHeight="1" x14ac:dyDescent="0.2">
      <c r="A2" s="4" t="s">
        <v>178</v>
      </c>
    </row>
    <row r="3" spans="1:12" ht="15" customHeight="1" x14ac:dyDescent="0.2">
      <c r="A3" s="4" t="s">
        <v>333</v>
      </c>
    </row>
    <row r="4" spans="1:12" ht="15" customHeight="1" x14ac:dyDescent="0.2">
      <c r="C4" s="205" t="s">
        <v>79</v>
      </c>
      <c r="D4" s="205" t="s">
        <v>74</v>
      </c>
      <c r="E4" s="205" t="s">
        <v>75</v>
      </c>
    </row>
    <row r="5" spans="1:12" ht="61.5" customHeight="1" x14ac:dyDescent="0.2">
      <c r="A5" s="215" t="s">
        <v>0</v>
      </c>
      <c r="B5" s="216" t="s">
        <v>83</v>
      </c>
      <c r="C5" s="215" t="s">
        <v>179</v>
      </c>
      <c r="D5" s="31" t="s">
        <v>180</v>
      </c>
      <c r="E5" s="30" t="s">
        <v>147</v>
      </c>
    </row>
    <row r="6" spans="1:12" ht="15" customHeight="1" x14ac:dyDescent="0.2">
      <c r="B6" s="34"/>
      <c r="D6" s="11"/>
      <c r="L6">
        <f>G6-I6</f>
        <v>0</v>
      </c>
    </row>
    <row r="7" spans="1:12" ht="15" customHeight="1" x14ac:dyDescent="0.2">
      <c r="A7" s="218" t="s">
        <v>2</v>
      </c>
      <c r="B7" s="219" t="s">
        <v>128</v>
      </c>
      <c r="C7" s="220">
        <f>'3rd Term Expected'!J6</f>
        <v>70000</v>
      </c>
      <c r="D7" s="220">
        <f>'Improvement Allocation'!H6</f>
        <v>8000</v>
      </c>
      <c r="E7" s="220">
        <f>C7+D7</f>
        <v>78000</v>
      </c>
      <c r="G7" s="304"/>
    </row>
    <row r="8" spans="1:12" s="54" customFormat="1" ht="15" customHeight="1" x14ac:dyDescent="0.2">
      <c r="A8" s="218" t="s">
        <v>4</v>
      </c>
      <c r="B8" s="219" t="s">
        <v>124</v>
      </c>
      <c r="C8" s="222">
        <f>'3rd Term Expected'!J7+'3rd Term Expected'!J8</f>
        <v>780000</v>
      </c>
      <c r="D8" s="223">
        <f>'Improvement Allocation'!H7+'Improvement Allocation'!H8</f>
        <v>292000</v>
      </c>
      <c r="E8" s="220">
        <f t="shared" ref="E8:E36" si="0">C8+D8</f>
        <v>1072000</v>
      </c>
      <c r="G8" s="304"/>
    </row>
    <row r="9" spans="1:12" ht="15" customHeight="1" x14ac:dyDescent="0.2">
      <c r="A9" s="218" t="s">
        <v>5</v>
      </c>
      <c r="B9" s="219" t="s">
        <v>113</v>
      </c>
      <c r="C9" s="224">
        <f>'3rd Term Expected'!J29+'3rd Term Expected'!J38</f>
        <v>40000</v>
      </c>
      <c r="D9" s="224">
        <f>'Improvement Allocation'!H29+'Improvement Allocation'!H38</f>
        <v>0</v>
      </c>
      <c r="E9" s="220">
        <f t="shared" si="0"/>
        <v>40000</v>
      </c>
      <c r="G9" s="304"/>
    </row>
    <row r="10" spans="1:12" ht="15" customHeight="1" x14ac:dyDescent="0.2">
      <c r="A10" s="218" t="s">
        <v>6</v>
      </c>
      <c r="B10" s="219" t="s">
        <v>7</v>
      </c>
      <c r="C10" s="220">
        <f>'3rd Term Expected'!J9</f>
        <v>0</v>
      </c>
      <c r="D10" s="220">
        <f>'Improvement Allocation'!H9</f>
        <v>32000</v>
      </c>
      <c r="E10" s="220">
        <f t="shared" si="0"/>
        <v>32000</v>
      </c>
      <c r="G10" s="304"/>
    </row>
    <row r="11" spans="1:12" ht="15" customHeight="1" x14ac:dyDescent="0.2">
      <c r="A11" s="218" t="s">
        <v>8</v>
      </c>
      <c r="B11" s="219" t="s">
        <v>9</v>
      </c>
      <c r="C11" s="220">
        <f>'3rd Term Expected'!J10</f>
        <v>0</v>
      </c>
      <c r="D11" s="220">
        <f>'Improvement Allocation'!H10</f>
        <v>0</v>
      </c>
      <c r="E11" s="220">
        <f t="shared" si="0"/>
        <v>0</v>
      </c>
      <c r="G11" s="304"/>
    </row>
    <row r="12" spans="1:12" ht="15" customHeight="1" x14ac:dyDescent="0.2">
      <c r="A12" s="218" t="s">
        <v>10</v>
      </c>
      <c r="B12" s="3" t="s">
        <v>146</v>
      </c>
      <c r="C12" s="220">
        <f>'3rd Term Expected'!J11+'3rd Term Expected'!J14</f>
        <v>130000</v>
      </c>
      <c r="D12" s="220">
        <f>'Improvement Allocation'!H11+'Improvement Allocation'!H14</f>
        <v>104000</v>
      </c>
      <c r="E12" s="220">
        <f t="shared" si="0"/>
        <v>234000</v>
      </c>
      <c r="G12" s="304"/>
    </row>
    <row r="13" spans="1:12" ht="15" customHeight="1" x14ac:dyDescent="0.2">
      <c r="A13" s="218" t="s">
        <v>12</v>
      </c>
      <c r="B13" s="219" t="s">
        <v>13</v>
      </c>
      <c r="C13" s="220">
        <f>'3rd Term Expected'!J12</f>
        <v>0</v>
      </c>
      <c r="D13" s="220">
        <f>'Improvement Allocation'!H12</f>
        <v>48000</v>
      </c>
      <c r="E13" s="220">
        <f t="shared" si="0"/>
        <v>48000</v>
      </c>
      <c r="G13" s="304"/>
    </row>
    <row r="14" spans="1:12" ht="15" customHeight="1" x14ac:dyDescent="0.2">
      <c r="A14" s="218" t="s">
        <v>14</v>
      </c>
      <c r="B14" s="219" t="s">
        <v>139</v>
      </c>
      <c r="C14" s="220">
        <f>'3rd Term Expected'!J13</f>
        <v>60000</v>
      </c>
      <c r="D14" s="220">
        <f>'Improvement Allocation'!H13</f>
        <v>0</v>
      </c>
      <c r="E14" s="220">
        <f t="shared" si="0"/>
        <v>60000</v>
      </c>
      <c r="G14" s="304"/>
    </row>
    <row r="15" spans="1:12" ht="15" customHeight="1" x14ac:dyDescent="0.2">
      <c r="A15" s="218" t="s">
        <v>16</v>
      </c>
      <c r="B15" s="219" t="s">
        <v>17</v>
      </c>
      <c r="C15" s="220">
        <f>'3rd Term Expected'!J15</f>
        <v>280000</v>
      </c>
      <c r="D15" s="220">
        <f>'Improvement Allocation'!H15</f>
        <v>28000</v>
      </c>
      <c r="E15" s="220">
        <f t="shared" si="0"/>
        <v>308000</v>
      </c>
      <c r="G15" s="304"/>
    </row>
    <row r="16" spans="1:12" ht="15" customHeight="1" x14ac:dyDescent="0.2">
      <c r="A16" s="218" t="s">
        <v>18</v>
      </c>
      <c r="B16" s="219" t="s">
        <v>140</v>
      </c>
      <c r="C16" s="220">
        <f>'3rd Term Expected'!J39</f>
        <v>0</v>
      </c>
      <c r="D16" s="220">
        <f>'Improvement Allocation'!H39</f>
        <v>28000</v>
      </c>
      <c r="E16" s="220">
        <f t="shared" si="0"/>
        <v>28000</v>
      </c>
      <c r="G16" s="304"/>
    </row>
    <row r="17" spans="1:7" ht="15" customHeight="1" x14ac:dyDescent="0.2">
      <c r="A17" s="218" t="s">
        <v>19</v>
      </c>
      <c r="B17" s="219" t="s">
        <v>129</v>
      </c>
      <c r="C17" s="220">
        <f>'3rd Term Expected'!J16</f>
        <v>0</v>
      </c>
      <c r="D17" s="220">
        <f>'Improvement Allocation'!H16</f>
        <v>312000</v>
      </c>
      <c r="E17" s="220">
        <f t="shared" si="0"/>
        <v>312000</v>
      </c>
      <c r="G17" s="304"/>
    </row>
    <row r="18" spans="1:7" ht="15" customHeight="1" x14ac:dyDescent="0.2">
      <c r="A18" s="218" t="s">
        <v>21</v>
      </c>
      <c r="B18" s="225" t="s">
        <v>177</v>
      </c>
      <c r="C18" s="220">
        <f>'3rd Term Expected'!J17</f>
        <v>60000</v>
      </c>
      <c r="D18" s="220">
        <f>'Improvement Allocation'!H17</f>
        <v>8000</v>
      </c>
      <c r="E18" s="220">
        <f t="shared" si="0"/>
        <v>68000</v>
      </c>
      <c r="G18" s="304"/>
    </row>
    <row r="19" spans="1:7" ht="15" customHeight="1" x14ac:dyDescent="0.2">
      <c r="A19" s="218" t="s">
        <v>109</v>
      </c>
      <c r="B19" s="219" t="s">
        <v>141</v>
      </c>
      <c r="C19" s="220">
        <f>'3rd Term Expected'!J18</f>
        <v>290000</v>
      </c>
      <c r="D19" s="220">
        <f>'Improvement Allocation'!H18</f>
        <v>52000</v>
      </c>
      <c r="E19" s="220">
        <f t="shared" si="0"/>
        <v>342000</v>
      </c>
      <c r="G19" s="304"/>
    </row>
    <row r="20" spans="1:7" ht="15" customHeight="1" x14ac:dyDescent="0.2">
      <c r="A20" s="218" t="s">
        <v>26</v>
      </c>
      <c r="B20" s="219" t="s">
        <v>62</v>
      </c>
      <c r="C20" s="220">
        <f>'3rd Term Expected'!J41</f>
        <v>0</v>
      </c>
      <c r="D20" s="220">
        <f>'Improvement Allocation'!H41</f>
        <v>32000</v>
      </c>
      <c r="E20" s="220">
        <f t="shared" si="0"/>
        <v>32000</v>
      </c>
      <c r="G20" s="304"/>
    </row>
    <row r="21" spans="1:7" ht="15" customHeight="1" x14ac:dyDescent="0.2">
      <c r="A21" s="218" t="s">
        <v>22</v>
      </c>
      <c r="B21" s="219" t="s">
        <v>23</v>
      </c>
      <c r="C21" s="220">
        <f>'3rd Term Expected'!J40</f>
        <v>400000</v>
      </c>
      <c r="D21" s="220">
        <f>'Improvement Allocation'!H40</f>
        <v>56000</v>
      </c>
      <c r="E21" s="220">
        <f t="shared" si="0"/>
        <v>456000</v>
      </c>
      <c r="G21" s="304"/>
    </row>
    <row r="22" spans="1:7" ht="15" customHeight="1" x14ac:dyDescent="0.2">
      <c r="A22" s="218" t="s">
        <v>24</v>
      </c>
      <c r="B22" s="219" t="s">
        <v>137</v>
      </c>
      <c r="C22" s="220">
        <f>'3rd Term Expected'!J19</f>
        <v>0</v>
      </c>
      <c r="D22" s="220">
        <f>'Improvement Allocation'!H19</f>
        <v>0</v>
      </c>
      <c r="E22" s="220">
        <f t="shared" si="0"/>
        <v>0</v>
      </c>
      <c r="G22" s="304"/>
    </row>
    <row r="23" spans="1:7" ht="15" customHeight="1" x14ac:dyDescent="0.2">
      <c r="A23" s="218" t="s">
        <v>27</v>
      </c>
      <c r="B23" s="219" t="s">
        <v>132</v>
      </c>
      <c r="C23" s="220">
        <f>'3rd Term Expected'!J20</f>
        <v>150000</v>
      </c>
      <c r="D23" s="220">
        <f>'Improvement Allocation'!H20</f>
        <v>20000</v>
      </c>
      <c r="E23" s="220">
        <f t="shared" si="0"/>
        <v>170000</v>
      </c>
      <c r="G23" s="304"/>
    </row>
    <row r="24" spans="1:7" ht="15" customHeight="1" x14ac:dyDescent="0.2">
      <c r="A24" s="218" t="s">
        <v>29</v>
      </c>
      <c r="B24" s="219" t="s">
        <v>133</v>
      </c>
      <c r="C24" s="220">
        <f>'3rd Term Expected'!J21</f>
        <v>0</v>
      </c>
      <c r="D24" s="220">
        <f>'Improvement Allocation'!H21</f>
        <v>0</v>
      </c>
      <c r="E24" s="220">
        <f t="shared" si="0"/>
        <v>0</v>
      </c>
      <c r="G24" s="304"/>
    </row>
    <row r="25" spans="1:7" ht="15" customHeight="1" x14ac:dyDescent="0.2">
      <c r="A25" s="218" t="s">
        <v>118</v>
      </c>
      <c r="B25" s="219" t="s">
        <v>63</v>
      </c>
      <c r="C25" s="224">
        <f>'3rd Term Expected'!J22</f>
        <v>530000</v>
      </c>
      <c r="D25" s="224">
        <f>'Improvement Allocation'!H22</f>
        <v>56000</v>
      </c>
      <c r="E25" s="220">
        <f t="shared" si="0"/>
        <v>586000</v>
      </c>
      <c r="G25" s="304"/>
    </row>
    <row r="26" spans="1:7" ht="15" customHeight="1" x14ac:dyDescent="0.2">
      <c r="A26" s="218" t="s">
        <v>31</v>
      </c>
      <c r="B26" s="219" t="s">
        <v>134</v>
      </c>
      <c r="C26" s="220">
        <f>'3rd Term Expected'!J28</f>
        <v>250000</v>
      </c>
      <c r="D26" s="220">
        <f>'Improvement Allocation'!H28</f>
        <v>8000</v>
      </c>
      <c r="E26" s="220">
        <f t="shared" si="0"/>
        <v>258000</v>
      </c>
      <c r="G26" s="304"/>
    </row>
    <row r="27" spans="1:7" ht="15" customHeight="1" x14ac:dyDescent="0.2">
      <c r="A27" s="218" t="s">
        <v>33</v>
      </c>
      <c r="B27" s="219" t="s">
        <v>130</v>
      </c>
      <c r="C27" s="220">
        <f>'3rd Term Expected'!J30</f>
        <v>0</v>
      </c>
      <c r="D27" s="220">
        <f>'Improvement Allocation'!H30</f>
        <v>28000</v>
      </c>
      <c r="E27" s="220">
        <f t="shared" si="0"/>
        <v>28000</v>
      </c>
      <c r="G27" s="304"/>
    </row>
    <row r="28" spans="1:7" ht="15" customHeight="1" x14ac:dyDescent="0.2">
      <c r="A28" s="218" t="s">
        <v>35</v>
      </c>
      <c r="B28" s="219" t="s">
        <v>36</v>
      </c>
      <c r="C28" s="220">
        <f>'3rd Term Expected'!J31</f>
        <v>0</v>
      </c>
      <c r="D28" s="220">
        <f>'Improvement Allocation'!H31</f>
        <v>0</v>
      </c>
      <c r="E28" s="220">
        <f t="shared" si="0"/>
        <v>0</v>
      </c>
      <c r="G28" s="304"/>
    </row>
    <row r="29" spans="1:7" ht="15" customHeight="1" x14ac:dyDescent="0.2">
      <c r="A29" s="218" t="s">
        <v>37</v>
      </c>
      <c r="B29" s="219" t="s">
        <v>131</v>
      </c>
      <c r="C29" s="220">
        <f>'3rd Term Expected'!J32</f>
        <v>0</v>
      </c>
      <c r="D29" s="220">
        <f>'Improvement Allocation'!H32</f>
        <v>0</v>
      </c>
      <c r="E29" s="220">
        <f t="shared" si="0"/>
        <v>0</v>
      </c>
      <c r="G29" s="304"/>
    </row>
    <row r="30" spans="1:7" ht="15" customHeight="1" x14ac:dyDescent="0.2">
      <c r="A30" s="218" t="s">
        <v>39</v>
      </c>
      <c r="B30" s="219" t="s">
        <v>135</v>
      </c>
      <c r="C30" s="220">
        <f>'3rd Term Expected'!J33</f>
        <v>0</v>
      </c>
      <c r="D30" s="220">
        <f>'Improvement Allocation'!H33</f>
        <v>64000</v>
      </c>
      <c r="E30" s="220">
        <f t="shared" si="0"/>
        <v>64000</v>
      </c>
      <c r="G30" s="304"/>
    </row>
    <row r="31" spans="1:7" ht="15" customHeight="1" x14ac:dyDescent="0.2">
      <c r="A31" s="218" t="s">
        <v>46</v>
      </c>
      <c r="B31" s="219" t="s">
        <v>70</v>
      </c>
      <c r="C31" s="220">
        <f>'3rd Term Expected'!J35</f>
        <v>870000</v>
      </c>
      <c r="D31" s="220">
        <f>'Improvement Allocation'!H35</f>
        <v>8000</v>
      </c>
      <c r="E31" s="220">
        <f t="shared" si="0"/>
        <v>878000</v>
      </c>
      <c r="G31" s="304"/>
    </row>
    <row r="32" spans="1:7" ht="15" customHeight="1" x14ac:dyDescent="0.2">
      <c r="A32" s="218" t="s">
        <v>41</v>
      </c>
      <c r="B32" s="219" t="s">
        <v>117</v>
      </c>
      <c r="C32" s="220">
        <f>'3rd Term Expected'!J36</f>
        <v>0</v>
      </c>
      <c r="D32" s="220">
        <f>'Improvement Allocation'!H36</f>
        <v>0</v>
      </c>
      <c r="E32" s="220">
        <f t="shared" si="0"/>
        <v>0</v>
      </c>
      <c r="G32" s="304"/>
    </row>
    <row r="33" spans="1:9" ht="15" customHeight="1" x14ac:dyDescent="0.2">
      <c r="A33" s="218" t="s">
        <v>42</v>
      </c>
      <c r="B33" s="219" t="s">
        <v>69</v>
      </c>
      <c r="C33" s="220">
        <f>'3rd Term Expected'!J43</f>
        <v>0</v>
      </c>
      <c r="D33" s="220">
        <f>'Improvement Allocation'!H43</f>
        <v>12000</v>
      </c>
      <c r="E33" s="220">
        <f t="shared" si="0"/>
        <v>12000</v>
      </c>
      <c r="G33" s="304"/>
    </row>
    <row r="34" spans="1:9" ht="15" customHeight="1" x14ac:dyDescent="0.2">
      <c r="A34" s="218" t="s">
        <v>43</v>
      </c>
      <c r="B34" s="219" t="s">
        <v>44</v>
      </c>
      <c r="C34" s="220">
        <f>'3rd Term Expected'!J42</f>
        <v>0</v>
      </c>
      <c r="D34" s="220">
        <f>'Improvement Allocation'!H42</f>
        <v>0</v>
      </c>
      <c r="E34" s="220">
        <f t="shared" si="0"/>
        <v>0</v>
      </c>
      <c r="G34" s="304"/>
    </row>
    <row r="35" spans="1:9" ht="15" customHeight="1" x14ac:dyDescent="0.2">
      <c r="A35" s="218" t="s">
        <v>45</v>
      </c>
      <c r="B35" s="219" t="s">
        <v>136</v>
      </c>
      <c r="C35" s="220">
        <f>'3rd Term Expected'!J34</f>
        <v>0</v>
      </c>
      <c r="D35" s="220">
        <f>'Improvement Allocation'!H34</f>
        <v>124000</v>
      </c>
      <c r="E35" s="220">
        <f t="shared" si="0"/>
        <v>124000</v>
      </c>
      <c r="G35" s="304"/>
    </row>
    <row r="36" spans="1:9" ht="15" customHeight="1" x14ac:dyDescent="0.2">
      <c r="A36" s="218" t="s">
        <v>47</v>
      </c>
      <c r="B36" s="219" t="s">
        <v>48</v>
      </c>
      <c r="C36" s="220">
        <f>'3rd Term Expected'!J44</f>
        <v>0</v>
      </c>
      <c r="D36" s="220">
        <f>'Improvement Allocation'!H44</f>
        <v>0</v>
      </c>
      <c r="E36" s="220">
        <f t="shared" si="0"/>
        <v>0</v>
      </c>
      <c r="G36" s="304"/>
    </row>
    <row r="37" spans="1:9" ht="15" customHeight="1" x14ac:dyDescent="0.2">
      <c r="D37" s="11"/>
      <c r="G37" s="15"/>
      <c r="I37" s="6"/>
    </row>
    <row r="38" spans="1:9" ht="15" customHeight="1" x14ac:dyDescent="0.2">
      <c r="B38" t="s">
        <v>49</v>
      </c>
      <c r="C38" s="226">
        <f>SUM(C7:C37)</f>
        <v>3910000</v>
      </c>
      <c r="D38" s="226">
        <f>SUM(D7:D37)</f>
        <v>1320000</v>
      </c>
      <c r="E38" s="226">
        <f>SUM(E7:E37)</f>
        <v>5230000</v>
      </c>
    </row>
    <row r="40" spans="1:9" ht="15" customHeight="1" x14ac:dyDescent="0.2">
      <c r="A40" s="16" t="s">
        <v>329</v>
      </c>
    </row>
    <row r="41" spans="1:9" ht="15" customHeight="1" x14ac:dyDescent="0.2">
      <c r="A41" s="16" t="s">
        <v>319</v>
      </c>
    </row>
    <row r="42" spans="1:9" ht="15" customHeight="1" x14ac:dyDescent="0.2">
      <c r="A42" s="16"/>
    </row>
  </sheetData>
  <pageMargins left="0.7" right="0.7" top="0.75" bottom="0.75" header="0.3" footer="0.3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FY2015 Detail</vt:lpstr>
      <vt:lpstr>Sheet1</vt:lpstr>
      <vt:lpstr>Summary</vt:lpstr>
      <vt:lpstr>Instruction</vt:lpstr>
      <vt:lpstr>Academic Support Per FYE</vt:lpstr>
      <vt:lpstr>Student&amp;Institutional Support</vt:lpstr>
      <vt:lpstr>Weighted differ concurrent</vt:lpstr>
      <vt:lpstr>Facilities</vt:lpstr>
      <vt:lpstr>Student Success</vt:lpstr>
      <vt:lpstr>3rd Term Expected</vt:lpstr>
      <vt:lpstr>Improvement Allocation</vt:lpstr>
      <vt:lpstr>Research</vt:lpstr>
      <vt:lpstr>Revenue Offset</vt:lpstr>
      <vt:lpstr>'3rd Term Expected'!Print_Area</vt:lpstr>
      <vt:lpstr>'FY2015 Detail'!Print_Area</vt:lpstr>
      <vt:lpstr>'Improvement Allocation'!Print_Area</vt:lpstr>
      <vt:lpstr>Instruction!Print_Area</vt:lpstr>
      <vt:lpstr>Summary!Print_Area</vt:lpstr>
      <vt:lpstr>'FY2015 Detail'!Print_Titles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Kedrowski</dc:creator>
  <cp:lastModifiedBy>Susan Anderson</cp:lastModifiedBy>
  <cp:lastPrinted>2020-03-02T17:31:50Z</cp:lastPrinted>
  <dcterms:created xsi:type="dcterms:W3CDTF">2000-05-30T14:50:23Z</dcterms:created>
  <dcterms:modified xsi:type="dcterms:W3CDTF">2020-07-09T13:08:22Z</dcterms:modified>
</cp:coreProperties>
</file>