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FY2022 Allocation\"/>
    </mc:Choice>
  </mc:AlternateContent>
  <bookViews>
    <workbookView xWindow="315" yWindow="690" windowWidth="11280" windowHeight="5550" tabRatio="602" firstSheet="2" activeTab="2"/>
  </bookViews>
  <sheets>
    <sheet name="FY2015 Detail" sheetId="11" state="hidden" r:id="rId1"/>
    <sheet name="Sheet1" sheetId="32" state="hidden" r:id="rId2"/>
    <sheet name="Summary" sheetId="24" r:id="rId3"/>
    <sheet name="Instruction" sheetId="17" r:id="rId4"/>
    <sheet name="Academic Support Per FYE" sheetId="20" r:id="rId5"/>
    <sheet name="Student&amp;Institutional Support" sheetId="26" r:id="rId6"/>
    <sheet name="Weighted differ concurrent" sheetId="31" r:id="rId7"/>
    <sheet name="Facilities" sheetId="15" r:id="rId8"/>
    <sheet name="Student Success" sheetId="27" r:id="rId9"/>
    <sheet name="3rd Term Expected" sheetId="34" r:id="rId10"/>
    <sheet name="Improvement Allocation" sheetId="35" r:id="rId11"/>
    <sheet name="Research" sheetId="13" r:id="rId12"/>
    <sheet name="Revenue Offset" sheetId="25" r:id="rId13"/>
  </sheets>
  <externalReferences>
    <externalReference r:id="rId14"/>
  </externalReferences>
  <definedNames>
    <definedName name="Demographic_Distribution_Analysis_Sum" localSheetId="6">#REF!</definedName>
    <definedName name="Demographic_Distribution_Analysis_Sum">#REF!</definedName>
    <definedName name="_xlnm.Print_Area" localSheetId="9">'3rd Term Expected'!$A$1:$J$47</definedName>
    <definedName name="_xlnm.Print_Area" localSheetId="0">'FY2015 Detail'!$B$1:$D$40</definedName>
    <definedName name="_xlnm.Print_Area" localSheetId="10">'Improvement Allocation'!$A$1:$H$47</definedName>
    <definedName name="_xlnm.Print_Area" localSheetId="3">Instruction!$A$1:$M$43</definedName>
    <definedName name="_xlnm.Print_Area" localSheetId="2">Summary!$B$1:$W$41</definedName>
    <definedName name="_xlnm.Print_Titles" localSheetId="0">'FY2015 Detail'!$B:$C</definedName>
    <definedName name="_xlnm.Print_Titles" localSheetId="2">Summary!$B:$C</definedName>
    <definedName name="vv" localSheetId="6">#REF!</definedName>
    <definedName name="vv">#REF!</definedName>
  </definedNames>
  <calcPr calcId="162913"/>
</workbook>
</file>

<file path=xl/calcChain.xml><?xml version="1.0" encoding="utf-8"?>
<calcChain xmlns="http://schemas.openxmlformats.org/spreadsheetml/2006/main">
  <c r="W9" i="24" l="1"/>
  <c r="W8" i="24"/>
  <c r="W7" i="24"/>
  <c r="W6" i="24"/>
  <c r="W34" i="24"/>
  <c r="W31" i="24"/>
  <c r="W29" i="24"/>
  <c r="W28" i="24"/>
  <c r="W27" i="24"/>
  <c r="W26" i="24"/>
  <c r="W25" i="24"/>
  <c r="W24" i="24"/>
  <c r="W21" i="24"/>
  <c r="W18" i="24"/>
  <c r="W17" i="24"/>
  <c r="W14" i="24"/>
  <c r="W12" i="24"/>
  <c r="C27" i="17" l="1"/>
  <c r="K27" i="17" s="1"/>
  <c r="J28" i="17"/>
  <c r="J27" i="17"/>
  <c r="I37" i="17"/>
  <c r="C37" i="17"/>
  <c r="C35" i="17"/>
  <c r="I22" i="17"/>
  <c r="C22" i="17"/>
  <c r="I21" i="17"/>
  <c r="C21" i="17"/>
  <c r="C17" i="17"/>
  <c r="I34" i="17" l="1"/>
  <c r="C34" i="17"/>
  <c r="C10" i="17"/>
  <c r="C36" i="17"/>
  <c r="C33" i="17"/>
  <c r="C32" i="17"/>
  <c r="C31" i="17"/>
  <c r="C30" i="17"/>
  <c r="C29" i="17"/>
  <c r="C28" i="17"/>
  <c r="C26" i="17"/>
  <c r="C25" i="17"/>
  <c r="C24" i="17"/>
  <c r="C23" i="17"/>
  <c r="C20" i="17"/>
  <c r="C19" i="17"/>
  <c r="C18" i="17"/>
  <c r="C16" i="17"/>
  <c r="C15" i="17"/>
  <c r="C14" i="17"/>
  <c r="C13" i="17"/>
  <c r="C12" i="17"/>
  <c r="C11" i="17"/>
  <c r="C9" i="17"/>
  <c r="C8" i="17"/>
  <c r="U11" i="24" l="1"/>
  <c r="V15" i="24" l="1"/>
  <c r="V8" i="24"/>
  <c r="V11" i="24"/>
  <c r="V7" i="24"/>
  <c r="D27" i="13" l="1"/>
  <c r="D11" i="13"/>
  <c r="I46" i="34" l="1"/>
  <c r="J37" i="34"/>
  <c r="I37" i="34"/>
  <c r="H37" i="34"/>
  <c r="F37" i="34"/>
  <c r="C37" i="34"/>
  <c r="B37" i="34"/>
  <c r="G22" i="34"/>
  <c r="E22" i="34"/>
  <c r="D22" i="34"/>
  <c r="I22" i="34"/>
  <c r="H22" i="34"/>
  <c r="F22" i="34"/>
  <c r="C22" i="34"/>
  <c r="B22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3" i="34"/>
  <c r="J24" i="34"/>
  <c r="J25" i="34"/>
  <c r="J26" i="34"/>
  <c r="J27" i="34"/>
  <c r="G14" i="26" l="1"/>
  <c r="G11" i="26"/>
  <c r="G10" i="26"/>
  <c r="C11" i="15" l="1"/>
  <c r="J37" i="25" l="1"/>
  <c r="J34" i="25"/>
  <c r="J33" i="25"/>
  <c r="J32" i="25"/>
  <c r="J31" i="25"/>
  <c r="J30" i="25"/>
  <c r="J29" i="25"/>
  <c r="J28" i="25"/>
  <c r="J27" i="25"/>
  <c r="J25" i="25"/>
  <c r="J24" i="25"/>
  <c r="J23" i="25"/>
  <c r="J21" i="25"/>
  <c r="J20" i="25"/>
  <c r="J19" i="25"/>
  <c r="J18" i="25"/>
  <c r="J17" i="25"/>
  <c r="J16" i="25"/>
  <c r="J15" i="25"/>
  <c r="J14" i="25"/>
  <c r="J13" i="25"/>
  <c r="J12" i="25"/>
  <c r="J11" i="25"/>
  <c r="J9" i="25"/>
  <c r="J8" i="25"/>
  <c r="V37" i="24" l="1"/>
  <c r="C31" i="15" l="1"/>
  <c r="H46" i="34" l="1"/>
  <c r="F46" i="34"/>
  <c r="C46" i="34"/>
  <c r="B46" i="34"/>
  <c r="C34" i="15" l="1"/>
  <c r="C27" i="15"/>
  <c r="C14" i="15"/>
  <c r="J19" i="17" l="1"/>
  <c r="J18" i="17"/>
  <c r="J17" i="17"/>
  <c r="J16" i="17"/>
  <c r="J15" i="17"/>
  <c r="J13" i="17"/>
  <c r="J12" i="17"/>
  <c r="J11" i="17"/>
  <c r="J10" i="17"/>
  <c r="J9" i="17"/>
  <c r="J8" i="17"/>
  <c r="J37" i="17" l="1"/>
  <c r="J36" i="17"/>
  <c r="J35" i="17"/>
  <c r="J34" i="17"/>
  <c r="J33" i="17"/>
  <c r="J32" i="17"/>
  <c r="J31" i="17"/>
  <c r="J30" i="17"/>
  <c r="J29" i="17"/>
  <c r="J26" i="17"/>
  <c r="J25" i="17"/>
  <c r="J24" i="17"/>
  <c r="J23" i="17"/>
  <c r="J22" i="17"/>
  <c r="J21" i="17"/>
  <c r="J20" i="17"/>
  <c r="J14" i="17"/>
  <c r="D39" i="17" l="1"/>
  <c r="J44" i="34" l="1"/>
  <c r="J43" i="34"/>
  <c r="J42" i="34"/>
  <c r="J41" i="34"/>
  <c r="J40" i="34"/>
  <c r="J39" i="34"/>
  <c r="J38" i="34"/>
  <c r="J45" i="34" s="1"/>
  <c r="J22" i="34"/>
  <c r="J36" i="34"/>
  <c r="J35" i="34"/>
  <c r="J34" i="34"/>
  <c r="J33" i="34"/>
  <c r="J32" i="34"/>
  <c r="J31" i="34"/>
  <c r="J30" i="34"/>
  <c r="J29" i="34"/>
  <c r="J28" i="34"/>
  <c r="D39" i="25" l="1"/>
  <c r="P31" i="26" l="1"/>
  <c r="P27" i="26"/>
  <c r="P24" i="26"/>
  <c r="P21" i="26"/>
  <c r="U37" i="24"/>
  <c r="C16" i="15"/>
  <c r="D40" i="13"/>
  <c r="C36" i="27"/>
  <c r="C35" i="27"/>
  <c r="C34" i="27"/>
  <c r="C33" i="27"/>
  <c r="C29" i="27"/>
  <c r="C28" i="27"/>
  <c r="C27" i="27"/>
  <c r="C26" i="27"/>
  <c r="C25" i="27"/>
  <c r="C21" i="27"/>
  <c r="C20" i="27"/>
  <c r="C18" i="27"/>
  <c r="C17" i="27"/>
  <c r="C16" i="27"/>
  <c r="C12" i="27"/>
  <c r="C9" i="27"/>
  <c r="H44" i="35"/>
  <c r="D36" i="27" s="1"/>
  <c r="E36" i="27" s="1"/>
  <c r="H35" i="24" s="1"/>
  <c r="H43" i="35"/>
  <c r="D33" i="27" s="1"/>
  <c r="H42" i="35"/>
  <c r="D34" i="27" s="1"/>
  <c r="H41" i="35"/>
  <c r="D20" i="27" s="1"/>
  <c r="H40" i="35"/>
  <c r="D21" i="27" s="1"/>
  <c r="H39" i="35"/>
  <c r="D16" i="27" s="1"/>
  <c r="E16" i="27" s="1"/>
  <c r="H15" i="24" s="1"/>
  <c r="H38" i="35"/>
  <c r="H36" i="35"/>
  <c r="D32" i="27" s="1"/>
  <c r="H35" i="35"/>
  <c r="D31" i="27" s="1"/>
  <c r="H34" i="35"/>
  <c r="D35" i="27" s="1"/>
  <c r="H33" i="35"/>
  <c r="D30" i="27" s="1"/>
  <c r="H32" i="35"/>
  <c r="D29" i="27" s="1"/>
  <c r="H31" i="35"/>
  <c r="D28" i="27" s="1"/>
  <c r="H30" i="35"/>
  <c r="D27" i="27" s="1"/>
  <c r="H29" i="35"/>
  <c r="H28" i="35"/>
  <c r="D26" i="27" s="1"/>
  <c r="H27" i="35"/>
  <c r="H26" i="35"/>
  <c r="H25" i="35"/>
  <c r="H21" i="35"/>
  <c r="D24" i="27" s="1"/>
  <c r="H20" i="35"/>
  <c r="D23" i="27" s="1"/>
  <c r="H19" i="35"/>
  <c r="D22" i="27" s="1"/>
  <c r="H18" i="35"/>
  <c r="D19" i="27" s="1"/>
  <c r="H17" i="35"/>
  <c r="D18" i="27" s="1"/>
  <c r="H16" i="35"/>
  <c r="D17" i="27" s="1"/>
  <c r="H15" i="35"/>
  <c r="D15" i="27" s="1"/>
  <c r="H14" i="35"/>
  <c r="H13" i="35"/>
  <c r="D14" i="27" s="1"/>
  <c r="H12" i="35"/>
  <c r="D13" i="27" s="1"/>
  <c r="H11" i="35"/>
  <c r="H10" i="35"/>
  <c r="D11" i="27" s="1"/>
  <c r="H9" i="35"/>
  <c r="D10" i="27" s="1"/>
  <c r="H8" i="35"/>
  <c r="H7" i="35"/>
  <c r="H6" i="35"/>
  <c r="C32" i="27"/>
  <c r="C31" i="27"/>
  <c r="C30" i="27"/>
  <c r="C23" i="27"/>
  <c r="C22" i="27"/>
  <c r="C19" i="27"/>
  <c r="C15" i="27"/>
  <c r="C13" i="27"/>
  <c r="C11" i="27"/>
  <c r="C8" i="27"/>
  <c r="C7" i="27"/>
  <c r="H24" i="35"/>
  <c r="C10" i="27"/>
  <c r="C14" i="27"/>
  <c r="C24" i="27"/>
  <c r="J46" i="34"/>
  <c r="C30" i="15"/>
  <c r="C28" i="15"/>
  <c r="D28" i="15" s="1"/>
  <c r="F28" i="15" s="1"/>
  <c r="C21" i="15"/>
  <c r="B37" i="31"/>
  <c r="K6" i="31"/>
  <c r="W37" i="24"/>
  <c r="L6" i="27"/>
  <c r="G47" i="31"/>
  <c r="F47" i="31"/>
  <c r="E47" i="31"/>
  <c r="D47" i="31"/>
  <c r="C47" i="31"/>
  <c r="B47" i="31"/>
  <c r="K46" i="31"/>
  <c r="H46" i="31"/>
  <c r="J46" i="31" s="1"/>
  <c r="L46" i="31" s="1"/>
  <c r="M46" i="31" s="1"/>
  <c r="K45" i="31"/>
  <c r="H45" i="31"/>
  <c r="J45" i="31" s="1"/>
  <c r="K44" i="31"/>
  <c r="H44" i="31"/>
  <c r="J44" i="31" s="1"/>
  <c r="K43" i="31"/>
  <c r="H43" i="31"/>
  <c r="J43" i="31" s="1"/>
  <c r="L43" i="31" s="1"/>
  <c r="M43" i="31" s="1"/>
  <c r="K42" i="31"/>
  <c r="H42" i="31"/>
  <c r="J42" i="31" s="1"/>
  <c r="K41" i="31"/>
  <c r="H41" i="31"/>
  <c r="J41" i="31" s="1"/>
  <c r="K40" i="31"/>
  <c r="H40" i="31"/>
  <c r="J40" i="31" s="1"/>
  <c r="L40" i="31" s="1"/>
  <c r="M40" i="31" s="1"/>
  <c r="G37" i="31"/>
  <c r="F37" i="31"/>
  <c r="E37" i="31"/>
  <c r="D37" i="31"/>
  <c r="C37" i="31"/>
  <c r="K36" i="31"/>
  <c r="H36" i="31"/>
  <c r="J36" i="31" s="1"/>
  <c r="K35" i="31"/>
  <c r="H35" i="31"/>
  <c r="J35" i="31" s="1"/>
  <c r="K34" i="31"/>
  <c r="H34" i="31"/>
  <c r="J34" i="31" s="1"/>
  <c r="K33" i="31"/>
  <c r="H33" i="31"/>
  <c r="J33" i="31" s="1"/>
  <c r="K32" i="31"/>
  <c r="H32" i="31"/>
  <c r="J32" i="31" s="1"/>
  <c r="K31" i="31"/>
  <c r="H31" i="31"/>
  <c r="J31" i="31" s="1"/>
  <c r="K30" i="31"/>
  <c r="H30" i="31"/>
  <c r="J30" i="31" s="1"/>
  <c r="K29" i="31"/>
  <c r="H29" i="31"/>
  <c r="J29" i="31" s="1"/>
  <c r="L29" i="31" s="1"/>
  <c r="M29" i="31" s="1"/>
  <c r="K28" i="31"/>
  <c r="H28" i="31"/>
  <c r="J28" i="31" s="1"/>
  <c r="K27" i="31"/>
  <c r="H27" i="31"/>
  <c r="J27" i="31" s="1"/>
  <c r="K26" i="31"/>
  <c r="H26" i="31"/>
  <c r="J26" i="31" s="1"/>
  <c r="K25" i="31"/>
  <c r="H25" i="31"/>
  <c r="J25" i="31" s="1"/>
  <c r="K24" i="31"/>
  <c r="H24" i="31"/>
  <c r="J24" i="31" s="1"/>
  <c r="K23" i="31"/>
  <c r="H23" i="31"/>
  <c r="J23" i="31" s="1"/>
  <c r="K22" i="31"/>
  <c r="H22" i="31"/>
  <c r="J22" i="31" s="1"/>
  <c r="K21" i="31"/>
  <c r="H21" i="31"/>
  <c r="J21" i="31" s="1"/>
  <c r="K20" i="31"/>
  <c r="H20" i="31"/>
  <c r="J20" i="31" s="1"/>
  <c r="L20" i="31" s="1"/>
  <c r="M20" i="31" s="1"/>
  <c r="K19" i="31"/>
  <c r="H19" i="31"/>
  <c r="J19" i="31" s="1"/>
  <c r="K18" i="31"/>
  <c r="H18" i="31"/>
  <c r="J18" i="31" s="1"/>
  <c r="K17" i="31"/>
  <c r="H17" i="31"/>
  <c r="J17" i="31" s="1"/>
  <c r="L17" i="31" s="1"/>
  <c r="M17" i="31" s="1"/>
  <c r="K16" i="31"/>
  <c r="H16" i="31"/>
  <c r="J16" i="31" s="1"/>
  <c r="L16" i="31" s="1"/>
  <c r="M16" i="31" s="1"/>
  <c r="K15" i="31"/>
  <c r="H15" i="31"/>
  <c r="J15" i="31" s="1"/>
  <c r="K14" i="31"/>
  <c r="H14" i="31"/>
  <c r="J14" i="31" s="1"/>
  <c r="K13" i="31"/>
  <c r="H13" i="31"/>
  <c r="J13" i="31" s="1"/>
  <c r="L13" i="31" s="1"/>
  <c r="M13" i="31" s="1"/>
  <c r="K12" i="31"/>
  <c r="H12" i="31"/>
  <c r="J12" i="31" s="1"/>
  <c r="L12" i="31" s="1"/>
  <c r="M12" i="31" s="1"/>
  <c r="K11" i="31"/>
  <c r="H11" i="31"/>
  <c r="J11" i="31" s="1"/>
  <c r="K10" i="31"/>
  <c r="H10" i="31"/>
  <c r="J10" i="31" s="1"/>
  <c r="K9" i="31"/>
  <c r="H9" i="31"/>
  <c r="J9" i="31" s="1"/>
  <c r="K8" i="31"/>
  <c r="H8" i="31"/>
  <c r="J8" i="31" s="1"/>
  <c r="K7" i="31"/>
  <c r="H7" i="31"/>
  <c r="J7" i="31" s="1"/>
  <c r="H6" i="31"/>
  <c r="J6" i="31" s="1"/>
  <c r="C20" i="15"/>
  <c r="C38" i="26"/>
  <c r="F38" i="26" s="1"/>
  <c r="C37" i="26"/>
  <c r="F37" i="26" s="1"/>
  <c r="C36" i="26"/>
  <c r="F36" i="26" s="1"/>
  <c r="C35" i="26"/>
  <c r="F35" i="26" s="1"/>
  <c r="C34" i="26"/>
  <c r="F34" i="26" s="1"/>
  <c r="C33" i="26"/>
  <c r="F33" i="26" s="1"/>
  <c r="C32" i="26"/>
  <c r="F32" i="26" s="1"/>
  <c r="C31" i="26"/>
  <c r="F31" i="26" s="1"/>
  <c r="C30" i="26"/>
  <c r="F30" i="26" s="1"/>
  <c r="C29" i="26"/>
  <c r="F29" i="26" s="1"/>
  <c r="C28" i="26"/>
  <c r="F28" i="26" s="1"/>
  <c r="C27" i="26"/>
  <c r="F27" i="26" s="1"/>
  <c r="C26" i="26"/>
  <c r="F26" i="26" s="1"/>
  <c r="C25" i="26"/>
  <c r="F25" i="26" s="1"/>
  <c r="C24" i="26"/>
  <c r="F24" i="26" s="1"/>
  <c r="C23" i="26"/>
  <c r="F23" i="26" s="1"/>
  <c r="C22" i="26"/>
  <c r="F22" i="26" s="1"/>
  <c r="C21" i="26"/>
  <c r="F21" i="26" s="1"/>
  <c r="C20" i="26"/>
  <c r="F20" i="26" s="1"/>
  <c r="C19" i="26"/>
  <c r="F19" i="26" s="1"/>
  <c r="C18" i="26"/>
  <c r="F18" i="26" s="1"/>
  <c r="C17" i="26"/>
  <c r="F17" i="26" s="1"/>
  <c r="C16" i="26"/>
  <c r="F16" i="26" s="1"/>
  <c r="C15" i="26"/>
  <c r="F15" i="26" s="1"/>
  <c r="C14" i="26"/>
  <c r="F14" i="26" s="1"/>
  <c r="C13" i="26"/>
  <c r="F13" i="26" s="1"/>
  <c r="C12" i="26"/>
  <c r="F12" i="26" s="1"/>
  <c r="C11" i="26"/>
  <c r="F11" i="26" s="1"/>
  <c r="C10" i="26"/>
  <c r="F10" i="26" s="1"/>
  <c r="C9" i="26"/>
  <c r="F9" i="26" s="1"/>
  <c r="R40" i="26"/>
  <c r="H40" i="26"/>
  <c r="D40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P10" i="26"/>
  <c r="J10" i="26"/>
  <c r="J9" i="26"/>
  <c r="P40" i="26"/>
  <c r="G40" i="26"/>
  <c r="F39" i="25"/>
  <c r="C39" i="25"/>
  <c r="E37" i="25"/>
  <c r="G37" i="25" s="1"/>
  <c r="G38" i="15" s="1"/>
  <c r="E36" i="25"/>
  <c r="G36" i="25" s="1"/>
  <c r="E35" i="25"/>
  <c r="G35" i="25" s="1"/>
  <c r="J35" i="25" s="1"/>
  <c r="E34" i="25"/>
  <c r="G34" i="25" s="1"/>
  <c r="E33" i="25"/>
  <c r="G33" i="25" s="1"/>
  <c r="E32" i="25"/>
  <c r="G32" i="25" s="1"/>
  <c r="E31" i="25"/>
  <c r="G31" i="25" s="1"/>
  <c r="E30" i="25"/>
  <c r="G30" i="25" s="1"/>
  <c r="L31" i="26" s="1"/>
  <c r="E29" i="25"/>
  <c r="G29" i="25" s="1"/>
  <c r="D29" i="20" s="1"/>
  <c r="E29" i="20" s="1"/>
  <c r="E28" i="25"/>
  <c r="G28" i="25" s="1"/>
  <c r="E27" i="25"/>
  <c r="G27" i="25" s="1"/>
  <c r="L28" i="26" s="1"/>
  <c r="E26" i="25"/>
  <c r="G26" i="25" s="1"/>
  <c r="J26" i="25" s="1"/>
  <c r="E25" i="25"/>
  <c r="G25" i="25" s="1"/>
  <c r="E24" i="25"/>
  <c r="G24" i="25"/>
  <c r="D24" i="20" s="1"/>
  <c r="E24" i="20" s="1"/>
  <c r="E23" i="25"/>
  <c r="G23" i="25" s="1"/>
  <c r="E22" i="25"/>
  <c r="G22" i="25" s="1"/>
  <c r="J22" i="25" s="1"/>
  <c r="E21" i="25"/>
  <c r="G21" i="25" s="1"/>
  <c r="L22" i="26" s="1"/>
  <c r="E20" i="25"/>
  <c r="G20" i="25" s="1"/>
  <c r="F21" i="13" s="1"/>
  <c r="E19" i="25"/>
  <c r="G19" i="25" s="1"/>
  <c r="E18" i="25"/>
  <c r="G18" i="25" s="1"/>
  <c r="E17" i="25"/>
  <c r="G17" i="25" s="1"/>
  <c r="E16" i="25"/>
  <c r="G16" i="25" s="1"/>
  <c r="D16" i="20" s="1"/>
  <c r="E16" i="20" s="1"/>
  <c r="E15" i="25"/>
  <c r="G15" i="25" s="1"/>
  <c r="D15" i="20" s="1"/>
  <c r="E15" i="20" s="1"/>
  <c r="E14" i="25"/>
  <c r="G14" i="25" s="1"/>
  <c r="E13" i="25"/>
  <c r="G13" i="25" s="1"/>
  <c r="G14" i="15" s="1"/>
  <c r="E12" i="25"/>
  <c r="G12" i="25" s="1"/>
  <c r="E11" i="25"/>
  <c r="G11" i="25" s="1"/>
  <c r="E10" i="25"/>
  <c r="G10" i="25" s="1"/>
  <c r="J10" i="25" s="1"/>
  <c r="E9" i="25"/>
  <c r="G9" i="25" s="1"/>
  <c r="D9" i="20" s="1"/>
  <c r="E9" i="20" s="1"/>
  <c r="E8" i="25"/>
  <c r="G8" i="25" s="1"/>
  <c r="C10" i="15"/>
  <c r="F40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C40" i="13"/>
  <c r="D29" i="15"/>
  <c r="F29" i="15" s="1"/>
  <c r="D16" i="15"/>
  <c r="F16" i="15" s="1"/>
  <c r="F8" i="20"/>
  <c r="D37" i="24"/>
  <c r="L37" i="24"/>
  <c r="O39" i="24" s="1"/>
  <c r="N35" i="24" s="1"/>
  <c r="M37" i="24"/>
  <c r="D9" i="15"/>
  <c r="F9" i="15" s="1"/>
  <c r="D37" i="11"/>
  <c r="C39" i="20"/>
  <c r="F33" i="20"/>
  <c r="K26" i="17"/>
  <c r="M26" i="17" s="1"/>
  <c r="E24" i="24" s="1"/>
  <c r="K8" i="17"/>
  <c r="M8" i="17" s="1"/>
  <c r="E6" i="24" s="1"/>
  <c r="K9" i="17"/>
  <c r="M9" i="17" s="1"/>
  <c r="E7" i="24" s="1"/>
  <c r="K10" i="17"/>
  <c r="M10" i="17" s="1"/>
  <c r="E8" i="24" s="1"/>
  <c r="K11" i="17"/>
  <c r="M11" i="17" s="1"/>
  <c r="E9" i="24" s="1"/>
  <c r="K12" i="17"/>
  <c r="M12" i="17" s="1"/>
  <c r="E10" i="24" s="1"/>
  <c r="K13" i="17"/>
  <c r="M13" i="17" s="1"/>
  <c r="E11" i="24" s="1"/>
  <c r="K14" i="17"/>
  <c r="M14" i="17" s="1"/>
  <c r="E12" i="24" s="1"/>
  <c r="K15" i="17"/>
  <c r="M15" i="17" s="1"/>
  <c r="E13" i="24" s="1"/>
  <c r="K16" i="17"/>
  <c r="M16" i="17" s="1"/>
  <c r="E14" i="24" s="1"/>
  <c r="K17" i="17"/>
  <c r="M17" i="17" s="1"/>
  <c r="E15" i="24" s="1"/>
  <c r="K18" i="17"/>
  <c r="M18" i="17" s="1"/>
  <c r="E16" i="24" s="1"/>
  <c r="K19" i="17"/>
  <c r="M19" i="17" s="1"/>
  <c r="E17" i="24" s="1"/>
  <c r="K20" i="17"/>
  <c r="M20" i="17" s="1"/>
  <c r="E18" i="24" s="1"/>
  <c r="K23" i="17"/>
  <c r="M23" i="17" s="1"/>
  <c r="E21" i="24" s="1"/>
  <c r="K24" i="17"/>
  <c r="M24" i="17" s="1"/>
  <c r="E22" i="24" s="1"/>
  <c r="K25" i="17"/>
  <c r="M25" i="17" s="1"/>
  <c r="E23" i="24" s="1"/>
  <c r="M27" i="17"/>
  <c r="E25" i="24" s="1"/>
  <c r="K28" i="17"/>
  <c r="M28" i="17" s="1"/>
  <c r="E26" i="24" s="1"/>
  <c r="K29" i="17"/>
  <c r="M29" i="17" s="1"/>
  <c r="E27" i="24" s="1"/>
  <c r="K30" i="17"/>
  <c r="M30" i="17" s="1"/>
  <c r="E28" i="24" s="1"/>
  <c r="K31" i="17"/>
  <c r="M31" i="17" s="1"/>
  <c r="E29" i="24" s="1"/>
  <c r="K32" i="17"/>
  <c r="M32" i="17" s="1"/>
  <c r="E30" i="24" s="1"/>
  <c r="K33" i="17"/>
  <c r="M33" i="17" s="1"/>
  <c r="E31" i="24" s="1"/>
  <c r="K34" i="17"/>
  <c r="M34" i="17" s="1"/>
  <c r="E32" i="24" s="1"/>
  <c r="K36" i="17"/>
  <c r="M36" i="17" s="1"/>
  <c r="E34" i="24" s="1"/>
  <c r="K37" i="17"/>
  <c r="M37" i="17" s="1"/>
  <c r="E35" i="24" s="1"/>
  <c r="K35" i="17"/>
  <c r="M35" i="17" s="1"/>
  <c r="E33" i="24" s="1"/>
  <c r="K22" i="17"/>
  <c r="M22" i="17" s="1"/>
  <c r="E20" i="24" s="1"/>
  <c r="K21" i="17"/>
  <c r="M21" i="17" s="1"/>
  <c r="E19" i="24" s="1"/>
  <c r="D10" i="15"/>
  <c r="F10" i="15" s="1"/>
  <c r="D13" i="15"/>
  <c r="F13" i="15" s="1"/>
  <c r="D14" i="15"/>
  <c r="F14" i="15" s="1"/>
  <c r="D19" i="15"/>
  <c r="F19" i="15" s="1"/>
  <c r="D21" i="15"/>
  <c r="F21" i="15" s="1"/>
  <c r="D22" i="15"/>
  <c r="F22" i="15" s="1"/>
  <c r="D23" i="15"/>
  <c r="F23" i="15" s="1"/>
  <c r="D24" i="15"/>
  <c r="F24" i="15" s="1"/>
  <c r="D27" i="15"/>
  <c r="F27" i="15" s="1"/>
  <c r="D31" i="15"/>
  <c r="F31" i="15" s="1"/>
  <c r="D36" i="15"/>
  <c r="F36" i="15" s="1"/>
  <c r="D38" i="15"/>
  <c r="F38" i="15" s="1"/>
  <c r="D11" i="15"/>
  <c r="F11" i="15" s="1"/>
  <c r="D12" i="15"/>
  <c r="F12" i="15" s="1"/>
  <c r="D15" i="15"/>
  <c r="F15" i="15" s="1"/>
  <c r="D17" i="15"/>
  <c r="F17" i="15" s="1"/>
  <c r="D18" i="15"/>
  <c r="F18" i="15" s="1"/>
  <c r="D25" i="15"/>
  <c r="F25" i="15" s="1"/>
  <c r="D26" i="15"/>
  <c r="F26" i="15" s="1"/>
  <c r="D30" i="15"/>
  <c r="F30" i="15" s="1"/>
  <c r="D32" i="15"/>
  <c r="F32" i="15" s="1"/>
  <c r="D33" i="15"/>
  <c r="F33" i="15" s="1"/>
  <c r="D35" i="15"/>
  <c r="F35" i="15" s="1"/>
  <c r="D37" i="15"/>
  <c r="F37" i="15" s="1"/>
  <c r="D20" i="15"/>
  <c r="F20" i="15" s="1"/>
  <c r="F37" i="20"/>
  <c r="F36" i="20"/>
  <c r="F35" i="20"/>
  <c r="F34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L39" i="17"/>
  <c r="D34" i="15"/>
  <c r="F34" i="15" s="1"/>
  <c r="A45" i="15"/>
  <c r="A42" i="20"/>
  <c r="A42" i="17"/>
  <c r="E40" i="15"/>
  <c r="I39" i="17"/>
  <c r="H39" i="17"/>
  <c r="G39" i="17"/>
  <c r="F39" i="17"/>
  <c r="E39" i="17"/>
  <c r="C39" i="17"/>
  <c r="B15" i="32"/>
  <c r="C8" i="32"/>
  <c r="B8" i="32"/>
  <c r="B12" i="32"/>
  <c r="C12" i="32"/>
  <c r="N15" i="24" l="1"/>
  <c r="D36" i="20"/>
  <c r="E36" i="20" s="1"/>
  <c r="G36" i="20" s="1"/>
  <c r="J36" i="25"/>
  <c r="L23" i="31"/>
  <c r="M23" i="31" s="1"/>
  <c r="L11" i="31"/>
  <c r="M11" i="31" s="1"/>
  <c r="L7" i="31"/>
  <c r="M7" i="31" s="1"/>
  <c r="L11" i="26"/>
  <c r="C40" i="15"/>
  <c r="K14" i="26"/>
  <c r="E48" i="31"/>
  <c r="L42" i="31"/>
  <c r="M42" i="31" s="1"/>
  <c r="L34" i="31"/>
  <c r="M34" i="31" s="1"/>
  <c r="L32" i="31"/>
  <c r="M32" i="31" s="1"/>
  <c r="L30" i="31"/>
  <c r="M30" i="31" s="1"/>
  <c r="L28" i="31"/>
  <c r="M28" i="31" s="1"/>
  <c r="L27" i="31"/>
  <c r="M27" i="31" s="1"/>
  <c r="L26" i="31"/>
  <c r="M26" i="31" s="1"/>
  <c r="L25" i="31"/>
  <c r="M25" i="31" s="1"/>
  <c r="L22" i="31"/>
  <c r="M22" i="31" s="1"/>
  <c r="L19" i="31"/>
  <c r="M19" i="31" s="1"/>
  <c r="L9" i="31"/>
  <c r="M9" i="31" s="1"/>
  <c r="L8" i="31"/>
  <c r="M8" i="31" s="1"/>
  <c r="K24" i="26"/>
  <c r="K15" i="26"/>
  <c r="K10" i="26"/>
  <c r="D12" i="20"/>
  <c r="E12" i="20" s="1"/>
  <c r="G12" i="20" s="1"/>
  <c r="G13" i="15"/>
  <c r="H13" i="15" s="1"/>
  <c r="G10" i="24" s="1"/>
  <c r="F38" i="13"/>
  <c r="H38" i="13" s="1"/>
  <c r="I35" i="24" s="1"/>
  <c r="F28" i="13"/>
  <c r="H28" i="13" s="1"/>
  <c r="I25" i="24" s="1"/>
  <c r="G28" i="15"/>
  <c r="H28" i="15" s="1"/>
  <c r="G25" i="24" s="1"/>
  <c r="J39" i="17"/>
  <c r="M39" i="17"/>
  <c r="K39" i="17"/>
  <c r="E35" i="27"/>
  <c r="H34" i="24" s="1"/>
  <c r="E18" i="27"/>
  <c r="H17" i="24" s="1"/>
  <c r="E34" i="27"/>
  <c r="H33" i="24" s="1"/>
  <c r="E33" i="27"/>
  <c r="H32" i="24" s="1"/>
  <c r="E21" i="27"/>
  <c r="H20" i="24" s="1"/>
  <c r="E20" i="27"/>
  <c r="H19" i="24" s="1"/>
  <c r="E31" i="27"/>
  <c r="H30" i="24" s="1"/>
  <c r="E27" i="27"/>
  <c r="H26" i="24" s="1"/>
  <c r="E28" i="27"/>
  <c r="H27" i="24" s="1"/>
  <c r="E32" i="27"/>
  <c r="H31" i="24" s="1"/>
  <c r="E26" i="27"/>
  <c r="H25" i="24" s="1"/>
  <c r="E29" i="27"/>
  <c r="H28" i="24" s="1"/>
  <c r="E30" i="27"/>
  <c r="H29" i="24" s="1"/>
  <c r="C38" i="27"/>
  <c r="E19" i="27"/>
  <c r="H18" i="24" s="1"/>
  <c r="E14" i="27"/>
  <c r="H13" i="24" s="1"/>
  <c r="E10" i="27"/>
  <c r="H9" i="24" s="1"/>
  <c r="E23" i="27"/>
  <c r="H22" i="24" s="1"/>
  <c r="E13" i="27"/>
  <c r="H12" i="24" s="1"/>
  <c r="E17" i="27"/>
  <c r="H16" i="24" s="1"/>
  <c r="E11" i="27"/>
  <c r="H10" i="24" s="1"/>
  <c r="E15" i="27"/>
  <c r="H14" i="24" s="1"/>
  <c r="E24" i="27"/>
  <c r="H23" i="24" s="1"/>
  <c r="E22" i="27"/>
  <c r="H21" i="24" s="1"/>
  <c r="D12" i="27"/>
  <c r="E12" i="27" s="1"/>
  <c r="H11" i="24" s="1"/>
  <c r="D7" i="27"/>
  <c r="D8" i="27"/>
  <c r="E8" i="27" s="1"/>
  <c r="H7" i="24" s="1"/>
  <c r="H23" i="35"/>
  <c r="H22" i="35" s="1"/>
  <c r="D25" i="27" s="1"/>
  <c r="E25" i="27" s="1"/>
  <c r="H24" i="24" s="1"/>
  <c r="D9" i="27"/>
  <c r="E9" i="27" s="1"/>
  <c r="H8" i="24" s="1"/>
  <c r="H45" i="35"/>
  <c r="K38" i="26"/>
  <c r="K33" i="26"/>
  <c r="K29" i="26"/>
  <c r="K28" i="26"/>
  <c r="M28" i="26" s="1"/>
  <c r="Q28" i="26" s="1"/>
  <c r="S28" i="26" s="1"/>
  <c r="F25" i="24" s="1"/>
  <c r="K23" i="26"/>
  <c r="K13" i="26"/>
  <c r="G48" i="31"/>
  <c r="F48" i="31"/>
  <c r="L35" i="31"/>
  <c r="M35" i="31" s="1"/>
  <c r="L21" i="31"/>
  <c r="M21" i="31" s="1"/>
  <c r="L45" i="31"/>
  <c r="M45" i="31" s="1"/>
  <c r="L44" i="31"/>
  <c r="M44" i="31" s="1"/>
  <c r="H47" i="31"/>
  <c r="L41" i="31"/>
  <c r="M41" i="31" s="1"/>
  <c r="J47" i="31"/>
  <c r="D48" i="31"/>
  <c r="L36" i="31"/>
  <c r="M36" i="31" s="1"/>
  <c r="L33" i="31"/>
  <c r="M33" i="31" s="1"/>
  <c r="L31" i="31"/>
  <c r="M31" i="31" s="1"/>
  <c r="L24" i="31"/>
  <c r="M24" i="31" s="1"/>
  <c r="L18" i="31"/>
  <c r="M18" i="31" s="1"/>
  <c r="L15" i="31"/>
  <c r="M15" i="31" s="1"/>
  <c r="L14" i="31"/>
  <c r="M14" i="31" s="1"/>
  <c r="J37" i="31"/>
  <c r="L10" i="31"/>
  <c r="M10" i="31" s="1"/>
  <c r="H37" i="31"/>
  <c r="L6" i="31"/>
  <c r="M6" i="31" s="1"/>
  <c r="K47" i="31"/>
  <c r="C48" i="31"/>
  <c r="K37" i="31"/>
  <c r="B48" i="31"/>
  <c r="H38" i="15"/>
  <c r="G35" i="24" s="1"/>
  <c r="H14" i="15"/>
  <c r="G11" i="24" s="1"/>
  <c r="G16" i="20"/>
  <c r="K17" i="26"/>
  <c r="G29" i="20"/>
  <c r="K12" i="26"/>
  <c r="N28" i="24"/>
  <c r="K20" i="26"/>
  <c r="K27" i="26"/>
  <c r="E37" i="24"/>
  <c r="K36" i="26"/>
  <c r="K35" i="26"/>
  <c r="K22" i="26"/>
  <c r="M22" i="26" s="1"/>
  <c r="Q22" i="26" s="1"/>
  <c r="S22" i="26" s="1"/>
  <c r="F19" i="24" s="1"/>
  <c r="K18" i="26"/>
  <c r="K11" i="26"/>
  <c r="K37" i="26"/>
  <c r="J40" i="26"/>
  <c r="K34" i="26"/>
  <c r="K30" i="26"/>
  <c r="K26" i="26"/>
  <c r="K31" i="26"/>
  <c r="M31" i="26" s="1"/>
  <c r="Q31" i="26" s="1"/>
  <c r="S31" i="26" s="1"/>
  <c r="F28" i="24" s="1"/>
  <c r="K25" i="26"/>
  <c r="K32" i="26"/>
  <c r="K19" i="26"/>
  <c r="K21" i="26"/>
  <c r="K16" i="26"/>
  <c r="E40" i="13"/>
  <c r="H21" i="13"/>
  <c r="I18" i="24" s="1"/>
  <c r="D40" i="15"/>
  <c r="F40" i="15"/>
  <c r="G24" i="20"/>
  <c r="G15" i="20"/>
  <c r="F39" i="20"/>
  <c r="G9" i="20"/>
  <c r="F40" i="26"/>
  <c r="C40" i="26"/>
  <c r="K9" i="26"/>
  <c r="L37" i="26"/>
  <c r="G35" i="15"/>
  <c r="H35" i="15" s="1"/>
  <c r="G32" i="24" s="1"/>
  <c r="F35" i="13"/>
  <c r="H35" i="13" s="1"/>
  <c r="I32" i="24" s="1"/>
  <c r="D34" i="20"/>
  <c r="E34" i="20" s="1"/>
  <c r="G34" i="20" s="1"/>
  <c r="L35" i="26"/>
  <c r="D27" i="20"/>
  <c r="E27" i="20" s="1"/>
  <c r="G27" i="20" s="1"/>
  <c r="F17" i="13"/>
  <c r="H17" i="13" s="1"/>
  <c r="I14" i="24" s="1"/>
  <c r="L14" i="26"/>
  <c r="F16" i="13"/>
  <c r="H16" i="13" s="1"/>
  <c r="I13" i="24" s="1"/>
  <c r="L38" i="26"/>
  <c r="L36" i="26"/>
  <c r="G34" i="15"/>
  <c r="H34" i="15" s="1"/>
  <c r="G31" i="24" s="1"/>
  <c r="F34" i="13"/>
  <c r="H34" i="13" s="1"/>
  <c r="I31" i="24" s="1"/>
  <c r="D33" i="20"/>
  <c r="E33" i="20" s="1"/>
  <c r="G33" i="20" s="1"/>
  <c r="L34" i="26"/>
  <c r="F33" i="13"/>
  <c r="H33" i="13" s="1"/>
  <c r="I30" i="24" s="1"/>
  <c r="L33" i="26"/>
  <c r="D30" i="20"/>
  <c r="E30" i="20" s="1"/>
  <c r="G30" i="20" s="1"/>
  <c r="G31" i="15"/>
  <c r="H31" i="15" s="1"/>
  <c r="G28" i="24" s="1"/>
  <c r="F31" i="13"/>
  <c r="H31" i="13" s="1"/>
  <c r="I28" i="24" s="1"/>
  <c r="D26" i="20"/>
  <c r="E26" i="20" s="1"/>
  <c r="G26" i="20" s="1"/>
  <c r="D22" i="20"/>
  <c r="E22" i="20" s="1"/>
  <c r="G22" i="20" s="1"/>
  <c r="F23" i="13"/>
  <c r="H23" i="13" s="1"/>
  <c r="I20" i="24" s="1"/>
  <c r="L23" i="26"/>
  <c r="G23" i="15"/>
  <c r="H23" i="15" s="1"/>
  <c r="G20" i="24" s="1"/>
  <c r="D21" i="20"/>
  <c r="E21" i="20" s="1"/>
  <c r="G21" i="20" s="1"/>
  <c r="G22" i="15"/>
  <c r="H22" i="15" s="1"/>
  <c r="G19" i="24" s="1"/>
  <c r="D20" i="20"/>
  <c r="E20" i="20" s="1"/>
  <c r="G20" i="20" s="1"/>
  <c r="D18" i="20"/>
  <c r="E18" i="20" s="1"/>
  <c r="G18" i="20" s="1"/>
  <c r="F19" i="13"/>
  <c r="H19" i="13" s="1"/>
  <c r="I16" i="24" s="1"/>
  <c r="F15" i="13"/>
  <c r="H15" i="13" s="1"/>
  <c r="I12" i="24" s="1"/>
  <c r="G15" i="15"/>
  <c r="H15" i="15" s="1"/>
  <c r="G12" i="24" s="1"/>
  <c r="L15" i="26"/>
  <c r="D14" i="20"/>
  <c r="E14" i="20" s="1"/>
  <c r="G14" i="20" s="1"/>
  <c r="D13" i="20"/>
  <c r="E13" i="20" s="1"/>
  <c r="G13" i="20" s="1"/>
  <c r="F14" i="13"/>
  <c r="H14" i="13" s="1"/>
  <c r="I11" i="24" s="1"/>
  <c r="D37" i="20"/>
  <c r="E37" i="20" s="1"/>
  <c r="G37" i="20" s="1"/>
  <c r="G37" i="15"/>
  <c r="H37" i="15" s="1"/>
  <c r="G34" i="24" s="1"/>
  <c r="F37" i="13"/>
  <c r="H37" i="13" s="1"/>
  <c r="I34" i="24" s="1"/>
  <c r="G36" i="15"/>
  <c r="H36" i="15" s="1"/>
  <c r="G33" i="24" s="1"/>
  <c r="F36" i="13"/>
  <c r="H36" i="13" s="1"/>
  <c r="I33" i="24" s="1"/>
  <c r="D35" i="20"/>
  <c r="E35" i="20" s="1"/>
  <c r="G35" i="20" s="1"/>
  <c r="G33" i="15"/>
  <c r="H33" i="15" s="1"/>
  <c r="G30" i="24" s="1"/>
  <c r="D32" i="20"/>
  <c r="E32" i="20" s="1"/>
  <c r="G32" i="20" s="1"/>
  <c r="G32" i="15"/>
  <c r="H32" i="15" s="1"/>
  <c r="G29" i="24" s="1"/>
  <c r="L32" i="26"/>
  <c r="D31" i="20"/>
  <c r="E31" i="20" s="1"/>
  <c r="G31" i="20" s="1"/>
  <c r="F32" i="13"/>
  <c r="H32" i="13" s="1"/>
  <c r="I29" i="24" s="1"/>
  <c r="G30" i="15"/>
  <c r="H30" i="15" s="1"/>
  <c r="G27" i="24" s="1"/>
  <c r="L30" i="26"/>
  <c r="F30" i="13"/>
  <c r="H30" i="13" s="1"/>
  <c r="I27" i="24" s="1"/>
  <c r="L29" i="26"/>
  <c r="G29" i="15"/>
  <c r="H29" i="15" s="1"/>
  <c r="G26" i="24" s="1"/>
  <c r="D28" i="20"/>
  <c r="E28" i="20" s="1"/>
  <c r="G28" i="20" s="1"/>
  <c r="F29" i="13"/>
  <c r="H29" i="13" s="1"/>
  <c r="I26" i="24" s="1"/>
  <c r="G27" i="15"/>
  <c r="H27" i="15" s="1"/>
  <c r="G24" i="24" s="1"/>
  <c r="L27" i="26"/>
  <c r="F27" i="13"/>
  <c r="H27" i="13" s="1"/>
  <c r="I24" i="24" s="1"/>
  <c r="L26" i="26"/>
  <c r="F26" i="13"/>
  <c r="H26" i="13" s="1"/>
  <c r="I23" i="24" s="1"/>
  <c r="G26" i="15"/>
  <c r="H26" i="15" s="1"/>
  <c r="G23" i="24" s="1"/>
  <c r="D25" i="20"/>
  <c r="E25" i="20" s="1"/>
  <c r="G25" i="20" s="1"/>
  <c r="F25" i="13"/>
  <c r="H25" i="13" s="1"/>
  <c r="I22" i="24" s="1"/>
  <c r="L25" i="26"/>
  <c r="G25" i="15"/>
  <c r="H25" i="15" s="1"/>
  <c r="G22" i="24" s="1"/>
  <c r="L24" i="26"/>
  <c r="F24" i="13"/>
  <c r="H24" i="13" s="1"/>
  <c r="I21" i="24" s="1"/>
  <c r="D23" i="20"/>
  <c r="E23" i="20" s="1"/>
  <c r="G23" i="20" s="1"/>
  <c r="G24" i="15"/>
  <c r="H24" i="15" s="1"/>
  <c r="G21" i="24" s="1"/>
  <c r="F22" i="13"/>
  <c r="H22" i="13" s="1"/>
  <c r="I19" i="24" s="1"/>
  <c r="L21" i="26"/>
  <c r="G21" i="15"/>
  <c r="H21" i="15" s="1"/>
  <c r="G18" i="24" s="1"/>
  <c r="D19" i="20"/>
  <c r="E19" i="20" s="1"/>
  <c r="G19" i="20" s="1"/>
  <c r="F20" i="13"/>
  <c r="H20" i="13" s="1"/>
  <c r="I17" i="24" s="1"/>
  <c r="G20" i="15"/>
  <c r="H20" i="15" s="1"/>
  <c r="G17" i="24" s="1"/>
  <c r="L20" i="26"/>
  <c r="L19" i="26"/>
  <c r="G19" i="15"/>
  <c r="H19" i="15" s="1"/>
  <c r="G16" i="24" s="1"/>
  <c r="D17" i="20"/>
  <c r="E17" i="20" s="1"/>
  <c r="G17" i="20" s="1"/>
  <c r="G18" i="15"/>
  <c r="H18" i="15" s="1"/>
  <c r="G15" i="24" s="1"/>
  <c r="L18" i="26"/>
  <c r="F18" i="13"/>
  <c r="H18" i="13" s="1"/>
  <c r="I15" i="24" s="1"/>
  <c r="L17" i="26"/>
  <c r="G17" i="15"/>
  <c r="H17" i="15" s="1"/>
  <c r="G14" i="24" s="1"/>
  <c r="G16" i="15"/>
  <c r="H16" i="15" s="1"/>
  <c r="G13" i="24" s="1"/>
  <c r="L16" i="26"/>
  <c r="L13" i="26"/>
  <c r="F13" i="13"/>
  <c r="H13" i="13" s="1"/>
  <c r="I10" i="24" s="1"/>
  <c r="D11" i="20"/>
  <c r="E11" i="20" s="1"/>
  <c r="G11" i="20" s="1"/>
  <c r="G12" i="15"/>
  <c r="H12" i="15" s="1"/>
  <c r="G9" i="24" s="1"/>
  <c r="F12" i="13"/>
  <c r="H12" i="13" s="1"/>
  <c r="I9" i="24" s="1"/>
  <c r="L12" i="26"/>
  <c r="E39" i="25"/>
  <c r="G39" i="25" s="1"/>
  <c r="G40" i="15" s="1"/>
  <c r="F11" i="13"/>
  <c r="H11" i="13" s="1"/>
  <c r="I8" i="24" s="1"/>
  <c r="G11" i="15"/>
  <c r="H11" i="15" s="1"/>
  <c r="G8" i="24" s="1"/>
  <c r="D10" i="20"/>
  <c r="E10" i="20" s="1"/>
  <c r="G10" i="20" s="1"/>
  <c r="L10" i="26"/>
  <c r="F10" i="13"/>
  <c r="H10" i="13" s="1"/>
  <c r="I7" i="24" s="1"/>
  <c r="G10" i="15"/>
  <c r="H10" i="15" s="1"/>
  <c r="G7" i="24" s="1"/>
  <c r="F9" i="13"/>
  <c r="H9" i="13" s="1"/>
  <c r="G9" i="15"/>
  <c r="H9" i="15" s="1"/>
  <c r="D8" i="20"/>
  <c r="E8" i="20" s="1"/>
  <c r="L9" i="26"/>
  <c r="N13" i="24"/>
  <c r="N21" i="24"/>
  <c r="N29" i="24"/>
  <c r="N11" i="24"/>
  <c r="N19" i="24"/>
  <c r="N27" i="24"/>
  <c r="N6" i="24"/>
  <c r="N14" i="24"/>
  <c r="N8" i="24"/>
  <c r="N16" i="24"/>
  <c r="N24" i="24"/>
  <c r="N32" i="24"/>
  <c r="N10" i="24"/>
  <c r="N25" i="24"/>
  <c r="N17" i="24"/>
  <c r="N30" i="24"/>
  <c r="N22" i="24"/>
  <c r="N34" i="24"/>
  <c r="N7" i="24"/>
  <c r="N26" i="24"/>
  <c r="N18" i="24"/>
  <c r="N31" i="24"/>
  <c r="N12" i="24"/>
  <c r="N33" i="24"/>
  <c r="N23" i="24"/>
  <c r="N20" i="24"/>
  <c r="N9" i="24"/>
  <c r="C15" i="32"/>
  <c r="M24" i="26" l="1"/>
  <c r="Q24" i="26" s="1"/>
  <c r="S24" i="26" s="1"/>
  <c r="F21" i="24" s="1"/>
  <c r="M15" i="26"/>
  <c r="Q15" i="26" s="1"/>
  <c r="S15" i="26" s="1"/>
  <c r="F12" i="24" s="1"/>
  <c r="M26" i="26"/>
  <c r="Q26" i="26" s="1"/>
  <c r="S26" i="26" s="1"/>
  <c r="F23" i="24" s="1"/>
  <c r="J23" i="24" s="1"/>
  <c r="M29" i="26"/>
  <c r="Q29" i="26" s="1"/>
  <c r="S29" i="26" s="1"/>
  <c r="F26" i="24" s="1"/>
  <c r="J26" i="24" s="1"/>
  <c r="M14" i="26"/>
  <c r="Q14" i="26" s="1"/>
  <c r="S14" i="26" s="1"/>
  <c r="F11" i="24" s="1"/>
  <c r="J11" i="24" s="1"/>
  <c r="K48" i="31"/>
  <c r="M13" i="26"/>
  <c r="Q13" i="26" s="1"/>
  <c r="S13" i="26" s="1"/>
  <c r="F10" i="24" s="1"/>
  <c r="J10" i="24" s="1"/>
  <c r="M23" i="26"/>
  <c r="Q23" i="26" s="1"/>
  <c r="S23" i="26" s="1"/>
  <c r="F20" i="24" s="1"/>
  <c r="J20" i="24" s="1"/>
  <c r="M33" i="26"/>
  <c r="Q33" i="26" s="1"/>
  <c r="S33" i="26" s="1"/>
  <c r="F30" i="24" s="1"/>
  <c r="J30" i="24" s="1"/>
  <c r="M34" i="26"/>
  <c r="Q34" i="26" s="1"/>
  <c r="S34" i="26" s="1"/>
  <c r="F31" i="24" s="1"/>
  <c r="J31" i="24" s="1"/>
  <c r="M20" i="26"/>
  <c r="Q20" i="26" s="1"/>
  <c r="S20" i="26" s="1"/>
  <c r="F17" i="24" s="1"/>
  <c r="J17" i="24" s="1"/>
  <c r="M38" i="26"/>
  <c r="Q38" i="26" s="1"/>
  <c r="S38" i="26" s="1"/>
  <c r="F35" i="24" s="1"/>
  <c r="J35" i="24" s="1"/>
  <c r="J25" i="24"/>
  <c r="H37" i="35"/>
  <c r="H46" i="35" s="1"/>
  <c r="D38" i="27"/>
  <c r="E7" i="27"/>
  <c r="H6" i="24" s="1"/>
  <c r="M16" i="26"/>
  <c r="Q16" i="26" s="1"/>
  <c r="S16" i="26" s="1"/>
  <c r="F13" i="24" s="1"/>
  <c r="J13" i="24" s="1"/>
  <c r="M12" i="26"/>
  <c r="Q12" i="26" s="1"/>
  <c r="S12" i="26" s="1"/>
  <c r="F9" i="24" s="1"/>
  <c r="J9" i="24" s="1"/>
  <c r="M10" i="26"/>
  <c r="Q10" i="26" s="1"/>
  <c r="S10" i="26" s="1"/>
  <c r="F7" i="24" s="1"/>
  <c r="J7" i="24" s="1"/>
  <c r="M9" i="26"/>
  <c r="Q9" i="26" s="1"/>
  <c r="J48" i="31"/>
  <c r="L47" i="31"/>
  <c r="M47" i="31" s="1"/>
  <c r="H48" i="31"/>
  <c r="I36" i="31" s="1"/>
  <c r="L37" i="31"/>
  <c r="J12" i="24"/>
  <c r="M17" i="26"/>
  <c r="Q17" i="26" s="1"/>
  <c r="S17" i="26" s="1"/>
  <c r="F14" i="24" s="1"/>
  <c r="J14" i="24" s="1"/>
  <c r="M30" i="26"/>
  <c r="Q30" i="26" s="1"/>
  <c r="S30" i="26" s="1"/>
  <c r="F27" i="24" s="1"/>
  <c r="J27" i="24" s="1"/>
  <c r="M35" i="26"/>
  <c r="Q35" i="26" s="1"/>
  <c r="S35" i="26" s="1"/>
  <c r="F32" i="24" s="1"/>
  <c r="J32" i="24" s="1"/>
  <c r="M18" i="26"/>
  <c r="Q18" i="26" s="1"/>
  <c r="S18" i="26" s="1"/>
  <c r="F15" i="24" s="1"/>
  <c r="J15" i="24" s="1"/>
  <c r="M36" i="26"/>
  <c r="Q36" i="26" s="1"/>
  <c r="S36" i="26" s="1"/>
  <c r="F33" i="24" s="1"/>
  <c r="J33" i="24" s="1"/>
  <c r="M19" i="26"/>
  <c r="Q19" i="26" s="1"/>
  <c r="S19" i="26" s="1"/>
  <c r="F16" i="24" s="1"/>
  <c r="J16" i="24" s="1"/>
  <c r="M37" i="26"/>
  <c r="Q37" i="26" s="1"/>
  <c r="S37" i="26" s="1"/>
  <c r="F34" i="24" s="1"/>
  <c r="J34" i="24" s="1"/>
  <c r="M21" i="26"/>
  <c r="Q21" i="26" s="1"/>
  <c r="S21" i="26" s="1"/>
  <c r="F18" i="24" s="1"/>
  <c r="J18" i="24" s="1"/>
  <c r="M11" i="26"/>
  <c r="Q11" i="26" s="1"/>
  <c r="S11" i="26" s="1"/>
  <c r="F8" i="24" s="1"/>
  <c r="J8" i="24" s="1"/>
  <c r="J19" i="24"/>
  <c r="M27" i="26"/>
  <c r="Q27" i="26" s="1"/>
  <c r="S27" i="26" s="1"/>
  <c r="F24" i="24" s="1"/>
  <c r="J24" i="24" s="1"/>
  <c r="K40" i="26"/>
  <c r="M25" i="26"/>
  <c r="Q25" i="26" s="1"/>
  <c r="S25" i="26" s="1"/>
  <c r="F22" i="24" s="1"/>
  <c r="J22" i="24" s="1"/>
  <c r="M32" i="26"/>
  <c r="Q32" i="26" s="1"/>
  <c r="S32" i="26" s="1"/>
  <c r="F29" i="24" s="1"/>
  <c r="J29" i="24" s="1"/>
  <c r="J28" i="24"/>
  <c r="J21" i="24"/>
  <c r="L40" i="26"/>
  <c r="D39" i="20"/>
  <c r="J39" i="25"/>
  <c r="G8" i="20"/>
  <c r="E39" i="20"/>
  <c r="G39" i="20" s="1"/>
  <c r="H40" i="15"/>
  <c r="G6" i="24"/>
  <c r="G37" i="24" s="1"/>
  <c r="I6" i="24"/>
  <c r="I37" i="24" s="1"/>
  <c r="H40" i="13"/>
  <c r="N37" i="24"/>
  <c r="I32" i="31" l="1"/>
  <c r="H37" i="24"/>
  <c r="E38" i="27"/>
  <c r="I42" i="31"/>
  <c r="I10" i="31"/>
  <c r="I9" i="31"/>
  <c r="I8" i="31"/>
  <c r="L48" i="31"/>
  <c r="M48" i="31" s="1"/>
  <c r="I16" i="31"/>
  <c r="I21" i="31"/>
  <c r="I13" i="31"/>
  <c r="I33" i="31"/>
  <c r="I17" i="31"/>
  <c r="I19" i="31"/>
  <c r="I29" i="31"/>
  <c r="I43" i="31"/>
  <c r="I15" i="31"/>
  <c r="I31" i="31"/>
  <c r="I46" i="31"/>
  <c r="I27" i="31"/>
  <c r="I44" i="31"/>
  <c r="I41" i="31"/>
  <c r="I20" i="31"/>
  <c r="I30" i="31"/>
  <c r="I26" i="31"/>
  <c r="I35" i="31"/>
  <c r="I7" i="31"/>
  <c r="I34" i="31"/>
  <c r="I18" i="31"/>
  <c r="I45" i="31"/>
  <c r="I40" i="31"/>
  <c r="I24" i="31"/>
  <c r="I23" i="31"/>
  <c r="I25" i="31"/>
  <c r="I28" i="31"/>
  <c r="I6" i="31"/>
  <c r="I11" i="31"/>
  <c r="I12" i="31"/>
  <c r="I14" i="31"/>
  <c r="M37" i="31"/>
  <c r="M40" i="26"/>
  <c r="Q40" i="26"/>
  <c r="S9" i="26"/>
  <c r="I47" i="31" l="1"/>
  <c r="I22" i="31"/>
  <c r="I37" i="31" s="1"/>
  <c r="F6" i="24"/>
  <c r="S40" i="26"/>
  <c r="I48" i="31" l="1"/>
  <c r="F37" i="24"/>
  <c r="J6" i="24"/>
  <c r="J37" i="24" l="1"/>
  <c r="K6" i="24" s="1"/>
  <c r="O6" i="24" l="1"/>
  <c r="K14" i="24"/>
  <c r="O14" i="24" s="1"/>
  <c r="P14" i="24" s="1"/>
  <c r="K25" i="24"/>
  <c r="O25" i="24" s="1"/>
  <c r="P25" i="24" s="1"/>
  <c r="K13" i="24"/>
  <c r="O13" i="24" s="1"/>
  <c r="P13" i="24" s="1"/>
  <c r="K32" i="24"/>
  <c r="O32" i="24" s="1"/>
  <c r="P32" i="24" s="1"/>
  <c r="K7" i="24"/>
  <c r="O7" i="24" s="1"/>
  <c r="P7" i="24" s="1"/>
  <c r="K31" i="24"/>
  <c r="O31" i="24" s="1"/>
  <c r="P31" i="24" s="1"/>
  <c r="K16" i="24"/>
  <c r="O16" i="24" s="1"/>
  <c r="P16" i="24" s="1"/>
  <c r="K20" i="24"/>
  <c r="O20" i="24" s="1"/>
  <c r="P20" i="24" s="1"/>
  <c r="K24" i="24"/>
  <c r="O24" i="24" s="1"/>
  <c r="P24" i="24" s="1"/>
  <c r="K18" i="24"/>
  <c r="O18" i="24" s="1"/>
  <c r="P18" i="24" s="1"/>
  <c r="K30" i="24"/>
  <c r="O30" i="24" s="1"/>
  <c r="P30" i="24" s="1"/>
  <c r="K26" i="24"/>
  <c r="O26" i="24" s="1"/>
  <c r="P26" i="24" s="1"/>
  <c r="K29" i="24"/>
  <c r="O29" i="24" s="1"/>
  <c r="P29" i="24" s="1"/>
  <c r="K28" i="24"/>
  <c r="O28" i="24" s="1"/>
  <c r="P28" i="24" s="1"/>
  <c r="K27" i="24"/>
  <c r="O27" i="24" s="1"/>
  <c r="P27" i="24" s="1"/>
  <c r="K21" i="24"/>
  <c r="O21" i="24" s="1"/>
  <c r="P21" i="24" s="1"/>
  <c r="K17" i="24"/>
  <c r="O17" i="24" s="1"/>
  <c r="P17" i="24" s="1"/>
  <c r="K23" i="24"/>
  <c r="O23" i="24" s="1"/>
  <c r="P23" i="24" s="1"/>
  <c r="K19" i="24"/>
  <c r="O19" i="24" s="1"/>
  <c r="P19" i="24" s="1"/>
  <c r="K11" i="24"/>
  <c r="O11" i="24" s="1"/>
  <c r="P11" i="24" s="1"/>
  <c r="K33" i="24"/>
  <c r="O33" i="24" s="1"/>
  <c r="P33" i="24" s="1"/>
  <c r="K8" i="24"/>
  <c r="O8" i="24" s="1"/>
  <c r="P8" i="24" s="1"/>
  <c r="K35" i="24"/>
  <c r="K22" i="24"/>
  <c r="O22" i="24" s="1"/>
  <c r="P22" i="24" s="1"/>
  <c r="K10" i="24"/>
  <c r="O10" i="24" s="1"/>
  <c r="P10" i="24" s="1"/>
  <c r="K12" i="24"/>
  <c r="O12" i="24" s="1"/>
  <c r="P12" i="24" s="1"/>
  <c r="K15" i="24"/>
  <c r="O15" i="24" s="1"/>
  <c r="P15" i="24" s="1"/>
  <c r="K9" i="24"/>
  <c r="O9" i="24" s="1"/>
  <c r="P9" i="24" s="1"/>
  <c r="K34" i="24"/>
  <c r="O34" i="24" s="1"/>
  <c r="P34" i="24" s="1"/>
  <c r="O35" i="24" l="1"/>
  <c r="P35" i="24" s="1"/>
  <c r="R8" i="24"/>
  <c r="R31" i="24"/>
  <c r="R17" i="24"/>
  <c r="R20" i="24"/>
  <c r="R34" i="24"/>
  <c r="R7" i="24"/>
  <c r="R10" i="24"/>
  <c r="R14" i="24"/>
  <c r="R16" i="24"/>
  <c r="R32" i="24"/>
  <c r="R11" i="24"/>
  <c r="R15" i="24"/>
  <c r="R19" i="24"/>
  <c r="R13" i="24"/>
  <c r="R33" i="24"/>
  <c r="R9" i="24"/>
  <c r="R12" i="24"/>
  <c r="R18" i="24"/>
  <c r="B6" i="32"/>
  <c r="R29" i="24"/>
  <c r="R22" i="24"/>
  <c r="R30" i="24"/>
  <c r="R24" i="24"/>
  <c r="R21" i="24"/>
  <c r="R27" i="24"/>
  <c r="R28" i="24"/>
  <c r="R26" i="24"/>
  <c r="R23" i="24"/>
  <c r="R25" i="24"/>
  <c r="K37" i="24"/>
  <c r="P6" i="24"/>
  <c r="S7" i="24" l="1"/>
  <c r="S15" i="24"/>
  <c r="S25" i="24"/>
  <c r="S17" i="24"/>
  <c r="S10" i="24"/>
  <c r="S22" i="24"/>
  <c r="S31" i="24"/>
  <c r="S33" i="24"/>
  <c r="S13" i="24"/>
  <c r="S34" i="24"/>
  <c r="S29" i="24"/>
  <c r="S26" i="24"/>
  <c r="S28" i="24"/>
  <c r="S32" i="24"/>
  <c r="S27" i="24"/>
  <c r="S16" i="24"/>
  <c r="S8" i="24"/>
  <c r="S24" i="24"/>
  <c r="S30" i="24"/>
  <c r="S19" i="24"/>
  <c r="S23" i="24"/>
  <c r="S20" i="24"/>
  <c r="S11" i="24"/>
  <c r="S18" i="24"/>
  <c r="S12" i="24"/>
  <c r="S21" i="24"/>
  <c r="S9" i="24"/>
  <c r="S14" i="24"/>
  <c r="R35" i="24"/>
  <c r="O37" i="24"/>
  <c r="P37" i="24"/>
  <c r="B9" i="32"/>
  <c r="R6" i="24"/>
  <c r="S35" i="24" l="1"/>
  <c r="B5" i="32"/>
  <c r="B11" i="32"/>
  <c r="Q6" i="24"/>
  <c r="Q24" i="24"/>
  <c r="Q21" i="24"/>
  <c r="Q22" i="24"/>
  <c r="Q27" i="24"/>
  <c r="Q25" i="24"/>
  <c r="Q26" i="24"/>
  <c r="Q23" i="24"/>
  <c r="Q30" i="24"/>
  <c r="Q28" i="24"/>
  <c r="Q29" i="24"/>
  <c r="R37" i="24"/>
  <c r="S37" i="24" s="1"/>
  <c r="S6" i="24"/>
  <c r="Q20" i="24"/>
  <c r="Q14" i="24"/>
  <c r="Q15" i="24"/>
  <c r="Q10" i="24"/>
  <c r="Q12" i="24"/>
  <c r="Q16" i="24"/>
  <c r="Q13" i="24"/>
  <c r="Q11" i="24"/>
  <c r="Q17" i="24"/>
  <c r="Q35" i="24"/>
  <c r="Q7" i="24"/>
  <c r="Q34" i="24"/>
  <c r="Q18" i="24"/>
  <c r="Q31" i="24"/>
  <c r="Q9" i="24"/>
  <c r="Q19" i="24"/>
  <c r="Q33" i="24"/>
  <c r="Q8" i="24"/>
  <c r="Q32" i="24"/>
  <c r="C9" i="32" l="1"/>
  <c r="C11" i="32"/>
  <c r="C6" i="32"/>
  <c r="Q37" i="24"/>
  <c r="C5" i="32" l="1"/>
</calcChain>
</file>

<file path=xl/sharedStrings.xml><?xml version="1.0" encoding="utf-8"?>
<sst xmlns="http://schemas.openxmlformats.org/spreadsheetml/2006/main" count="1036" uniqueCount="337">
  <si>
    <t>Inst ID</t>
  </si>
  <si>
    <t>Institution Name</t>
  </si>
  <si>
    <t>0203</t>
  </si>
  <si>
    <t>Alexandria TC</t>
  </si>
  <si>
    <t>0152</t>
  </si>
  <si>
    <t>0070</t>
  </si>
  <si>
    <t>0301</t>
  </si>
  <si>
    <t>Central Lakes College</t>
  </si>
  <si>
    <t>0304</t>
  </si>
  <si>
    <t>Century College</t>
  </si>
  <si>
    <t>0211</t>
  </si>
  <si>
    <t>Dakota County TC</t>
  </si>
  <si>
    <t>0163</t>
  </si>
  <si>
    <t>Fond du Lac Tribal &amp; CC</t>
  </si>
  <si>
    <t>0204</t>
  </si>
  <si>
    <t>Hennepin TC</t>
  </si>
  <si>
    <t>0302</t>
  </si>
  <si>
    <t>Lake Superior College</t>
  </si>
  <si>
    <t>0076</t>
  </si>
  <si>
    <t>0305</t>
  </si>
  <si>
    <t>Minneapolis College</t>
  </si>
  <si>
    <t>0213</t>
  </si>
  <si>
    <t>0071</t>
  </si>
  <si>
    <t>Minnesota SU, Mankato</t>
  </si>
  <si>
    <t>0209</t>
  </si>
  <si>
    <t>Minnesota West College</t>
  </si>
  <si>
    <t>0072</t>
  </si>
  <si>
    <t>0156</t>
  </si>
  <si>
    <t>Normandale CC</t>
  </si>
  <si>
    <t>0153</t>
  </si>
  <si>
    <t>North Hennepin CC</t>
  </si>
  <si>
    <t>0303</t>
  </si>
  <si>
    <t>Northland College</t>
  </si>
  <si>
    <t>0205</t>
  </si>
  <si>
    <t>Pine TC</t>
  </si>
  <si>
    <t>0308</t>
  </si>
  <si>
    <t>Ridgewater College</t>
  </si>
  <si>
    <t>0307</t>
  </si>
  <si>
    <t>Riverland College</t>
  </si>
  <si>
    <t>0306</t>
  </si>
  <si>
    <t>Rochester College</t>
  </si>
  <si>
    <t>0309</t>
  </si>
  <si>
    <t>0075</t>
  </si>
  <si>
    <t>0073</t>
  </si>
  <si>
    <t>St. Cloud SU</t>
  </si>
  <si>
    <t>0208</t>
  </si>
  <si>
    <t>0206</t>
  </si>
  <si>
    <t>0074</t>
  </si>
  <si>
    <t>Winona SU</t>
  </si>
  <si>
    <t>TOTAL</t>
  </si>
  <si>
    <t>MnSCU Finance Division</t>
  </si>
  <si>
    <t>I</t>
  </si>
  <si>
    <t>A</t>
  </si>
  <si>
    <t>B</t>
  </si>
  <si>
    <t>D</t>
  </si>
  <si>
    <t>C</t>
  </si>
  <si>
    <t>E</t>
  </si>
  <si>
    <t>F</t>
  </si>
  <si>
    <t>G</t>
  </si>
  <si>
    <t>H</t>
  </si>
  <si>
    <t>K</t>
  </si>
  <si>
    <t>M</t>
  </si>
  <si>
    <t>Minnesota SU Moorhead</t>
  </si>
  <si>
    <t>Northeast Higher Education District</t>
  </si>
  <si>
    <t>N</t>
  </si>
  <si>
    <t>O</t>
  </si>
  <si>
    <t>Allocation for Facilities</t>
  </si>
  <si>
    <t>TOTAL ALLOCATION FRAMEWORK</t>
  </si>
  <si>
    <t>Metropolitan SU</t>
  </si>
  <si>
    <t>Southwest Minnesota SU</t>
  </si>
  <si>
    <t>Saint Paul College</t>
  </si>
  <si>
    <t>Minnesota SC-Southeast Technical</t>
  </si>
  <si>
    <t>Minnesota State Colleges and Universities</t>
  </si>
  <si>
    <t>INSTRUCTION AND ACADEMIC SUPPORT</t>
  </si>
  <si>
    <t>b</t>
  </si>
  <si>
    <t>c</t>
  </si>
  <si>
    <t>d</t>
  </si>
  <si>
    <t>e</t>
  </si>
  <si>
    <t>f</t>
  </si>
  <si>
    <t>a</t>
  </si>
  <si>
    <t>10% of LD expended</t>
  </si>
  <si>
    <t>g</t>
  </si>
  <si>
    <t>h</t>
  </si>
  <si>
    <t>Institution</t>
  </si>
  <si>
    <t>Regional Dean of Mgmt Education</t>
  </si>
  <si>
    <t>Departmental Research</t>
  </si>
  <si>
    <t>Instruction &amp; Academic Support Change</t>
  </si>
  <si>
    <t>ACADEMIC SUPPORT PER FYE ADDED TO EACH INSTRUCTIONAL PROGRAM</t>
  </si>
  <si>
    <t>c/d</t>
  </si>
  <si>
    <t>Academic Support Per FYE Added to Each Instructional Program</t>
  </si>
  <si>
    <t>SEPARATELY BUDGETED RESEARCH AND PUBLIC SERVICE</t>
  </si>
  <si>
    <t>Allocation for Separately Budgeted Research and Public Service</t>
  </si>
  <si>
    <t>Total</t>
  </si>
  <si>
    <t>REVENUE OFFSET</t>
  </si>
  <si>
    <t>a-b</t>
  </si>
  <si>
    <t>Less Specific Revenue</t>
  </si>
  <si>
    <t>Net GEN Revenue</t>
  </si>
  <si>
    <t>a * c</t>
  </si>
  <si>
    <t>$500/fye</t>
  </si>
  <si>
    <t>k</t>
  </si>
  <si>
    <t>Dollars per FYE</t>
  </si>
  <si>
    <t xml:space="preserve">Dollars Generated Per FYE   </t>
  </si>
  <si>
    <t>Allocation    Sub-Total</t>
  </si>
  <si>
    <t>Multi Campus Adjustment</t>
  </si>
  <si>
    <t>FACILITIES -- OPERATIONS AND REPAIR/REPLACEMENT</t>
  </si>
  <si>
    <t>Operations and Maintenance</t>
  </si>
  <si>
    <t>Multiple Campus Factor</t>
  </si>
  <si>
    <t>Gross Operations</t>
  </si>
  <si>
    <t>SQ FT</t>
  </si>
  <si>
    <t>0442</t>
  </si>
  <si>
    <t>0403</t>
  </si>
  <si>
    <t>i</t>
  </si>
  <si>
    <t>Minnesota State College</t>
  </si>
  <si>
    <t>Bemidji SU &amp; Northwest TC-Bemidji</t>
  </si>
  <si>
    <t>50% Allocation Framework % Share</t>
  </si>
  <si>
    <t>P</t>
  </si>
  <si>
    <t>a*(1-b)</t>
  </si>
  <si>
    <t>South Central College</t>
  </si>
  <si>
    <t>0411</t>
  </si>
  <si>
    <t>Revenue Buydown</t>
  </si>
  <si>
    <t>J</t>
  </si>
  <si>
    <t>90/110</t>
  </si>
  <si>
    <t>St. Cloud College</t>
  </si>
  <si>
    <t>j</t>
  </si>
  <si>
    <t>Anoka Ramsey CC - Anoka TC</t>
  </si>
  <si>
    <t>*MnSCU funds 110 and 830; excludes auxiliary/agency activities and transfers</t>
  </si>
  <si>
    <t>STUDENT SUPPORT SERVICES AND INSTITUTIONAL SUPPORT</t>
  </si>
  <si>
    <t>Enter Base #</t>
  </si>
  <si>
    <t>Alexandria TCC</t>
  </si>
  <si>
    <t>Minneapolis CTC</t>
  </si>
  <si>
    <t>Pine TCC</t>
  </si>
  <si>
    <t>Riverland Community College</t>
  </si>
  <si>
    <t>Normandale Community College</t>
  </si>
  <si>
    <t>North Hennepin Community College</t>
  </si>
  <si>
    <t>Northland CTC</t>
  </si>
  <si>
    <t>Rochester CTC</t>
  </si>
  <si>
    <t>St. Cloud TCC</t>
  </si>
  <si>
    <t>Minnesota West CTC</t>
  </si>
  <si>
    <t>Q</t>
  </si>
  <si>
    <t>Hennepin Technical College</t>
  </si>
  <si>
    <t>Metropolitan State University</t>
  </si>
  <si>
    <t>Minnesota State CTC</t>
  </si>
  <si>
    <t>2 Year Average Allocation Instruction</t>
  </si>
  <si>
    <t>e=c*(1-d)</t>
  </si>
  <si>
    <t>Research</t>
  </si>
  <si>
    <t>Public Service</t>
  </si>
  <si>
    <t>Dakota County TC - Inver Hills CC</t>
  </si>
  <si>
    <t>Allocation for Student Success</t>
  </si>
  <si>
    <t>Sum A thru E</t>
  </si>
  <si>
    <t>F/tot F</t>
  </si>
  <si>
    <t>H/tot H</t>
  </si>
  <si>
    <t>i*$X</t>
  </si>
  <si>
    <t>L</t>
  </si>
  <si>
    <t>j+k</t>
  </si>
  <si>
    <t>g*$X</t>
  </si>
  <si>
    <t>L/tot L</t>
  </si>
  <si>
    <t>L-H</t>
  </si>
  <si>
    <t>N/H</t>
  </si>
  <si>
    <t>The lower the %, the more expenses are recognized</t>
  </si>
  <si>
    <t>(c-d)/c</t>
  </si>
  <si>
    <t xml:space="preserve"> c</t>
  </si>
  <si>
    <t>Student Support and Institutional Support Regression Split and Headcount Recognition</t>
  </si>
  <si>
    <t>Student Support and Institutional Support Regression Splt and Headcount Recognition</t>
  </si>
  <si>
    <t>e*g</t>
  </si>
  <si>
    <t>b + d + f +h</t>
  </si>
  <si>
    <t>i*(1-f)</t>
  </si>
  <si>
    <t>k + l</t>
  </si>
  <si>
    <t>l</t>
  </si>
  <si>
    <t>m</t>
  </si>
  <si>
    <t>n</t>
  </si>
  <si>
    <t>Institutional Support Core</t>
  </si>
  <si>
    <t>Student Services Core</t>
  </si>
  <si>
    <t>Dollars per Headcount</t>
  </si>
  <si>
    <t>Dollars Generated Per Headcount</t>
  </si>
  <si>
    <t>Core plus Dollars per Headcount/FYE</t>
  </si>
  <si>
    <t>2 Year Average Allocation Student Services &amp; Institutional Support</t>
  </si>
  <si>
    <t>Includes Library Spending</t>
  </si>
  <si>
    <t xml:space="preserve">Minnesota SC-Southeast </t>
  </si>
  <si>
    <t>Student Success Measures</t>
  </si>
  <si>
    <t>Exceeding Expected Rates</t>
  </si>
  <si>
    <t>Improved Rates for SOC</t>
  </si>
  <si>
    <t>Colleges / Universities</t>
  </si>
  <si>
    <t>Cohort</t>
  </si>
  <si>
    <t>Success-ful</t>
  </si>
  <si>
    <t>Actual Rate</t>
  </si>
  <si>
    <t>Expected Rate</t>
  </si>
  <si>
    <t>Upper Limit One SD</t>
  </si>
  <si>
    <t>Expected Successful One SD</t>
  </si>
  <si>
    <t>Allocation</t>
  </si>
  <si>
    <t>Alexandria Technical and Community College</t>
  </si>
  <si>
    <t>Anoka-Ramsey Community College</t>
  </si>
  <si>
    <t>Anoka Technical College</t>
  </si>
  <si>
    <t>Dakota County Technical College</t>
  </si>
  <si>
    <t>Inver Hills Community College</t>
  </si>
  <si>
    <t>Minneapolis Community and Technical College</t>
  </si>
  <si>
    <t>Minnesota State College - Southeast Technical</t>
  </si>
  <si>
    <t>Minnesota State Community and Technical College</t>
  </si>
  <si>
    <t xml:space="preserve">   Hibbing Community College</t>
  </si>
  <si>
    <t xml:space="preserve">   Itasca Community College</t>
  </si>
  <si>
    <t xml:space="preserve">   Mesabi Range College</t>
  </si>
  <si>
    <t xml:space="preserve">   Rainy River Community College</t>
  </si>
  <si>
    <t xml:space="preserve">   Vermilion Community College</t>
  </si>
  <si>
    <t>Northland Community &amp; Technical College</t>
  </si>
  <si>
    <t>Northwest Technical College - Bemidji</t>
  </si>
  <si>
    <t>Pine Technical and Community College</t>
  </si>
  <si>
    <t>Rochester Community and Technical College</t>
  </si>
  <si>
    <t>St. Cloud Technical and Community College</t>
  </si>
  <si>
    <t>Colleges</t>
  </si>
  <si>
    <t>Bemidji State University</t>
  </si>
  <si>
    <t>Minnesota State University, Mankato</t>
  </si>
  <si>
    <t>Minnesota State University Moorhead</t>
  </si>
  <si>
    <t>St. Cloud State University</t>
  </si>
  <si>
    <t>Southwest Minnesota State University</t>
  </si>
  <si>
    <t>Winona State University</t>
  </si>
  <si>
    <t>Universities</t>
  </si>
  <si>
    <t>System</t>
  </si>
  <si>
    <t>Change</t>
  </si>
  <si>
    <t>Addnl Success-</t>
  </si>
  <si>
    <t>College / University</t>
  </si>
  <si>
    <t>Denominator</t>
  </si>
  <si>
    <t>ful Students</t>
  </si>
  <si>
    <t>Fond du Lac Tribal and Community College</t>
  </si>
  <si>
    <t>Minnesota State College Southeast</t>
  </si>
  <si>
    <t>Minnesota West Community and Technical College</t>
  </si>
  <si>
    <t>Hibbing Community College</t>
  </si>
  <si>
    <t>Itasca Community College</t>
  </si>
  <si>
    <t>Mesabi Range College</t>
  </si>
  <si>
    <t>Rainy River Community College</t>
  </si>
  <si>
    <t>Vermilion Community College</t>
  </si>
  <si>
    <t>Northland Community and Technical College</t>
  </si>
  <si>
    <t>Additional Weight Modeling based on total headcount and underrepresented headcount</t>
  </si>
  <si>
    <t xml:space="preserve">Additional Weight </t>
  </si>
  <si>
    <t>Concurrrent Weight</t>
  </si>
  <si>
    <t>g=c+d+e-f</t>
  </si>
  <si>
    <t>h=g x weight</t>
  </si>
  <si>
    <t>j=(a-b)+h+i</t>
  </si>
  <si>
    <t>k=j-a/a</t>
  </si>
  <si>
    <t>Total Students</t>
  </si>
  <si>
    <t>Concurrent Headcount</t>
  </si>
  <si>
    <t xml:space="preserve">First Generation </t>
  </si>
  <si>
    <t xml:space="preserve">Pell Eligible </t>
  </si>
  <si>
    <t>Students of Color</t>
  </si>
  <si>
    <t>Concurrent Under represented</t>
  </si>
  <si>
    <t>First Generation + Pell Eligible + Students of Color</t>
  </si>
  <si>
    <t>Percent of Total</t>
  </si>
  <si>
    <t>Additional Weight for First Generation and Pell Eligible</t>
  </si>
  <si>
    <t>Concurrent Weigh</t>
  </si>
  <si>
    <t>Total Adjusted Headcount</t>
  </si>
  <si>
    <t>Percent Change in Adjusted Student Headcount</t>
  </si>
  <si>
    <t>Subtotal:  Colleges</t>
  </si>
  <si>
    <t>Subtotal:  Universities</t>
  </si>
  <si>
    <t>Total: System</t>
  </si>
  <si>
    <t>Total To Be Allocated</t>
  </si>
  <si>
    <t>Minnesota State</t>
  </si>
  <si>
    <t xml:space="preserve">Minnesota State </t>
  </si>
  <si>
    <t>Metro Colleges</t>
  </si>
  <si>
    <t>Non-Metro Colleges</t>
  </si>
  <si>
    <t>Allocation Framework Sector Differences</t>
  </si>
  <si>
    <t>Metro all</t>
  </si>
  <si>
    <t>Non-Metro all</t>
  </si>
  <si>
    <t>Overall shift</t>
  </si>
  <si>
    <t>$ change</t>
  </si>
  <si>
    <t>% of $508 million</t>
  </si>
  <si>
    <t>Instruction &amp; Academic Support</t>
  </si>
  <si>
    <t>Facilities</t>
  </si>
  <si>
    <t>Student Success</t>
  </si>
  <si>
    <t>Student Services &amp; Institutional Support</t>
  </si>
  <si>
    <t>Research &amp; Public Service</t>
  </si>
  <si>
    <t>% Share of Allocation Framework</t>
  </si>
  <si>
    <t>R</t>
  </si>
  <si>
    <t>50% FY2018 Base % Share</t>
  </si>
  <si>
    <t xml:space="preserve">  Hibbing Community College</t>
  </si>
  <si>
    <t xml:space="preserve">  Itasca Community College</t>
  </si>
  <si>
    <t xml:space="preserve">  Mesabi Range College</t>
  </si>
  <si>
    <t xml:space="preserve">  Rainy River Community College</t>
  </si>
  <si>
    <t xml:space="preserve">  Vermilion Community College</t>
  </si>
  <si>
    <t>Expected Success-ful</t>
  </si>
  <si>
    <t>Addnl Success-ful Students One SD</t>
  </si>
  <si>
    <t>Funds per Successful Student</t>
  </si>
  <si>
    <t>Rural College Campus Aid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</si>
  <si>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</si>
  <si>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</si>
  <si>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</si>
  <si>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</si>
  <si>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</si>
  <si>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</si>
  <si>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</si>
  <si>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</si>
  <si>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</si>
  <si>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</si>
  <si>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FY2018 FYE</t>
  </si>
  <si>
    <t>FY2020 Allocation for Student Services &amp; Institutional Support</t>
  </si>
  <si>
    <t>Instruction &amp; Academic Support State Appro Expended</t>
  </si>
  <si>
    <t>Concurrent Enrollment Change</t>
  </si>
  <si>
    <t>Lower Division Change</t>
  </si>
  <si>
    <t>Upper Division Change</t>
  </si>
  <si>
    <t>Graduate Change</t>
  </si>
  <si>
    <t>b+c+d+e+f+g</t>
  </si>
  <si>
    <t>a=h</t>
  </si>
  <si>
    <t>Avg (i+j)</t>
  </si>
  <si>
    <t>FY14-18 Tuition Relief Allocation</t>
  </si>
  <si>
    <t>Actual and Expected Third Term Persistence and Completion Rates and Additional Successful Students</t>
  </si>
  <si>
    <t>Persistence and Completion at Third Term - Students of Color</t>
  </si>
  <si>
    <t>FY19 Buydown</t>
  </si>
  <si>
    <t>FY2021 Allocation for Instruction &amp; Academic Support</t>
  </si>
  <si>
    <t>BASED ON FY2019 System DATA and FY2018 NATIONAL DATA -- February 2020</t>
  </si>
  <si>
    <t>s:\finance\bargain\FY21 allocation\Summary of FY2021 Institutional Allocation Draft</t>
  </si>
  <si>
    <t xml:space="preserve">FY2021 Base Allocation </t>
  </si>
  <si>
    <t>% Share of FY2021 Allocation</t>
  </si>
  <si>
    <t>BASED ON FY2019 System DATA and FY2018 NATIONAL DATA --February 2020</t>
  </si>
  <si>
    <t>Based on FY2016-2018 Enrollment Data</t>
  </si>
  <si>
    <t xml:space="preserve">FY2022 Base Allocation </t>
  </si>
  <si>
    <t>% Share of FY2022 Allocation</t>
  </si>
  <si>
    <t>$ Change Over FY2021</t>
  </si>
  <si>
    <t>% Change Over FY2021</t>
  </si>
  <si>
    <t>FY2022 Allocation for Instruction &amp; Academic Support</t>
  </si>
  <si>
    <t>FY2022 Allocation for Student Services &amp; Institutional Support</t>
  </si>
  <si>
    <t xml:space="preserve">BASED ON FY2020 System DATA </t>
  </si>
  <si>
    <t>FY2020 Total GEN Revenue</t>
  </si>
  <si>
    <t>FY2020 Total State Appropriation</t>
  </si>
  <si>
    <t>FP&amp;A - February 2021</t>
  </si>
  <si>
    <t>BASED ON FY2020 System DATA -- February 2021</t>
  </si>
  <si>
    <t>FY2020 Academic Support Net Expenditures</t>
  </si>
  <si>
    <t>FY2020 Academic Support State Appro Expended</t>
  </si>
  <si>
    <t>FY2020 FYE</t>
  </si>
  <si>
    <t>FY2020</t>
  </si>
  <si>
    <t>BASED ON FY2020 System DATA  -- February 2021</t>
  </si>
  <si>
    <t>Fiscal Year 2022 Based on FY2020 Headcount</t>
  </si>
  <si>
    <t>BASED ON FY2020 System DATA and FY2019 NATIONAL DATA -- February 2021</t>
  </si>
  <si>
    <t>Adjusted FY2020 Headcount</t>
  </si>
  <si>
    <t>2017-2019</t>
  </si>
  <si>
    <t xml:space="preserve">Fiscal Years 2017 to 2019 Entering Students </t>
  </si>
  <si>
    <t>Fiscal Year 2019 Entering Students</t>
  </si>
  <si>
    <t>Based on FY2020 System Data</t>
  </si>
  <si>
    <t xml:space="preserve">FY2022 Access &amp; Opportunity </t>
  </si>
  <si>
    <t>s:\finance\bargain\FY22 allocation\Summary of FY2022 Institutional Allocation Draft</t>
  </si>
  <si>
    <t>FP&amp;A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</si>
</sst>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#,##0.0000_);[Red]\(#,##0.0000\)"/>
    <numFmt numFmtId="166" formatCode="#,##0.00000_);[Red]\(#,##0.00000\)"/>
    <numFmt numFmtId="167" formatCode="0.0%"/>
    <numFmt numFmtId="168" formatCode="_(* #,##0_);_(* \(#,##0\);_(* &quot;-&quot;??_);_(@_)"/>
    <numFmt numFmtId="169" formatCode="&quot;$&quot;#,##0"/>
    <numFmt numFmtId="170" formatCode="#,##0.0000000000"/>
    <numFmt numFmtId="171" formatCode="_(&quot;$&quot;* #,##0_);_(&quot;$&quot;* \(#,##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 New"/>
      <family val="3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8"/>
      <name val="Microsoft Sans Serif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5" fillId="0" borderId="0"/>
    <xf numFmtId="0" fontId="6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30" fillId="0" borderId="0"/>
  </cellStyleXfs>
  <cellXfs count="507">
    <xf numFmtId="0" fontId="0" fillId="0" borderId="0" xfId="0"/>
    <xf numFmtId="0" fontId="4" fillId="2" borderId="1" xfId="7" applyFont="1" applyFill="1" applyBorder="1" applyAlignment="1">
      <alignment horizontal="center" wrapText="1"/>
    </xf>
    <xf numFmtId="0" fontId="6" fillId="2" borderId="0" xfId="7" applyFont="1" applyFill="1" applyBorder="1" applyAlignment="1">
      <alignment horizontal="center" wrapText="1"/>
    </xf>
    <xf numFmtId="0" fontId="6" fillId="0" borderId="1" xfId="7" applyFont="1" applyFill="1" applyBorder="1" applyAlignment="1">
      <alignment horizontal="left" wrapText="1"/>
    </xf>
    <xf numFmtId="0" fontId="7" fillId="0" borderId="0" xfId="0" applyFont="1"/>
    <xf numFmtId="38" fontId="7" fillId="0" borderId="0" xfId="0" applyNumberFormat="1" applyFont="1"/>
    <xf numFmtId="10" fontId="0" fillId="0" borderId="0" xfId="0" applyNumberFormat="1"/>
    <xf numFmtId="10" fontId="7" fillId="0" borderId="0" xfId="0" applyNumberFormat="1" applyFont="1"/>
    <xf numFmtId="38" fontId="0" fillId="0" borderId="1" xfId="0" applyNumberFormat="1" applyBorder="1"/>
    <xf numFmtId="10" fontId="0" fillId="0" borderId="1" xfId="0" applyNumberFormat="1" applyBorder="1"/>
    <xf numFmtId="0" fontId="6" fillId="0" borderId="1" xfId="7" applyFont="1" applyFill="1" applyBorder="1" applyAlignment="1">
      <alignment horizontal="center" wrapText="1"/>
    </xf>
    <xf numFmtId="38" fontId="0" fillId="0" borderId="0" xfId="0" applyNumberFormat="1"/>
    <xf numFmtId="3" fontId="7" fillId="0" borderId="0" xfId="0" applyNumberFormat="1" applyFont="1"/>
    <xf numFmtId="0" fontId="7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0" fillId="0" borderId="0" xfId="0" applyBorder="1"/>
    <xf numFmtId="49" fontId="8" fillId="0" borderId="0" xfId="0" applyNumberFormat="1" applyFont="1" applyAlignment="1">
      <alignment horizontal="left"/>
    </xf>
    <xf numFmtId="3" fontId="0" fillId="0" borderId="0" xfId="0" applyNumberFormat="1"/>
    <xf numFmtId="3" fontId="0" fillId="0" borderId="4" xfId="0" applyNumberFormat="1" applyBorder="1"/>
    <xf numFmtId="0" fontId="7" fillId="0" borderId="0" xfId="0" applyFont="1" applyBorder="1"/>
    <xf numFmtId="10" fontId="7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10" fontId="9" fillId="0" borderId="3" xfId="0" applyNumberFormat="1" applyFont="1" applyBorder="1" applyAlignment="1">
      <alignment horizontal="center"/>
    </xf>
    <xf numFmtId="168" fontId="0" fillId="0" borderId="0" xfId="1" applyNumberFormat="1" applyFont="1"/>
    <xf numFmtId="1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8" fontId="0" fillId="2" borderId="0" xfId="0" applyNumberFormat="1" applyFill="1"/>
    <xf numFmtId="10" fontId="0" fillId="0" borderId="0" xfId="0" applyNumberFormat="1" applyBorder="1"/>
    <xf numFmtId="0" fontId="10" fillId="0" borderId="0" xfId="0" applyFont="1" applyBorder="1"/>
    <xf numFmtId="0" fontId="7" fillId="0" borderId="4" xfId="0" applyFont="1" applyBorder="1" applyAlignment="1">
      <alignment horizontal="center" wrapText="1"/>
    </xf>
    <xf numFmtId="38" fontId="7" fillId="2" borderId="4" xfId="0" applyNumberFormat="1" applyFont="1" applyFill="1" applyBorder="1" applyAlignment="1">
      <alignment horizontal="center" wrapText="1"/>
    </xf>
    <xf numFmtId="38" fontId="7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6" fillId="2" borderId="0" xfId="8" applyFont="1" applyFill="1" applyBorder="1" applyAlignment="1">
      <alignment horizontal="center"/>
    </xf>
    <xf numFmtId="38" fontId="0" fillId="0" borderId="4" xfId="0" applyNumberFormat="1" applyBorder="1"/>
    <xf numFmtId="0" fontId="13" fillId="0" borderId="0" xfId="0" applyFont="1"/>
    <xf numFmtId="49" fontId="6" fillId="0" borderId="1" xfId="7" applyNumberFormat="1" applyFont="1" applyFill="1" applyBorder="1" applyAlignment="1">
      <alignment horizontal="center" wrapText="1"/>
    </xf>
    <xf numFmtId="38" fontId="0" fillId="2" borderId="4" xfId="0" applyNumberFormat="1" applyFill="1" applyBorder="1"/>
    <xf numFmtId="0" fontId="7" fillId="0" borderId="0" xfId="0" applyFont="1" applyBorder="1" applyAlignment="1">
      <alignment horizontal="left"/>
    </xf>
    <xf numFmtId="10" fontId="7" fillId="2" borderId="12" xfId="0" applyNumberFormat="1" applyFont="1" applyFill="1" applyBorder="1" applyAlignment="1">
      <alignment horizontal="center" wrapText="1"/>
    </xf>
    <xf numFmtId="10" fontId="0" fillId="2" borderId="0" xfId="0" applyNumberFormat="1" applyFill="1"/>
    <xf numFmtId="10" fontId="0" fillId="2" borderId="4" xfId="0" applyNumberFormat="1" applyFill="1" applyBorder="1"/>
    <xf numFmtId="0" fontId="0" fillId="2" borderId="0" xfId="0" applyFill="1"/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7" fontId="0" fillId="0" borderId="4" xfId="9" applyNumberFormat="1" applyFont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0" fontId="0" fillId="2" borderId="1" xfId="9" applyNumberFormat="1" applyFont="1" applyFill="1" applyBorder="1"/>
    <xf numFmtId="10" fontId="7" fillId="2" borderId="0" xfId="0" applyNumberFormat="1" applyFont="1" applyFill="1"/>
    <xf numFmtId="3" fontId="0" fillId="0" borderId="0" xfId="0" applyNumberFormat="1" applyFill="1"/>
    <xf numFmtId="3" fontId="0" fillId="0" borderId="4" xfId="0" applyNumberFormat="1" applyFill="1" applyBorder="1"/>
    <xf numFmtId="0" fontId="0" fillId="0" borderId="0" xfId="0" applyFill="1"/>
    <xf numFmtId="38" fontId="0" fillId="0" borderId="0" xfId="0" applyNumberFormat="1" applyFill="1"/>
    <xf numFmtId="38" fontId="7" fillId="0" borderId="0" xfId="0" applyNumberFormat="1" applyFont="1" applyFill="1"/>
    <xf numFmtId="168" fontId="0" fillId="0" borderId="0" xfId="1" applyNumberFormat="1" applyFont="1" applyFill="1"/>
    <xf numFmtId="0" fontId="0" fillId="0" borderId="0" xfId="0" applyFill="1" applyBorder="1"/>
    <xf numFmtId="0" fontId="9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38" fontId="7" fillId="3" borderId="4" xfId="0" applyNumberFormat="1" applyFont="1" applyFill="1" applyBorder="1" applyAlignment="1">
      <alignment horizontal="center" wrapText="1"/>
    </xf>
    <xf numFmtId="38" fontId="0" fillId="3" borderId="0" xfId="0" applyNumberFormat="1" applyFill="1"/>
    <xf numFmtId="38" fontId="0" fillId="3" borderId="4" xfId="0" applyNumberFormat="1" applyFill="1" applyBorder="1"/>
    <xf numFmtId="0" fontId="0" fillId="4" borderId="0" xfId="0" applyFill="1"/>
    <xf numFmtId="3" fontId="7" fillId="4" borderId="0" xfId="0" applyNumberFormat="1" applyFont="1" applyFill="1"/>
    <xf numFmtId="10" fontId="9" fillId="4" borderId="0" xfId="0" applyNumberFormat="1" applyFont="1" applyFill="1" applyBorder="1" applyAlignment="1">
      <alignment horizontal="center"/>
    </xf>
    <xf numFmtId="10" fontId="9" fillId="4" borderId="3" xfId="0" applyNumberFormat="1" applyFont="1" applyFill="1" applyBorder="1" applyAlignment="1">
      <alignment horizontal="center"/>
    </xf>
    <xf numFmtId="10" fontId="0" fillId="4" borderId="0" xfId="0" applyNumberFormat="1" applyFill="1"/>
    <xf numFmtId="38" fontId="0" fillId="4" borderId="1" xfId="0" applyNumberFormat="1" applyFill="1" applyBorder="1"/>
    <xf numFmtId="10" fontId="7" fillId="4" borderId="0" xfId="0" applyNumberFormat="1" applyFont="1" applyFill="1"/>
    <xf numFmtId="0" fontId="13" fillId="4" borderId="0" xfId="0" applyFont="1" applyFill="1" applyAlignment="1">
      <alignment horizontal="left"/>
    </xf>
    <xf numFmtId="38" fontId="0" fillId="4" borderId="0" xfId="0" applyNumberForma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8" fontId="7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4" fillId="4" borderId="1" xfId="8" applyFont="1" applyFill="1" applyBorder="1" applyAlignment="1">
      <alignment horizontal="center" wrapText="1"/>
    </xf>
    <xf numFmtId="38" fontId="7" fillId="4" borderId="1" xfId="0" applyNumberFormat="1" applyFont="1" applyFill="1" applyBorder="1" applyAlignment="1">
      <alignment horizontal="center" wrapText="1"/>
    </xf>
    <xf numFmtId="0" fontId="7" fillId="4" borderId="0" xfId="0" applyFont="1" applyFill="1" applyAlignment="1">
      <alignment wrapText="1"/>
    </xf>
    <xf numFmtId="0" fontId="6" fillId="4" borderId="0" xfId="8" applyFont="1" applyFill="1" applyBorder="1" applyAlignment="1">
      <alignment horizontal="center"/>
    </xf>
    <xf numFmtId="0" fontId="6" fillId="4" borderId="1" xfId="7" applyFont="1" applyFill="1" applyBorder="1" applyAlignment="1">
      <alignment horizontal="center" wrapText="1"/>
    </xf>
    <xf numFmtId="49" fontId="6" fillId="4" borderId="1" xfId="7" applyNumberFormat="1" applyFont="1" applyFill="1" applyBorder="1" applyAlignment="1">
      <alignment horizontal="center" wrapText="1"/>
    </xf>
    <xf numFmtId="49" fontId="8" fillId="4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/>
    <xf numFmtId="38" fontId="0" fillId="0" borderId="0" xfId="0" applyNumberFormat="1" applyFill="1" applyBorder="1"/>
    <xf numFmtId="38" fontId="7" fillId="0" borderId="0" xfId="0" applyNumberFormat="1" applyFont="1" applyFill="1" applyAlignment="1">
      <alignment horizontal="center"/>
    </xf>
    <xf numFmtId="3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8" fontId="0" fillId="0" borderId="1" xfId="0" applyNumberFormat="1" applyFill="1" applyBorder="1"/>
    <xf numFmtId="38" fontId="6" fillId="0" borderId="1" xfId="7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5" fontId="0" fillId="0" borderId="0" xfId="0" applyNumberFormat="1" applyFill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7" fontId="7" fillId="0" borderId="4" xfId="0" applyNumberFormat="1" applyFont="1" applyFill="1" applyBorder="1" applyAlignment="1">
      <alignment horizontal="center"/>
    </xf>
    <xf numFmtId="7" fontId="7" fillId="0" borderId="0" xfId="0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right"/>
    </xf>
    <xf numFmtId="169" fontId="7" fillId="0" borderId="4" xfId="2" applyNumberFormat="1" applyFont="1" applyFill="1" applyBorder="1" applyAlignment="1">
      <alignment horizontal="center"/>
    </xf>
    <xf numFmtId="169" fontId="7" fillId="0" borderId="0" xfId="2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1" fontId="0" fillId="0" borderId="0" xfId="0" applyNumberFormat="1" applyFill="1"/>
    <xf numFmtId="38" fontId="7" fillId="0" borderId="4" xfId="0" applyNumberFormat="1" applyFont="1" applyFill="1" applyBorder="1" applyAlignment="1">
      <alignment horizontal="center" wrapText="1"/>
    </xf>
    <xf numFmtId="0" fontId="13" fillId="0" borderId="0" xfId="0" applyFont="1" applyFill="1"/>
    <xf numFmtId="6" fontId="0" fillId="0" borderId="0" xfId="0" applyNumberFormat="1" applyFill="1"/>
    <xf numFmtId="0" fontId="7" fillId="0" borderId="0" xfId="0" applyFont="1" applyFill="1" applyAlignment="1"/>
    <xf numFmtId="0" fontId="7" fillId="0" borderId="0" xfId="0" applyFont="1" applyFill="1" applyBorder="1" applyAlignment="1">
      <alignment horizontal="right" vertical="top"/>
    </xf>
    <xf numFmtId="0" fontId="4" fillId="0" borderId="3" xfId="7" applyFont="1" applyFill="1" applyBorder="1" applyAlignment="1">
      <alignment horizontal="center"/>
    </xf>
    <xf numFmtId="6" fontId="7" fillId="0" borderId="3" xfId="0" applyNumberFormat="1" applyFont="1" applyFill="1" applyBorder="1" applyAlignment="1">
      <alignment horizontal="center"/>
    </xf>
    <xf numFmtId="0" fontId="0" fillId="0" borderId="10" xfId="0" applyFill="1" applyBorder="1"/>
    <xf numFmtId="169" fontId="0" fillId="0" borderId="10" xfId="0" applyNumberFormat="1" applyFill="1" applyBorder="1"/>
    <xf numFmtId="0" fontId="0" fillId="0" borderId="11" xfId="0" applyFill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6" fontId="0" fillId="0" borderId="0" xfId="0" applyNumberFormat="1" applyFill="1" applyBorder="1" applyAlignment="1"/>
    <xf numFmtId="10" fontId="6" fillId="0" borderId="1" xfId="7" applyNumberFormat="1" applyFont="1" applyFill="1" applyBorder="1" applyAlignment="1">
      <alignment horizontal="right" wrapText="1"/>
    </xf>
    <xf numFmtId="38" fontId="0" fillId="0" borderId="4" xfId="0" applyNumberFormat="1" applyFill="1" applyBorder="1" applyAlignment="1">
      <alignment horizontal="right"/>
    </xf>
    <xf numFmtId="0" fontId="6" fillId="0" borderId="1" xfId="7" applyFont="1" applyFill="1" applyBorder="1" applyAlignment="1">
      <alignment horizontal="left"/>
    </xf>
    <xf numFmtId="0" fontId="6" fillId="0" borderId="0" xfId="7" applyFont="1" applyFill="1" applyBorder="1" applyAlignment="1">
      <alignment horizontal="center" wrapText="1"/>
    </xf>
    <xf numFmtId="0" fontId="6" fillId="0" borderId="0" xfId="7" applyFont="1" applyFill="1" applyBorder="1" applyAlignment="1">
      <alignment horizontal="left" wrapText="1"/>
    </xf>
    <xf numFmtId="6" fontId="0" fillId="0" borderId="0" xfId="0" applyNumberFormat="1" applyFill="1" applyBorder="1" applyAlignment="1">
      <alignment horizontal="right"/>
    </xf>
    <xf numFmtId="0" fontId="14" fillId="0" borderId="0" xfId="0" applyFont="1" applyFill="1"/>
    <xf numFmtId="0" fontId="14" fillId="0" borderId="0" xfId="0" applyFont="1" applyFill="1" applyBorder="1"/>
    <xf numFmtId="10" fontId="6" fillId="0" borderId="0" xfId="7" applyNumberFormat="1" applyFont="1" applyFill="1" applyBorder="1" applyAlignment="1">
      <alignment horizontal="right" wrapText="1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0" fontId="0" fillId="0" borderId="0" xfId="0" applyNumberFormat="1" applyFill="1"/>
    <xf numFmtId="38" fontId="6" fillId="0" borderId="1" xfId="7" applyNumberFormat="1" applyFont="1" applyFill="1" applyBorder="1" applyAlignment="1">
      <alignment horizontal="right" wrapText="1"/>
    </xf>
    <xf numFmtId="0" fontId="6" fillId="0" borderId="14" xfId="5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right" wrapText="1"/>
    </xf>
    <xf numFmtId="10" fontId="0" fillId="0" borderId="0" xfId="0" applyNumberFormat="1" applyFill="1"/>
    <xf numFmtId="38" fontId="6" fillId="0" borderId="1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center" wrapText="1"/>
    </xf>
    <xf numFmtId="10" fontId="0" fillId="0" borderId="1" xfId="0" applyNumberFormat="1" applyFill="1" applyBorder="1"/>
    <xf numFmtId="10" fontId="0" fillId="0" borderId="4" xfId="0" applyNumberFormat="1" applyFill="1" applyBorder="1"/>
    <xf numFmtId="167" fontId="0" fillId="0" borderId="4" xfId="9" applyNumberFormat="1" applyFont="1" applyFill="1" applyBorder="1"/>
    <xf numFmtId="1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4" fillId="0" borderId="1" xfId="7" applyFont="1" applyFill="1" applyBorder="1" applyAlignment="1">
      <alignment horizontal="center" wrapText="1"/>
    </xf>
    <xf numFmtId="3" fontId="4" fillId="0" borderId="1" xfId="7" applyNumberFormat="1" applyFont="1" applyFill="1" applyBorder="1" applyAlignment="1">
      <alignment horizontal="center" wrapText="1"/>
    </xf>
    <xf numFmtId="10" fontId="7" fillId="0" borderId="1" xfId="0" applyNumberFormat="1" applyFont="1" applyFill="1" applyBorder="1" applyAlignment="1">
      <alignment horizontal="center" wrapText="1"/>
    </xf>
    <xf numFmtId="1" fontId="4" fillId="0" borderId="1" xfId="7" applyNumberFormat="1" applyFont="1" applyFill="1" applyBorder="1" applyAlignment="1">
      <alignment horizontal="center" wrapText="1" shrinkToFit="1"/>
    </xf>
    <xf numFmtId="0" fontId="4" fillId="0" borderId="6" xfId="7" applyFont="1" applyFill="1" applyBorder="1" applyAlignment="1">
      <alignment horizontal="center" wrapText="1"/>
    </xf>
    <xf numFmtId="38" fontId="6" fillId="0" borderId="6" xfId="3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horizontal="center" wrapText="1"/>
    </xf>
    <xf numFmtId="3" fontId="4" fillId="0" borderId="0" xfId="7" applyNumberFormat="1" applyFont="1" applyFill="1" applyBorder="1" applyAlignment="1">
      <alignment horizontal="center"/>
    </xf>
    <xf numFmtId="38" fontId="6" fillId="0" borderId="4" xfId="3" applyNumberFormat="1" applyFont="1" applyFill="1" applyBorder="1" applyAlignment="1">
      <alignment horizontal="right" wrapText="1"/>
    </xf>
    <xf numFmtId="10" fontId="6" fillId="0" borderId="8" xfId="7" applyNumberFormat="1" applyFont="1" applyFill="1" applyBorder="1" applyAlignment="1">
      <alignment horizontal="right" wrapText="1"/>
    </xf>
    <xf numFmtId="3" fontId="6" fillId="0" borderId="1" xfId="7" applyNumberFormat="1" applyFont="1" applyFill="1" applyBorder="1" applyAlignment="1">
      <alignment horizontal="right" wrapText="1"/>
    </xf>
    <xf numFmtId="10" fontId="0" fillId="0" borderId="0" xfId="9" applyNumberFormat="1" applyFont="1" applyFill="1"/>
    <xf numFmtId="4" fontId="0" fillId="0" borderId="0" xfId="0" applyNumberFormat="1" applyFill="1"/>
    <xf numFmtId="170" fontId="0" fillId="0" borderId="0" xfId="0" applyNumberFormat="1" applyFill="1"/>
    <xf numFmtId="0" fontId="13" fillId="0" borderId="0" xfId="0" applyFont="1" applyFill="1" applyAlignment="1"/>
    <xf numFmtId="0" fontId="0" fillId="0" borderId="0" xfId="0" applyFill="1" applyAlignment="1"/>
    <xf numFmtId="0" fontId="3" fillId="0" borderId="0" xfId="0" applyFont="1" applyFill="1"/>
    <xf numFmtId="0" fontId="16" fillId="0" borderId="0" xfId="0" applyFont="1" applyFill="1"/>
    <xf numFmtId="0" fontId="16" fillId="0" borderId="0" xfId="0" applyFont="1" applyFill="1" applyBorder="1" applyAlignment="1"/>
    <xf numFmtId="38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38" fontId="4" fillId="0" borderId="0" xfId="7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168" fontId="0" fillId="0" borderId="0" xfId="0" applyNumberFormat="1" applyFill="1"/>
    <xf numFmtId="3" fontId="0" fillId="0" borderId="0" xfId="0" applyNumberFormat="1" applyFill="1" applyBorder="1"/>
    <xf numFmtId="49" fontId="8" fillId="0" borderId="0" xfId="0" applyNumberFormat="1" applyFont="1" applyFill="1" applyAlignment="1"/>
    <xf numFmtId="10" fontId="4" fillId="0" borderId="0" xfId="7" applyNumberFormat="1" applyFont="1" applyFill="1" applyBorder="1" applyAlignment="1">
      <alignment horizontal="right" wrapText="1"/>
    </xf>
    <xf numFmtId="49" fontId="0" fillId="0" borderId="0" xfId="0" applyNumberFormat="1" applyFill="1" applyAlignment="1"/>
    <xf numFmtId="168" fontId="6" fillId="0" borderId="0" xfId="1" applyNumberFormat="1" applyFont="1" applyFill="1" applyBorder="1" applyAlignment="1">
      <alignment horizontal="right" wrapText="1"/>
    </xf>
    <xf numFmtId="0" fontId="7" fillId="5" borderId="0" xfId="0" applyFont="1" applyFill="1" applyBorder="1"/>
    <xf numFmtId="168" fontId="6" fillId="0" borderId="4" xfId="1" applyNumberFormat="1" applyFont="1" applyFill="1" applyBorder="1" applyAlignment="1">
      <alignment horizontal="right" wrapText="1"/>
    </xf>
    <xf numFmtId="0" fontId="7" fillId="6" borderId="19" xfId="0" applyFont="1" applyFill="1" applyBorder="1" applyAlignment="1">
      <alignment horizontal="center" wrapText="1"/>
    </xf>
    <xf numFmtId="0" fontId="0" fillId="6" borderId="0" xfId="0" applyFill="1"/>
    <xf numFmtId="168" fontId="0" fillId="0" borderId="0" xfId="0" applyNumberFormat="1"/>
    <xf numFmtId="0" fontId="13" fillId="0" borderId="0" xfId="0" applyFont="1" applyFill="1" applyBorder="1"/>
    <xf numFmtId="0" fontId="7" fillId="0" borderId="3" xfId="0" applyFont="1" applyFill="1" applyBorder="1"/>
    <xf numFmtId="0" fontId="4" fillId="0" borderId="2" xfId="7" applyFont="1" applyFill="1" applyBorder="1" applyAlignment="1">
      <alignment horizontal="center" wrapText="1"/>
    </xf>
    <xf numFmtId="0" fontId="6" fillId="0" borderId="1" xfId="4" applyFont="1" applyFill="1" applyBorder="1" applyAlignment="1">
      <alignment horizontal="center"/>
    </xf>
    <xf numFmtId="38" fontId="6" fillId="0" borderId="1" xfId="4" applyNumberFormat="1" applyFont="1" applyFill="1" applyBorder="1" applyAlignment="1">
      <alignment horizontal="right" wrapText="1"/>
    </xf>
    <xf numFmtId="38" fontId="3" fillId="0" borderId="1" xfId="4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49" fontId="7" fillId="0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/>
    </xf>
    <xf numFmtId="38" fontId="7" fillId="0" borderId="5" xfId="0" applyNumberFormat="1" applyFont="1" applyFill="1" applyBorder="1" applyAlignment="1">
      <alignment horizontal="center" wrapText="1"/>
    </xf>
    <xf numFmtId="0" fontId="6" fillId="0" borderId="15" xfId="5" applyFont="1" applyFill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38" fontId="6" fillId="0" borderId="1" xfId="5" applyNumberFormat="1" applyFont="1" applyFill="1" applyBorder="1" applyAlignment="1">
      <alignment horizontal="right" wrapText="1"/>
    </xf>
    <xf numFmtId="164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/>
    <xf numFmtId="43" fontId="0" fillId="0" borderId="0" xfId="0" applyNumberFormat="1"/>
    <xf numFmtId="3" fontId="7" fillId="0" borderId="2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10" xfId="7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/>
    </xf>
    <xf numFmtId="38" fontId="15" fillId="0" borderId="1" xfId="7" applyNumberFormat="1" applyFont="1" applyFill="1" applyBorder="1" applyAlignment="1">
      <alignment horizontal="right"/>
    </xf>
    <xf numFmtId="38" fontId="6" fillId="0" borderId="4" xfId="7" applyNumberFormat="1" applyFont="1" applyFill="1" applyBorder="1" applyAlignment="1">
      <alignment horizontal="right"/>
    </xf>
    <xf numFmtId="3" fontId="6" fillId="0" borderId="0" xfId="7" applyNumberFormat="1" applyFont="1" applyFill="1" applyBorder="1" applyAlignment="1">
      <alignment horizontal="right"/>
    </xf>
    <xf numFmtId="9" fontId="0" fillId="0" borderId="0" xfId="9" applyFont="1" applyFill="1"/>
    <xf numFmtId="167" fontId="0" fillId="0" borderId="0" xfId="9" applyNumberFormat="1" applyFont="1" applyFill="1"/>
    <xf numFmtId="9" fontId="7" fillId="0" borderId="0" xfId="0" applyNumberFormat="1" applyFont="1" applyFill="1"/>
    <xf numFmtId="0" fontId="7" fillId="0" borderId="0" xfId="0" applyFont="1" applyAlignment="1">
      <alignment horizontal="center"/>
    </xf>
    <xf numFmtId="3" fontId="6" fillId="0" borderId="0" xfId="7" applyNumberFormat="1" applyFont="1" applyFill="1" applyBorder="1" applyAlignment="1">
      <alignment horizontal="center" wrapText="1"/>
    </xf>
    <xf numFmtId="0" fontId="3" fillId="0" borderId="0" xfId="0" applyFont="1"/>
    <xf numFmtId="168" fontId="7" fillId="0" borderId="0" xfId="0" applyNumberFormat="1" applyFont="1"/>
    <xf numFmtId="167" fontId="7" fillId="0" borderId="0" xfId="9" applyNumberFormat="1" applyFont="1" applyFill="1" applyBorder="1"/>
    <xf numFmtId="3" fontId="3" fillId="7" borderId="19" xfId="1" applyNumberFormat="1" applyFont="1" applyFill="1" applyBorder="1"/>
    <xf numFmtId="38" fontId="7" fillId="0" borderId="2" xfId="0" applyNumberFormat="1" applyFont="1" applyFill="1" applyBorder="1" applyAlignment="1">
      <alignment horizontal="center" wrapText="1"/>
    </xf>
    <xf numFmtId="9" fontId="0" fillId="0" borderId="0" xfId="9" applyNumberFormat="1" applyFont="1" applyFill="1"/>
    <xf numFmtId="38" fontId="4" fillId="0" borderId="0" xfId="7" applyNumberFormat="1" applyFont="1" applyFill="1" applyBorder="1" applyAlignment="1">
      <alignment horizontal="right" wrapText="1"/>
    </xf>
    <xf numFmtId="168" fontId="0" fillId="0" borderId="0" xfId="1" applyNumberFormat="1" applyFont="1" applyBorder="1"/>
    <xf numFmtId="0" fontId="7" fillId="2" borderId="21" xfId="0" applyFont="1" applyFill="1" applyBorder="1" applyAlignment="1">
      <alignment horizontal="center" wrapText="1"/>
    </xf>
    <xf numFmtId="0" fontId="4" fillId="2" borderId="21" xfId="8" applyFont="1" applyFill="1" applyBorder="1" applyAlignment="1">
      <alignment horizontal="center" wrapText="1"/>
    </xf>
    <xf numFmtId="38" fontId="7" fillId="2" borderId="20" xfId="0" applyNumberFormat="1" applyFont="1" applyFill="1" applyBorder="1" applyAlignment="1">
      <alignment horizontal="center" wrapText="1"/>
    </xf>
    <xf numFmtId="49" fontId="6" fillId="0" borderId="21" xfId="7" applyNumberFormat="1" applyFont="1" applyFill="1" applyBorder="1" applyAlignment="1">
      <alignment horizontal="center" wrapText="1"/>
    </xf>
    <xf numFmtId="0" fontId="6" fillId="0" borderId="21" xfId="7" applyFont="1" applyFill="1" applyBorder="1" applyAlignment="1">
      <alignment horizontal="left" wrapText="1"/>
    </xf>
    <xf numFmtId="38" fontId="0" fillId="0" borderId="21" xfId="0" applyNumberFormat="1" applyBorder="1"/>
    <xf numFmtId="10" fontId="0" fillId="0" borderId="21" xfId="9" applyNumberFormat="1" applyFont="1" applyBorder="1"/>
    <xf numFmtId="38" fontId="0" fillId="0" borderId="21" xfId="0" applyNumberFormat="1" applyFill="1" applyBorder="1"/>
    <xf numFmtId="3" fontId="0" fillId="0" borderId="21" xfId="0" applyNumberFormat="1" applyFill="1" applyBorder="1"/>
    <xf numFmtId="3" fontId="0" fillId="0" borderId="21" xfId="0" applyNumberFormat="1" applyBorder="1"/>
    <xf numFmtId="0" fontId="6" fillId="0" borderId="21" xfId="7" applyFont="1" applyFill="1" applyBorder="1" applyAlignment="1">
      <alignment horizontal="left"/>
    </xf>
    <xf numFmtId="38" fontId="3" fillId="0" borderId="0" xfId="0" applyNumberFormat="1" applyFont="1"/>
    <xf numFmtId="10" fontId="3" fillId="0" borderId="0" xfId="9" applyNumberFormat="1" applyFont="1"/>
    <xf numFmtId="0" fontId="13" fillId="0" borderId="0" xfId="10" applyFont="1" applyFill="1"/>
    <xf numFmtId="0" fontId="3" fillId="0" borderId="0" xfId="10" applyFill="1"/>
    <xf numFmtId="3" fontId="3" fillId="0" borderId="0" xfId="10" applyNumberFormat="1" applyFill="1"/>
    <xf numFmtId="38" fontId="3" fillId="0" borderId="0" xfId="10" applyNumberFormat="1" applyFill="1"/>
    <xf numFmtId="10" fontId="3" fillId="0" borderId="0" xfId="10" applyNumberFormat="1" applyFill="1"/>
    <xf numFmtId="0" fontId="7" fillId="0" borderId="0" xfId="10" applyFont="1" applyFill="1"/>
    <xf numFmtId="0" fontId="7" fillId="0" borderId="0" xfId="10" applyFont="1" applyFill="1" applyAlignment="1">
      <alignment horizontal="left"/>
    </xf>
    <xf numFmtId="0" fontId="7" fillId="0" borderId="0" xfId="10" applyFont="1" applyFill="1" applyAlignment="1">
      <alignment horizontal="center"/>
    </xf>
    <xf numFmtId="3" fontId="7" fillId="0" borderId="0" xfId="10" applyNumberFormat="1" applyFont="1" applyFill="1" applyAlignment="1">
      <alignment horizontal="center"/>
    </xf>
    <xf numFmtId="38" fontId="7" fillId="0" borderId="0" xfId="10" applyNumberFormat="1" applyFont="1" applyFill="1" applyAlignment="1">
      <alignment horizontal="center"/>
    </xf>
    <xf numFmtId="10" fontId="7" fillId="0" borderId="0" xfId="10" applyNumberFormat="1" applyFont="1" applyFill="1" applyAlignment="1">
      <alignment horizontal="center"/>
    </xf>
    <xf numFmtId="0" fontId="3" fillId="0" borderId="0" xfId="10" applyFill="1" applyAlignment="1">
      <alignment horizontal="center"/>
    </xf>
    <xf numFmtId="0" fontId="4" fillId="0" borderId="22" xfId="7" applyFont="1" applyFill="1" applyBorder="1" applyAlignment="1">
      <alignment horizontal="center" wrapText="1"/>
    </xf>
    <xf numFmtId="3" fontId="17" fillId="0" borderId="22" xfId="7" applyNumberFormat="1" applyFont="1" applyFill="1" applyBorder="1" applyAlignment="1">
      <alignment horizontal="center" wrapText="1"/>
    </xf>
    <xf numFmtId="38" fontId="18" fillId="0" borderId="22" xfId="10" applyNumberFormat="1" applyFont="1" applyFill="1" applyBorder="1" applyAlignment="1">
      <alignment horizontal="center" wrapText="1"/>
    </xf>
    <xf numFmtId="38" fontId="17" fillId="0" borderId="22" xfId="7" applyNumberFormat="1" applyFont="1" applyFill="1" applyBorder="1" applyAlignment="1">
      <alignment horizontal="center" wrapText="1"/>
    </xf>
    <xf numFmtId="10" fontId="7" fillId="0" borderId="0" xfId="10" applyNumberFormat="1" applyFont="1" applyFill="1" applyBorder="1" applyAlignment="1">
      <alignment horizontal="center" wrapText="1"/>
    </xf>
    <xf numFmtId="10" fontId="7" fillId="0" borderId="22" xfId="10" applyNumberFormat="1" applyFont="1" applyFill="1" applyBorder="1" applyAlignment="1">
      <alignment horizontal="center" wrapText="1"/>
    </xf>
    <xf numFmtId="0" fontId="3" fillId="0" borderId="0" xfId="10" applyFill="1" applyAlignment="1">
      <alignment wrapText="1"/>
    </xf>
    <xf numFmtId="38" fontId="4" fillId="0" borderId="22" xfId="7" applyNumberFormat="1" applyFont="1" applyFill="1" applyBorder="1" applyAlignment="1">
      <alignment horizontal="center" wrapText="1"/>
    </xf>
    <xf numFmtId="38" fontId="3" fillId="0" borderId="0" xfId="10" applyNumberFormat="1" applyFill="1" applyBorder="1" applyAlignment="1">
      <alignment horizontal="center" wrapText="1"/>
    </xf>
    <xf numFmtId="10" fontId="3" fillId="0" borderId="0" xfId="10" applyNumberFormat="1" applyFill="1" applyAlignment="1">
      <alignment wrapText="1"/>
    </xf>
    <xf numFmtId="0" fontId="6" fillId="0" borderId="23" xfId="7" applyFont="1" applyFill="1" applyBorder="1" applyAlignment="1">
      <alignment horizontal="center" wrapText="1"/>
    </xf>
    <xf numFmtId="0" fontId="6" fillId="0" borderId="22" xfId="7" applyFont="1" applyFill="1" applyBorder="1" applyAlignment="1">
      <alignment horizontal="left" wrapText="1"/>
    </xf>
    <xf numFmtId="168" fontId="6" fillId="0" borderId="23" xfId="6" applyNumberFormat="1" applyFont="1" applyFill="1" applyBorder="1" applyAlignment="1">
      <alignment horizontal="right" wrapText="1"/>
    </xf>
    <xf numFmtId="38" fontId="6" fillId="0" borderId="25" xfId="7" applyNumberFormat="1" applyFont="1" applyFill="1" applyBorder="1" applyAlignment="1">
      <alignment horizontal="right" wrapText="1"/>
    </xf>
    <xf numFmtId="10" fontId="3" fillId="0" borderId="0" xfId="10" applyNumberFormat="1" applyFill="1" applyBorder="1" applyAlignment="1">
      <alignment horizontal="right"/>
    </xf>
    <xf numFmtId="168" fontId="6" fillId="0" borderId="23" xfId="1" applyNumberFormat="1" applyFont="1" applyFill="1" applyBorder="1" applyAlignment="1">
      <alignment horizontal="right" wrapText="1"/>
    </xf>
    <xf numFmtId="0" fontId="6" fillId="0" borderId="22" xfId="7" applyFont="1" applyFill="1" applyBorder="1" applyAlignment="1">
      <alignment horizontal="left"/>
    </xf>
    <xf numFmtId="49" fontId="6" fillId="0" borderId="22" xfId="7" applyNumberFormat="1" applyFont="1" applyFill="1" applyBorder="1" applyAlignment="1">
      <alignment horizontal="center" wrapText="1"/>
    </xf>
    <xf numFmtId="49" fontId="6" fillId="0" borderId="23" xfId="7" applyNumberFormat="1" applyFont="1" applyFill="1" applyBorder="1" applyAlignment="1">
      <alignment horizontal="center" wrapText="1"/>
    </xf>
    <xf numFmtId="3" fontId="3" fillId="0" borderId="0" xfId="10" applyNumberFormat="1" applyFill="1" applyAlignment="1">
      <alignment horizontal="right"/>
    </xf>
    <xf numFmtId="38" fontId="3" fillId="0" borderId="0" xfId="10" applyNumberFormat="1" applyFill="1" applyAlignment="1">
      <alignment horizontal="right"/>
    </xf>
    <xf numFmtId="0" fontId="3" fillId="0" borderId="0" xfId="10" applyFill="1" applyAlignment="1">
      <alignment horizontal="right"/>
    </xf>
    <xf numFmtId="10" fontId="3" fillId="0" borderId="0" xfId="10" applyNumberFormat="1" applyFill="1" applyAlignment="1">
      <alignment horizontal="right"/>
    </xf>
    <xf numFmtId="0" fontId="3" fillId="0" borderId="0" xfId="10" applyFont="1" applyFill="1" applyAlignment="1">
      <alignment horizontal="left"/>
    </xf>
    <xf numFmtId="0" fontId="3" fillId="0" borderId="0" xfId="10" applyFill="1" applyAlignment="1">
      <alignment horizontal="left"/>
    </xf>
    <xf numFmtId="49" fontId="8" fillId="0" borderId="0" xfId="10" applyNumberFormat="1" applyFont="1" applyFill="1" applyAlignment="1">
      <alignment horizontal="left"/>
    </xf>
    <xf numFmtId="0" fontId="7" fillId="0" borderId="0" xfId="0" applyFont="1" applyFill="1" applyBorder="1"/>
    <xf numFmtId="0" fontId="19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wrapText="1"/>
    </xf>
    <xf numFmtId="0" fontId="4" fillId="0" borderId="22" xfId="7" applyFont="1" applyFill="1" applyBorder="1" applyAlignment="1">
      <alignment horizontal="center"/>
    </xf>
    <xf numFmtId="0" fontId="4" fillId="10" borderId="22" xfId="7" applyFont="1" applyFill="1" applyBorder="1" applyAlignment="1">
      <alignment horizontal="center" wrapText="1"/>
    </xf>
    <xf numFmtId="38" fontId="4" fillId="10" borderId="22" xfId="7" applyNumberFormat="1" applyFont="1" applyFill="1" applyBorder="1" applyAlignment="1">
      <alignment horizontal="center" wrapText="1"/>
    </xf>
    <xf numFmtId="38" fontId="4" fillId="8" borderId="22" xfId="7" applyNumberFormat="1" applyFont="1" applyFill="1" applyBorder="1" applyAlignment="1">
      <alignment horizontal="center" wrapText="1"/>
    </xf>
    <xf numFmtId="10" fontId="7" fillId="0" borderId="22" xfId="0" applyNumberFormat="1" applyFont="1" applyFill="1" applyBorder="1" applyAlignment="1">
      <alignment horizontal="center" wrapText="1"/>
    </xf>
    <xf numFmtId="3" fontId="7" fillId="0" borderId="23" xfId="0" applyNumberFormat="1" applyFont="1" applyFill="1" applyBorder="1" applyAlignment="1">
      <alignment horizontal="center" wrapText="1"/>
    </xf>
    <xf numFmtId="0" fontId="4" fillId="0" borderId="25" xfId="7" applyFont="1" applyFill="1" applyBorder="1" applyAlignment="1">
      <alignment horizontal="center"/>
    </xf>
    <xf numFmtId="38" fontId="4" fillId="10" borderId="0" xfId="7" applyNumberFormat="1" applyFont="1" applyFill="1" applyBorder="1" applyAlignment="1">
      <alignment horizontal="center" wrapText="1"/>
    </xf>
    <xf numFmtId="38" fontId="4" fillId="10" borderId="25" xfId="7" applyNumberFormat="1" applyFont="1" applyFill="1" applyBorder="1" applyAlignment="1">
      <alignment horizontal="center" wrapText="1"/>
    </xf>
    <xf numFmtId="38" fontId="4" fillId="8" borderId="25" xfId="7" applyNumberFormat="1" applyFont="1" applyFill="1" applyBorder="1" applyAlignment="1">
      <alignment horizontal="center" wrapText="1"/>
    </xf>
    <xf numFmtId="38" fontId="4" fillId="0" borderId="25" xfId="7" applyNumberFormat="1" applyFont="1" applyFill="1" applyBorder="1" applyAlignment="1">
      <alignment horizontal="center" wrapText="1"/>
    </xf>
    <xf numFmtId="3" fontId="7" fillId="0" borderId="26" xfId="0" applyNumberFormat="1" applyFont="1" applyFill="1" applyBorder="1" applyAlignment="1">
      <alignment horizontal="center" wrapText="1"/>
    </xf>
    <xf numFmtId="0" fontId="6" fillId="0" borderId="22" xfId="7" applyFont="1" applyFill="1" applyBorder="1" applyAlignment="1">
      <alignment horizontal="center" wrapText="1"/>
    </xf>
    <xf numFmtId="3" fontId="0" fillId="10" borderId="23" xfId="0" applyNumberFormat="1" applyFill="1" applyBorder="1"/>
    <xf numFmtId="38" fontId="6" fillId="10" borderId="22" xfId="7" applyNumberFormat="1" applyFont="1" applyFill="1" applyBorder="1" applyAlignment="1">
      <alignment horizontal="right" wrapText="1"/>
    </xf>
    <xf numFmtId="38" fontId="6" fillId="8" borderId="22" xfId="7" applyNumberFormat="1" applyFont="1" applyFill="1" applyBorder="1" applyAlignment="1">
      <alignment horizontal="right" wrapText="1"/>
    </xf>
    <xf numFmtId="38" fontId="6" fillId="0" borderId="22" xfId="7" applyNumberFormat="1" applyFont="1" applyFill="1" applyBorder="1" applyAlignment="1">
      <alignment horizontal="right" wrapText="1"/>
    </xf>
    <xf numFmtId="10" fontId="0" fillId="0" borderId="23" xfId="0" applyNumberFormat="1" applyFill="1" applyBorder="1" applyAlignment="1">
      <alignment horizontal="right"/>
    </xf>
    <xf numFmtId="168" fontId="6" fillId="0" borderId="22" xfId="1" applyNumberFormat="1" applyFont="1" applyFill="1" applyBorder="1" applyAlignment="1">
      <alignment horizontal="right" wrapText="1"/>
    </xf>
    <xf numFmtId="3" fontId="0" fillId="0" borderId="23" xfId="0" applyNumberFormat="1" applyFill="1" applyBorder="1"/>
    <xf numFmtId="168" fontId="0" fillId="0" borderId="19" xfId="0" applyNumberFormat="1" applyFill="1" applyBorder="1"/>
    <xf numFmtId="9" fontId="7" fillId="0" borderId="0" xfId="9" applyFont="1" applyFill="1"/>
    <xf numFmtId="167" fontId="3" fillId="0" borderId="0" xfId="9" applyNumberFormat="1" applyFill="1"/>
    <xf numFmtId="167" fontId="3" fillId="0" borderId="0" xfId="10" applyNumberFormat="1" applyFill="1"/>
    <xf numFmtId="38" fontId="0" fillId="0" borderId="0" xfId="0" applyNumberFormat="1" applyBorder="1"/>
    <xf numFmtId="0" fontId="22" fillId="0" borderId="10" xfId="13" applyFont="1" applyFill="1" applyBorder="1" applyAlignment="1">
      <alignment horizontal="center"/>
    </xf>
    <xf numFmtId="0" fontId="22" fillId="0" borderId="23" xfId="13" applyFont="1" applyFill="1" applyBorder="1" applyAlignment="1">
      <alignment horizontal="center"/>
    </xf>
    <xf numFmtId="0" fontId="24" fillId="0" borderId="11" xfId="14" applyFont="1" applyFill="1" applyBorder="1" applyAlignment="1">
      <alignment wrapText="1"/>
    </xf>
    <xf numFmtId="0" fontId="22" fillId="0" borderId="11" xfId="14" applyFont="1" applyFill="1" applyBorder="1" applyAlignment="1">
      <alignment wrapText="1"/>
    </xf>
    <xf numFmtId="0" fontId="22" fillId="0" borderId="29" xfId="14" applyFont="1" applyFill="1" applyBorder="1" applyAlignment="1">
      <alignment wrapText="1"/>
    </xf>
    <xf numFmtId="38" fontId="0" fillId="0" borderId="4" xfId="0" applyNumberFormat="1" applyFill="1" applyBorder="1"/>
    <xf numFmtId="167" fontId="0" fillId="0" borderId="0" xfId="9" applyNumberFormat="1" applyFont="1"/>
    <xf numFmtId="0" fontId="26" fillId="0" borderId="0" xfId="18" applyFont="1" applyAlignment="1">
      <alignment horizontal="left"/>
    </xf>
    <xf numFmtId="0" fontId="26" fillId="0" borderId="0" xfId="18" applyFont="1" applyFill="1" applyAlignment="1">
      <alignment horizontal="left"/>
    </xf>
    <xf numFmtId="0" fontId="25" fillId="0" borderId="0" xfId="18" applyAlignment="1">
      <alignment horizontal="centerContinuous"/>
    </xf>
    <xf numFmtId="0" fontId="25" fillId="0" borderId="0" xfId="18"/>
    <xf numFmtId="0" fontId="25" fillId="5" borderId="23" xfId="18" applyFill="1" applyBorder="1"/>
    <xf numFmtId="0" fontId="27" fillId="0" borderId="30" xfId="18" applyFont="1" applyFill="1" applyBorder="1" applyAlignment="1">
      <alignment horizontal="center"/>
    </xf>
    <xf numFmtId="0" fontId="25" fillId="0" borderId="30" xfId="18" applyBorder="1"/>
    <xf numFmtId="0" fontId="27" fillId="0" borderId="30" xfId="18" applyFont="1" applyBorder="1" applyAlignment="1">
      <alignment horizontal="center"/>
    </xf>
    <xf numFmtId="0" fontId="7" fillId="0" borderId="31" xfId="18" applyNumberFormat="1" applyFont="1" applyBorder="1" applyAlignment="1" applyProtection="1">
      <alignment horizontal="left"/>
      <protection locked="0"/>
    </xf>
    <xf numFmtId="3" fontId="7" fillId="10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0" borderId="31" xfId="18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18" applyFont="1" applyBorder="1" applyAlignment="1" applyProtection="1">
      <alignment horizontal="center" vertical="center" wrapText="1"/>
      <protection locked="0"/>
    </xf>
    <xf numFmtId="0" fontId="7" fillId="10" borderId="31" xfId="18" applyFont="1" applyFill="1" applyBorder="1" applyAlignment="1" applyProtection="1">
      <alignment horizontal="center" vertical="center" wrapText="1"/>
      <protection locked="0"/>
    </xf>
    <xf numFmtId="0" fontId="7" fillId="11" borderId="31" xfId="18" applyFont="1" applyFill="1" applyBorder="1" applyAlignment="1" applyProtection="1">
      <alignment horizontal="center" vertical="center" wrapText="1"/>
      <protection locked="0"/>
    </xf>
    <xf numFmtId="3" fontId="7" fillId="0" borderId="32" xfId="18" applyNumberFormat="1" applyFont="1" applyBorder="1" applyAlignment="1" applyProtection="1">
      <alignment horizontal="center" vertical="center" wrapText="1"/>
      <protection locked="0"/>
    </xf>
    <xf numFmtId="0" fontId="3" fillId="0" borderId="0" xfId="18" applyFont="1" applyAlignment="1" applyProtection="1">
      <alignment horizontal="right"/>
      <protection locked="0"/>
    </xf>
    <xf numFmtId="0" fontId="6" fillId="0" borderId="23" xfId="19" applyFont="1" applyFill="1" applyBorder="1" applyAlignment="1">
      <alignment wrapText="1"/>
    </xf>
    <xf numFmtId="3" fontId="3" fillId="10" borderId="33" xfId="18" quotePrefix="1" applyNumberFormat="1" applyFont="1" applyFill="1" applyBorder="1" applyProtection="1">
      <protection locked="0"/>
    </xf>
    <xf numFmtId="3" fontId="3" fillId="11" borderId="33" xfId="18" quotePrefix="1" applyNumberFormat="1" applyFont="1" applyFill="1" applyBorder="1" applyProtection="1">
      <protection locked="0"/>
    </xf>
    <xf numFmtId="3" fontId="3" fillId="0" borderId="33" xfId="18" quotePrefix="1" applyNumberFormat="1" applyFont="1" applyFill="1" applyBorder="1" applyProtection="1">
      <protection locked="0"/>
    </xf>
    <xf numFmtId="3" fontId="3" fillId="0" borderId="34" xfId="18" applyNumberFormat="1" applyFont="1" applyFill="1" applyBorder="1" applyProtection="1">
      <protection locked="0"/>
    </xf>
    <xf numFmtId="167" fontId="3" fillId="0" borderId="35" xfId="20" applyNumberFormat="1" applyFont="1" applyBorder="1" applyProtection="1">
      <protection locked="0"/>
    </xf>
    <xf numFmtId="1" fontId="3" fillId="10" borderId="29" xfId="18" applyNumberFormat="1" applyFont="1" applyFill="1" applyBorder="1" applyProtection="1">
      <protection locked="0"/>
    </xf>
    <xf numFmtId="1" fontId="3" fillId="11" borderId="29" xfId="18" applyNumberFormat="1" applyFont="1" applyFill="1" applyBorder="1" applyProtection="1">
      <protection locked="0"/>
    </xf>
    <xf numFmtId="3" fontId="3" fillId="10" borderId="29" xfId="18" applyNumberFormat="1" applyFont="1" applyFill="1" applyBorder="1" applyProtection="1">
      <protection locked="0"/>
    </xf>
    <xf numFmtId="167" fontId="3" fillId="0" borderId="23" xfId="20" applyNumberFormat="1" applyFont="1" applyBorder="1" applyProtection="1">
      <protection locked="0"/>
    </xf>
    <xf numFmtId="0" fontId="3" fillId="0" borderId="0" xfId="18" applyFont="1" applyProtection="1">
      <protection locked="0"/>
    </xf>
    <xf numFmtId="0" fontId="3" fillId="0" borderId="36" xfId="18" quotePrefix="1" applyNumberFormat="1" applyFont="1" applyBorder="1" applyProtection="1">
      <protection locked="0"/>
    </xf>
    <xf numFmtId="3" fontId="3" fillId="0" borderId="28" xfId="18" quotePrefix="1" applyNumberFormat="1" applyFont="1" applyFill="1" applyBorder="1" applyProtection="1">
      <protection locked="0"/>
    </xf>
    <xf numFmtId="3" fontId="3" fillId="11" borderId="28" xfId="18" quotePrefix="1" applyNumberFormat="1" applyFont="1" applyFill="1" applyBorder="1" applyProtection="1">
      <protection locked="0"/>
    </xf>
    <xf numFmtId="3" fontId="3" fillId="0" borderId="23" xfId="18" applyNumberFormat="1" applyFont="1" applyFill="1" applyBorder="1" applyProtection="1">
      <protection locked="0"/>
    </xf>
    <xf numFmtId="1" fontId="3" fillId="10" borderId="23" xfId="18" applyNumberFormat="1" applyFont="1" applyFill="1" applyBorder="1" applyProtection="1">
      <protection locked="0"/>
    </xf>
    <xf numFmtId="168" fontId="3" fillId="11" borderId="23" xfId="21" applyNumberFormat="1" applyFont="1" applyFill="1" applyBorder="1" applyProtection="1">
      <protection locked="0"/>
    </xf>
    <xf numFmtId="3" fontId="3" fillId="10" borderId="23" xfId="18" applyNumberFormat="1" applyFont="1" applyFill="1" applyBorder="1" applyProtection="1">
      <protection locked="0"/>
    </xf>
    <xf numFmtId="0" fontId="3" fillId="0" borderId="36" xfId="18" quotePrefix="1" applyNumberFormat="1" applyFont="1" applyBorder="1" applyAlignment="1" applyProtection="1">
      <alignment horizontal="left"/>
      <protection locked="0"/>
    </xf>
    <xf numFmtId="0" fontId="7" fillId="0" borderId="37" xfId="18" applyNumberFormat="1" applyFont="1" applyBorder="1" applyProtection="1">
      <protection locked="0"/>
    </xf>
    <xf numFmtId="3" fontId="7" fillId="10" borderId="23" xfId="18" quotePrefix="1" applyNumberFormat="1" applyFont="1" applyFill="1" applyBorder="1" applyProtection="1">
      <protection locked="0"/>
    </xf>
    <xf numFmtId="3" fontId="7" fillId="11" borderId="23" xfId="18" quotePrefix="1" applyNumberFormat="1" applyFont="1" applyFill="1" applyBorder="1" applyProtection="1">
      <protection locked="0"/>
    </xf>
    <xf numFmtId="3" fontId="7" fillId="0" borderId="23" xfId="18" quotePrefix="1" applyNumberFormat="1" applyFont="1" applyFill="1" applyBorder="1" applyProtection="1">
      <protection locked="0"/>
    </xf>
    <xf numFmtId="3" fontId="7" fillId="0" borderId="23" xfId="18" applyNumberFormat="1" applyFont="1" applyFill="1" applyBorder="1" applyProtection="1">
      <protection locked="0"/>
    </xf>
    <xf numFmtId="167" fontId="7" fillId="0" borderId="23" xfId="20" quotePrefix="1" applyNumberFormat="1" applyFont="1" applyBorder="1" applyProtection="1">
      <protection locked="0"/>
    </xf>
    <xf numFmtId="1" fontId="7" fillId="10" borderId="23" xfId="18" applyNumberFormat="1" applyFont="1" applyFill="1" applyBorder="1" applyProtection="1">
      <protection locked="0"/>
    </xf>
    <xf numFmtId="168" fontId="7" fillId="11" borderId="23" xfId="21" applyNumberFormat="1" applyFont="1" applyFill="1" applyBorder="1" applyProtection="1">
      <protection locked="0"/>
    </xf>
    <xf numFmtId="3" fontId="7" fillId="10" borderId="23" xfId="18" applyNumberFormat="1" applyFont="1" applyFill="1" applyBorder="1" applyProtection="1">
      <protection locked="0"/>
    </xf>
    <xf numFmtId="0" fontId="3" fillId="0" borderId="36" xfId="18" applyNumberFormat="1" applyFont="1" applyBorder="1" applyAlignment="1" applyProtection="1">
      <alignment horizontal="left" indent="2"/>
      <protection locked="0"/>
    </xf>
    <xf numFmtId="0" fontId="3" fillId="0" borderId="38" xfId="18" quotePrefix="1" applyNumberFormat="1" applyFont="1" applyBorder="1" applyProtection="1">
      <protection locked="0"/>
    </xf>
    <xf numFmtId="167" fontId="3" fillId="0" borderId="30" xfId="20" applyNumberFormat="1" applyFont="1" applyBorder="1" applyProtection="1">
      <protection locked="0"/>
    </xf>
    <xf numFmtId="1" fontId="3" fillId="11" borderId="23" xfId="18" applyNumberFormat="1" applyFont="1" applyFill="1" applyBorder="1" applyProtection="1">
      <protection locked="0"/>
    </xf>
    <xf numFmtId="0" fontId="7" fillId="0" borderId="39" xfId="18" applyNumberFormat="1" applyFont="1" applyBorder="1" applyProtection="1">
      <protection locked="0"/>
    </xf>
    <xf numFmtId="3" fontId="7" fillId="10" borderId="40" xfId="18" applyNumberFormat="1" applyFont="1" applyFill="1" applyBorder="1" applyProtection="1">
      <protection locked="0"/>
    </xf>
    <xf numFmtId="3" fontId="7" fillId="11" borderId="40" xfId="18" applyNumberFormat="1" applyFont="1" applyFill="1" applyBorder="1" applyProtection="1">
      <protection locked="0"/>
    </xf>
    <xf numFmtId="3" fontId="7" fillId="0" borderId="40" xfId="18" applyNumberFormat="1" applyFont="1" applyFill="1" applyBorder="1" applyProtection="1">
      <protection locked="0"/>
    </xf>
    <xf numFmtId="167" fontId="7" fillId="0" borderId="41" xfId="20" applyNumberFormat="1" applyFont="1" applyBorder="1" applyProtection="1">
      <protection locked="0"/>
    </xf>
    <xf numFmtId="0" fontId="7" fillId="0" borderId="0" xfId="18" applyFont="1" applyProtection="1">
      <protection locked="0"/>
    </xf>
    <xf numFmtId="0" fontId="7" fillId="0" borderId="0" xfId="18" applyNumberFormat="1" applyFont="1" applyBorder="1" applyProtection="1">
      <protection locked="0"/>
    </xf>
    <xf numFmtId="3" fontId="3" fillId="0" borderId="0" xfId="18" applyNumberFormat="1" applyFont="1" applyBorder="1" applyProtection="1">
      <protection locked="0"/>
    </xf>
    <xf numFmtId="3" fontId="3" fillId="0" borderId="0" xfId="18" applyNumberFormat="1" applyFont="1" applyFill="1" applyBorder="1" applyProtection="1">
      <protection locked="0"/>
    </xf>
    <xf numFmtId="0" fontId="3" fillId="0" borderId="0" xfId="18" applyFont="1" applyFill="1" applyProtection="1">
      <protection locked="0"/>
    </xf>
    <xf numFmtId="167" fontId="3" fillId="0" borderId="0" xfId="20" applyNumberFormat="1" applyFont="1" applyProtection="1">
      <protection locked="0"/>
    </xf>
    <xf numFmtId="0" fontId="7" fillId="0" borderId="31" xfId="18" applyNumberFormat="1" applyFont="1" applyBorder="1" applyProtection="1">
      <protection locked="0"/>
    </xf>
    <xf numFmtId="3" fontId="3" fillId="0" borderId="42" xfId="18" quotePrefix="1" applyNumberFormat="1" applyFont="1" applyBorder="1" applyProtection="1">
      <protection locked="0"/>
    </xf>
    <xf numFmtId="3" fontId="3" fillId="0" borderId="42" xfId="18" quotePrefix="1" applyNumberFormat="1" applyFont="1" applyFill="1" applyBorder="1" applyProtection="1">
      <protection locked="0"/>
    </xf>
    <xf numFmtId="3" fontId="3" fillId="0" borderId="0" xfId="18" quotePrefix="1" applyNumberFormat="1" applyFont="1" applyFill="1" applyBorder="1" applyProtection="1">
      <protection locked="0"/>
    </xf>
    <xf numFmtId="0" fontId="3" fillId="0" borderId="0" xfId="18" applyFont="1" applyFill="1" applyBorder="1" applyProtection="1">
      <protection locked="0"/>
    </xf>
    <xf numFmtId="0" fontId="3" fillId="0" borderId="0" xfId="18" applyFont="1" applyBorder="1" applyProtection="1">
      <protection locked="0"/>
    </xf>
    <xf numFmtId="0" fontId="3" fillId="0" borderId="33" xfId="18" quotePrefix="1" applyNumberFormat="1" applyFont="1" applyBorder="1" applyProtection="1">
      <protection locked="0"/>
    </xf>
    <xf numFmtId="3" fontId="3" fillId="0" borderId="35" xfId="18" quotePrefix="1" applyNumberFormat="1" applyFont="1" applyFill="1" applyBorder="1" applyProtection="1">
      <protection locked="0"/>
    </xf>
    <xf numFmtId="3" fontId="3" fillId="11" borderId="35" xfId="18" quotePrefix="1" applyNumberFormat="1" applyFont="1" applyFill="1" applyBorder="1" applyProtection="1">
      <protection locked="0"/>
    </xf>
    <xf numFmtId="3" fontId="3" fillId="0" borderId="35" xfId="18" applyNumberFormat="1" applyFont="1" applyFill="1" applyBorder="1" applyProtection="1">
      <protection locked="0"/>
    </xf>
    <xf numFmtId="167" fontId="3" fillId="0" borderId="10" xfId="20" applyNumberFormat="1" applyFont="1" applyBorder="1" applyProtection="1">
      <protection locked="0"/>
    </xf>
    <xf numFmtId="3" fontId="7" fillId="12" borderId="40" xfId="18" applyNumberFormat="1" applyFont="1" applyFill="1" applyBorder="1" applyProtection="1">
      <protection locked="0"/>
    </xf>
    <xf numFmtId="0" fontId="7" fillId="0" borderId="43" xfId="18" applyNumberFormat="1" applyFont="1" applyBorder="1" applyProtection="1">
      <protection locked="0"/>
    </xf>
    <xf numFmtId="3" fontId="7" fillId="10" borderId="43" xfId="18" applyNumberFormat="1" applyFont="1" applyFill="1" applyBorder="1" applyProtection="1">
      <protection locked="0"/>
    </xf>
    <xf numFmtId="3" fontId="7" fillId="11" borderId="43" xfId="18" applyNumberFormat="1" applyFont="1" applyFill="1" applyBorder="1" applyProtection="1">
      <protection locked="0"/>
    </xf>
    <xf numFmtId="3" fontId="7" fillId="0" borderId="43" xfId="18" applyNumberFormat="1" applyFont="1" applyFill="1" applyBorder="1" applyProtection="1">
      <protection locked="0"/>
    </xf>
    <xf numFmtId="167" fontId="7" fillId="0" borderId="43" xfId="20" applyNumberFormat="1" applyFont="1" applyBorder="1" applyProtection="1">
      <protection locked="0"/>
    </xf>
    <xf numFmtId="0" fontId="7" fillId="0" borderId="44" xfId="18" applyFont="1" applyBorder="1"/>
    <xf numFmtId="0" fontId="25" fillId="0" borderId="45" xfId="18" applyBorder="1"/>
    <xf numFmtId="0" fontId="25" fillId="0" borderId="46" xfId="18" applyBorder="1"/>
    <xf numFmtId="0" fontId="25" fillId="0" borderId="47" xfId="18" applyFill="1" applyBorder="1"/>
    <xf numFmtId="0" fontId="25" fillId="0" borderId="47" xfId="18" applyBorder="1"/>
    <xf numFmtId="1" fontId="3" fillId="0" borderId="29" xfId="18" applyNumberFormat="1" applyFont="1" applyBorder="1" applyProtection="1">
      <protection locked="0"/>
    </xf>
    <xf numFmtId="1" fontId="3" fillId="0" borderId="0" xfId="18" applyNumberFormat="1" applyFont="1" applyBorder="1" applyProtection="1">
      <protection locked="0"/>
    </xf>
    <xf numFmtId="0" fontId="25" fillId="0" borderId="0" xfId="18" applyFill="1"/>
    <xf numFmtId="3" fontId="25" fillId="0" borderId="0" xfId="18" applyNumberFormat="1"/>
    <xf numFmtId="0" fontId="7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8" fontId="3" fillId="0" borderId="0" xfId="1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3" fillId="0" borderId="0" xfId="0" applyNumberFormat="1" applyFont="1" applyAlignment="1">
      <alignment horizontal="left"/>
    </xf>
    <xf numFmtId="3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7" fontId="0" fillId="0" borderId="0" xfId="9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0" fontId="0" fillId="0" borderId="0" xfId="0" applyNumberFormat="1" applyFill="1" applyBorder="1"/>
    <xf numFmtId="3" fontId="3" fillId="6" borderId="19" xfId="1" applyNumberFormat="1" applyFont="1" applyFill="1" applyBorder="1"/>
    <xf numFmtId="168" fontId="0" fillId="9" borderId="0" xfId="1" applyNumberFormat="1" applyFont="1" applyFill="1"/>
    <xf numFmtId="167" fontId="8" fillId="0" borderId="0" xfId="9" applyNumberFormat="1" applyFont="1" applyFill="1" applyBorder="1" applyAlignment="1">
      <alignment horizontal="center"/>
    </xf>
    <xf numFmtId="10" fontId="3" fillId="0" borderId="23" xfId="10" applyNumberFormat="1" applyFill="1" applyBorder="1" applyAlignment="1">
      <alignment horizontal="right"/>
    </xf>
    <xf numFmtId="0" fontId="7" fillId="12" borderId="19" xfId="0" applyFont="1" applyFill="1" applyBorder="1" applyAlignment="1">
      <alignment horizontal="center" wrapText="1"/>
    </xf>
    <xf numFmtId="0" fontId="0" fillId="12" borderId="0" xfId="0" applyFill="1"/>
    <xf numFmtId="168" fontId="3" fillId="13" borderId="19" xfId="1" applyNumberFormat="1" applyFont="1" applyFill="1" applyBorder="1"/>
    <xf numFmtId="168" fontId="3" fillId="12" borderId="19" xfId="1" applyNumberFormat="1" applyFont="1" applyFill="1" applyBorder="1"/>
    <xf numFmtId="0" fontId="21" fillId="0" borderId="0" xfId="22" applyFont="1"/>
    <xf numFmtId="167" fontId="21" fillId="0" borderId="0" xfId="22" applyNumberFormat="1" applyFont="1"/>
    <xf numFmtId="0" fontId="20" fillId="0" borderId="23" xfId="22" applyFont="1" applyBorder="1" applyAlignment="1">
      <alignment wrapText="1"/>
    </xf>
    <xf numFmtId="167" fontId="20" fillId="0" borderId="27" xfId="22" applyNumberFormat="1" applyFont="1" applyBorder="1" applyAlignment="1">
      <alignment horizontal="center" vertical="center" wrapText="1"/>
    </xf>
    <xf numFmtId="0" fontId="21" fillId="0" borderId="0" xfId="22" applyFont="1" applyAlignment="1">
      <alignment wrapText="1"/>
    </xf>
    <xf numFmtId="0" fontId="21" fillId="0" borderId="11" xfId="22" applyFont="1" applyBorder="1"/>
    <xf numFmtId="0" fontId="21" fillId="0" borderId="10" xfId="22" applyFont="1" applyBorder="1"/>
    <xf numFmtId="171" fontId="21" fillId="0" borderId="10" xfId="22" applyNumberFormat="1" applyFont="1" applyBorder="1"/>
    <xf numFmtId="171" fontId="21" fillId="0" borderId="11" xfId="24" applyNumberFormat="1" applyFont="1" applyBorder="1"/>
    <xf numFmtId="171" fontId="21" fillId="0" borderId="11" xfId="22" applyNumberFormat="1" applyFont="1" applyBorder="1"/>
    <xf numFmtId="0" fontId="20" fillId="0" borderId="11" xfId="22" applyFont="1" applyBorder="1"/>
    <xf numFmtId="171" fontId="20" fillId="0" borderId="11" xfId="24" applyNumberFormat="1" applyFont="1" applyBorder="1"/>
    <xf numFmtId="171" fontId="20" fillId="0" borderId="11" xfId="22" applyNumberFormat="1" applyFont="1" applyBorder="1"/>
    <xf numFmtId="171" fontId="20" fillId="0" borderId="29" xfId="24" applyNumberFormat="1" applyFont="1" applyBorder="1"/>
    <xf numFmtId="0" fontId="20" fillId="0" borderId="29" xfId="22" applyFont="1" applyBorder="1"/>
    <xf numFmtId="3" fontId="21" fillId="0" borderId="0" xfId="22" applyNumberFormat="1" applyFont="1"/>
    <xf numFmtId="3" fontId="20" fillId="0" borderId="23" xfId="22" applyNumberFormat="1" applyFont="1" applyBorder="1" applyAlignment="1">
      <alignment horizontal="center" vertical="center" wrapText="1"/>
    </xf>
    <xf numFmtId="4" fontId="20" fillId="0" borderId="23" xfId="22" applyNumberFormat="1" applyFont="1" applyBorder="1" applyAlignment="1">
      <alignment horizontal="center" vertical="center" wrapText="1"/>
    </xf>
    <xf numFmtId="167" fontId="20" fillId="0" borderId="24" xfId="22" applyNumberFormat="1" applyFont="1" applyBorder="1" applyAlignment="1">
      <alignment horizontal="center" vertical="center" wrapText="1"/>
    </xf>
    <xf numFmtId="3" fontId="21" fillId="0" borderId="11" xfId="22" applyNumberFormat="1" applyFont="1" applyBorder="1"/>
    <xf numFmtId="171" fontId="21" fillId="0" borderId="17" xfId="24" applyNumberFormat="1" applyFont="1" applyBorder="1"/>
    <xf numFmtId="3" fontId="20" fillId="0" borderId="11" xfId="22" applyNumberFormat="1" applyFont="1" applyBorder="1"/>
    <xf numFmtId="171" fontId="20" fillId="0" borderId="17" xfId="24" applyNumberFormat="1" applyFont="1" applyBorder="1"/>
    <xf numFmtId="3" fontId="20" fillId="0" borderId="29" xfId="22" applyNumberFormat="1" applyFont="1" applyBorder="1"/>
    <xf numFmtId="171" fontId="20" fillId="0" borderId="48" xfId="24" applyNumberFormat="1" applyFont="1" applyBorder="1"/>
    <xf numFmtId="0" fontId="20" fillId="0" borderId="13" xfId="22" applyFont="1" applyBorder="1"/>
    <xf numFmtId="3" fontId="20" fillId="0" borderId="26" xfId="22" applyNumberFormat="1" applyFont="1" applyBorder="1"/>
    <xf numFmtId="171" fontId="20" fillId="0" borderId="23" xfId="24" applyNumberFormat="1" applyFont="1" applyBorder="1"/>
    <xf numFmtId="0" fontId="24" fillId="0" borderId="10" xfId="14" applyFont="1" applyFill="1" applyBorder="1" applyAlignment="1">
      <alignment wrapText="1"/>
    </xf>
    <xf numFmtId="0" fontId="22" fillId="0" borderId="11" xfId="17" applyFont="1" applyFill="1" applyBorder="1" applyAlignment="1">
      <alignment wrapText="1"/>
    </xf>
    <xf numFmtId="0" fontId="20" fillId="0" borderId="26" xfId="22" applyFont="1" applyBorder="1"/>
    <xf numFmtId="0" fontId="24" fillId="0" borderId="11" xfId="14" applyFont="1" applyFill="1" applyBorder="1" applyAlignment="1"/>
    <xf numFmtId="38" fontId="6" fillId="0" borderId="9" xfId="7" applyNumberFormat="1" applyFont="1" applyFill="1" applyBorder="1" applyAlignment="1">
      <alignment horizontal="right" wrapText="1"/>
    </xf>
    <xf numFmtId="168" fontId="6" fillId="0" borderId="7" xfId="5" applyNumberFormat="1" applyFont="1" applyFill="1" applyBorder="1" applyAlignment="1">
      <alignment horizontal="right" wrapText="1"/>
    </xf>
    <xf numFmtId="168" fontId="6" fillId="0" borderId="9" xfId="7" applyNumberFormat="1" applyFont="1" applyFill="1" applyBorder="1" applyAlignment="1">
      <alignment horizontal="right" wrapText="1"/>
    </xf>
    <xf numFmtId="0" fontId="28" fillId="0" borderId="0" xfId="0" applyFont="1" applyBorder="1" applyAlignment="1">
      <alignment horizontal="center"/>
    </xf>
    <xf numFmtId="0" fontId="27" fillId="0" borderId="0" xfId="18" applyFont="1" applyAlignment="1">
      <alignment horizontal="centerContinuous"/>
    </xf>
    <xf numFmtId="6" fontId="7" fillId="0" borderId="0" xfId="0" applyNumberFormat="1" applyFont="1" applyFill="1"/>
    <xf numFmtId="0" fontId="20" fillId="0" borderId="0" xfId="22" applyFont="1" applyAlignment="1">
      <alignment horizontal="right"/>
    </xf>
    <xf numFmtId="0" fontId="7" fillId="0" borderId="0" xfId="0" applyFont="1" applyAlignment="1">
      <alignment horizontal="right"/>
    </xf>
    <xf numFmtId="38" fontId="7" fillId="0" borderId="0" xfId="0" applyNumberFormat="1" applyFont="1" applyAlignment="1">
      <alignment horizontal="right"/>
    </xf>
    <xf numFmtId="10" fontId="7" fillId="0" borderId="0" xfId="10" applyNumberFormat="1" applyFont="1" applyFill="1" applyAlignment="1">
      <alignment horizontal="right"/>
    </xf>
    <xf numFmtId="0" fontId="28" fillId="0" borderId="0" xfId="0" applyFont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168" fontId="0" fillId="9" borderId="23" xfId="1" applyNumberFormat="1" applyFont="1" applyFill="1" applyBorder="1"/>
    <xf numFmtId="0" fontId="4" fillId="8" borderId="22" xfId="7" applyFont="1" applyFill="1" applyBorder="1" applyAlignment="1">
      <alignment horizontal="center" wrapText="1"/>
    </xf>
    <xf numFmtId="38" fontId="4" fillId="8" borderId="0" xfId="7" applyNumberFormat="1" applyFont="1" applyFill="1" applyBorder="1" applyAlignment="1">
      <alignment horizontal="center" wrapText="1"/>
    </xf>
    <xf numFmtId="3" fontId="0" fillId="8" borderId="23" xfId="0" applyNumberFormat="1" applyFill="1" applyBorder="1"/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167" fontId="21" fillId="0" borderId="11" xfId="9" applyNumberFormat="1" applyFont="1" applyBorder="1"/>
    <xf numFmtId="167" fontId="20" fillId="0" borderId="11" xfId="9" applyNumberFormat="1" applyFont="1" applyBorder="1"/>
    <xf numFmtId="38" fontId="6" fillId="0" borderId="22" xfId="1" applyNumberFormat="1" applyFont="1" applyFill="1" applyBorder="1" applyAlignment="1">
      <alignment horizontal="right" wrapText="1"/>
    </xf>
    <xf numFmtId="49" fontId="7" fillId="0" borderId="26" xfId="0" applyNumberFormat="1" applyFont="1" applyFill="1" applyBorder="1" applyAlignment="1">
      <alignment horizontal="center"/>
    </xf>
    <xf numFmtId="38" fontId="7" fillId="0" borderId="13" xfId="0" applyNumberFormat="1" applyFont="1" applyFill="1" applyBorder="1" applyAlignment="1">
      <alignment horizontal="center"/>
    </xf>
    <xf numFmtId="38" fontId="7" fillId="0" borderId="23" xfId="0" applyNumberFormat="1" applyFont="1" applyFill="1" applyBorder="1" applyAlignment="1">
      <alignment horizontal="center" wrapText="1"/>
    </xf>
    <xf numFmtId="38" fontId="6" fillId="0" borderId="49" xfId="5" applyNumberFormat="1" applyFont="1" applyFill="1" applyBorder="1" applyAlignment="1">
      <alignment horizontal="center"/>
    </xf>
    <xf numFmtId="0" fontId="7" fillId="9" borderId="50" xfId="0" applyFont="1" applyFill="1" applyBorder="1" applyAlignment="1">
      <alignment horizontal="center" wrapText="1"/>
    </xf>
    <xf numFmtId="168" fontId="6" fillId="0" borderId="8" xfId="1" applyNumberFormat="1" applyFont="1" applyFill="1" applyBorder="1" applyAlignment="1">
      <alignment horizontal="right" wrapText="1"/>
    </xf>
    <xf numFmtId="0" fontId="29" fillId="0" borderId="0" xfId="10" applyFont="1" applyFill="1" applyAlignment="1">
      <alignment wrapText="1"/>
    </xf>
    <xf numFmtId="0" fontId="6" fillId="0" borderId="1" xfId="7" applyFont="1" applyFill="1" applyBorder="1" applyAlignment="1"/>
    <xf numFmtId="38" fontId="3" fillId="0" borderId="0" xfId="0" applyNumberFormat="1" applyFont="1" applyFill="1"/>
    <xf numFmtId="167" fontId="24" fillId="0" borderId="51" xfId="9" applyNumberFormat="1" applyFont="1" applyFill="1" applyBorder="1" applyAlignment="1">
      <alignment horizontal="right" wrapText="1"/>
    </xf>
    <xf numFmtId="168" fontId="21" fillId="0" borderId="0" xfId="1" applyNumberFormat="1" applyFont="1"/>
    <xf numFmtId="167" fontId="24" fillId="0" borderId="11" xfId="9" applyNumberFormat="1" applyFont="1" applyFill="1" applyBorder="1" applyAlignment="1">
      <alignment horizontal="right" wrapText="1"/>
    </xf>
    <xf numFmtId="167" fontId="22" fillId="0" borderId="11" xfId="9" applyNumberFormat="1" applyFont="1" applyFill="1" applyBorder="1" applyAlignment="1">
      <alignment horizontal="right" wrapText="1"/>
    </xf>
    <xf numFmtId="168" fontId="20" fillId="0" borderId="0" xfId="1" applyNumberFormat="1" applyFont="1"/>
    <xf numFmtId="168" fontId="20" fillId="0" borderId="11" xfId="1" applyNumberFormat="1" applyFont="1" applyBorder="1"/>
    <xf numFmtId="167" fontId="22" fillId="0" borderId="52" xfId="9" applyNumberFormat="1" applyFont="1" applyFill="1" applyBorder="1" applyAlignment="1">
      <alignment horizontal="right" wrapText="1"/>
    </xf>
    <xf numFmtId="168" fontId="20" fillId="0" borderId="52" xfId="1" applyNumberFormat="1" applyFont="1" applyBorder="1"/>
    <xf numFmtId="0" fontId="23" fillId="0" borderId="50" xfId="26" applyFont="1" applyFill="1" applyBorder="1" applyAlignment="1">
      <alignment horizontal="center" wrapText="1"/>
    </xf>
    <xf numFmtId="0" fontId="22" fillId="0" borderId="50" xfId="13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0" fillId="0" borderId="0" xfId="9" applyNumberFormat="1" applyFont="1"/>
    <xf numFmtId="38" fontId="0" fillId="5" borderId="0" xfId="0" applyNumberFormat="1" applyFill="1"/>
    <xf numFmtId="168" fontId="6" fillId="0" borderId="24" xfId="7" applyNumberFormat="1" applyFont="1" applyFill="1" applyBorder="1" applyAlignment="1">
      <alignment horizontal="right" wrapText="1"/>
    </xf>
    <xf numFmtId="168" fontId="3" fillId="0" borderId="23" xfId="10" applyNumberFormat="1" applyFill="1" applyBorder="1" applyAlignment="1">
      <alignment horizontal="right"/>
    </xf>
    <xf numFmtId="168" fontId="3" fillId="0" borderId="0" xfId="10" applyNumberFormat="1" applyFill="1"/>
    <xf numFmtId="167" fontId="21" fillId="0" borderId="0" xfId="9" applyNumberFormat="1" applyFont="1"/>
    <xf numFmtId="167" fontId="20" fillId="0" borderId="23" xfId="9" applyNumberFormat="1" applyFont="1" applyBorder="1" applyAlignment="1">
      <alignment horizontal="center" vertical="center" wrapText="1"/>
    </xf>
    <xf numFmtId="167" fontId="28" fillId="0" borderId="0" xfId="9" applyNumberFormat="1" applyFont="1" applyFill="1"/>
    <xf numFmtId="167" fontId="20" fillId="0" borderId="29" xfId="9" applyNumberFormat="1" applyFont="1" applyBorder="1"/>
    <xf numFmtId="167" fontId="20" fillId="0" borderId="26" xfId="9" applyNumberFormat="1" applyFont="1" applyBorder="1"/>
    <xf numFmtId="38" fontId="3" fillId="0" borderId="1" xfId="0" applyNumberFormat="1" applyFont="1" applyFill="1" applyBorder="1"/>
    <xf numFmtId="49" fontId="8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26" fillId="0" borderId="0" xfId="18" applyFont="1" applyAlignment="1">
      <alignment horizontal="left"/>
    </xf>
    <xf numFmtId="0" fontId="7" fillId="0" borderId="0" xfId="18" applyFont="1" applyFill="1" applyAlignment="1" applyProtection="1">
      <alignment horizontal="left"/>
      <protection locked="0"/>
    </xf>
    <xf numFmtId="0" fontId="7" fillId="0" borderId="16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/>
    <xf numFmtId="0" fontId="20" fillId="0" borderId="0" xfId="22" applyFont="1" applyAlignment="1">
      <alignment horizontal="center"/>
    </xf>
    <xf numFmtId="0" fontId="20" fillId="0" borderId="0" xfId="0" applyFont="1" applyBorder="1" applyAlignment="1">
      <alignment horizontal="center"/>
    </xf>
  </cellXfs>
  <cellStyles count="28">
    <cellStyle name="Comma" xfId="1" builtinId="3"/>
    <cellStyle name="Comma 2" xfId="16"/>
    <cellStyle name="Comma 3" xfId="21"/>
    <cellStyle name="Comma 4" xfId="23"/>
    <cellStyle name="Currency" xfId="2" builtinId="4"/>
    <cellStyle name="Currency 2" xfId="12"/>
    <cellStyle name="Currency 3" xfId="24"/>
    <cellStyle name="Normal" xfId="0" builtinId="0"/>
    <cellStyle name="Normal 2" xfId="10"/>
    <cellStyle name="Normal 3" xfId="11"/>
    <cellStyle name="Normal 4" xfId="18"/>
    <cellStyle name="Normal 5" xfId="22"/>
    <cellStyle name="Normal 6" xfId="27"/>
    <cellStyle name="Normal_Academic Support Per FYE" xfId="3"/>
    <cellStyle name="Normal_Denominator 2" xfId="26"/>
    <cellStyle name="Normal_FY2006 Detail" xfId="4"/>
    <cellStyle name="Normal_INSTRUCTION" xfId="5"/>
    <cellStyle name="Normal_Revenue Offset" xfId="6"/>
    <cellStyle name="Normal_Sheet1" xfId="7"/>
    <cellStyle name="Normal_Sheet1 2" xfId="13"/>
    <cellStyle name="Normal_Sheet1 3" xfId="19"/>
    <cellStyle name="Normal_Sheet2" xfId="8"/>
    <cellStyle name="Normal_Sheet2 2" xfId="17"/>
    <cellStyle name="Normal_Sheet3" xfId="14"/>
    <cellStyle name="Percent" xfId="9" builtinId="5"/>
    <cellStyle name="Percent 2" xfId="15"/>
    <cellStyle name="Percent 3" xfId="20"/>
    <cellStyle name="Percent 4" xfId="2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bargain\000_Allocation%20Framework\TAC\FY2017%20meetings\Analysis\Transition\FY2017%20Institutional%20Allocations%20for%20analysis%20all%20recs%20except%20student%20success_0928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5 Detail"/>
      <sheetName val="Alloc Dif (2)"/>
      <sheetName val="Alloc Dif"/>
      <sheetName val="FY15 Detail"/>
      <sheetName val="Instruction"/>
      <sheetName val="Academic Support Per FYE"/>
      <sheetName val="Student Success"/>
      <sheetName val="Student &amp; Institutional Sup (2"/>
      <sheetName val="Student &amp; Institutional Support"/>
      <sheetName val="Facilities"/>
      <sheetName val="Library"/>
      <sheetName val="Research"/>
      <sheetName val="Enrollment"/>
      <sheetName val="Enrollment Detail"/>
      <sheetName val="Revenue Offset"/>
      <sheetName val="Research (2)"/>
      <sheetName val="Revenue Offse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0">
          <cell r="G40">
            <v>0.58953142624222721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39997558519241921"/>
  </sheetPr>
  <dimension ref="A1:D40"/>
  <sheetViews>
    <sheetView zoomScale="80" workbookViewId="0">
      <pane xSplit="3" ySplit="5" topLeftCell="D30" activePane="bottomRight" state="frozen"/>
      <selection activeCell="F2" sqref="F2"/>
      <selection pane="topRight" activeCell="F2" sqref="F2"/>
      <selection pane="bottomLeft" activeCell="F2" sqref="F2"/>
      <selection pane="bottomRight" activeCell="B41" sqref="B41"/>
    </sheetView>
  </sheetViews>
  <sheetFormatPr defaultRowHeight="12.75" x14ac:dyDescent="0.2"/>
  <cols>
    <col min="1" max="1" width="4.7109375" hidden="1" customWidth="1"/>
    <col min="2" max="2" width="5" customWidth="1"/>
    <col min="3" max="3" width="30.7109375" customWidth="1"/>
    <col min="4" max="4" width="8" style="54" customWidth="1"/>
  </cols>
  <sheetData>
    <row r="1" spans="1:4" s="15" customFormat="1" ht="15.75" x14ac:dyDescent="0.25">
      <c r="A1" s="21"/>
      <c r="B1" s="39"/>
      <c r="D1" s="177"/>
    </row>
    <row r="2" spans="1:4" s="15" customFormat="1" ht="24.75" customHeight="1" x14ac:dyDescent="0.2">
      <c r="A2" s="21"/>
      <c r="B2" s="21"/>
      <c r="C2" s="21"/>
      <c r="D2" s="91"/>
    </row>
    <row r="3" spans="1:4" s="15" customFormat="1" x14ac:dyDescent="0.2">
      <c r="A3" s="29"/>
      <c r="B3" s="19"/>
      <c r="C3" s="19"/>
      <c r="D3" s="178"/>
    </row>
    <row r="4" spans="1:4" ht="92.25" customHeight="1" x14ac:dyDescent="0.2">
      <c r="B4" s="1" t="s">
        <v>0</v>
      </c>
      <c r="C4" s="1" t="s">
        <v>1</v>
      </c>
      <c r="D4" s="179" t="s">
        <v>290</v>
      </c>
    </row>
    <row r="5" spans="1:4" x14ac:dyDescent="0.2">
      <c r="B5" s="2"/>
      <c r="C5" s="2"/>
      <c r="D5" s="180"/>
    </row>
    <row r="6" spans="1:4" x14ac:dyDescent="0.2">
      <c r="A6">
        <v>1</v>
      </c>
      <c r="B6" s="10" t="s">
        <v>2</v>
      </c>
      <c r="C6" s="3" t="s">
        <v>3</v>
      </c>
    </row>
    <row r="7" spans="1:4" s="54" customFormat="1" x14ac:dyDescent="0.2">
      <c r="A7" s="54">
        <v>2</v>
      </c>
      <c r="B7" s="10" t="s">
        <v>4</v>
      </c>
      <c r="C7" s="3" t="s">
        <v>124</v>
      </c>
    </row>
    <row r="8" spans="1:4" ht="12" customHeight="1" x14ac:dyDescent="0.2">
      <c r="A8">
        <v>4</v>
      </c>
      <c r="B8" s="10" t="s">
        <v>5</v>
      </c>
      <c r="C8" s="3" t="s">
        <v>113</v>
      </c>
    </row>
    <row r="9" spans="1:4" x14ac:dyDescent="0.2">
      <c r="A9">
        <v>3</v>
      </c>
      <c r="B9" s="37" t="s">
        <v>6</v>
      </c>
      <c r="C9" s="3" t="s">
        <v>7</v>
      </c>
    </row>
    <row r="10" spans="1:4" x14ac:dyDescent="0.2">
      <c r="A10">
        <v>3</v>
      </c>
      <c r="B10" s="37" t="s">
        <v>8</v>
      </c>
      <c r="C10" s="3" t="s">
        <v>9</v>
      </c>
    </row>
    <row r="11" spans="1:4" x14ac:dyDescent="0.2">
      <c r="A11">
        <v>1</v>
      </c>
      <c r="B11" s="37" t="s">
        <v>10</v>
      </c>
      <c r="C11" s="3" t="s">
        <v>11</v>
      </c>
    </row>
    <row r="12" spans="1:4" x14ac:dyDescent="0.2">
      <c r="A12">
        <v>2</v>
      </c>
      <c r="B12" s="37" t="s">
        <v>12</v>
      </c>
      <c r="C12" s="3" t="s">
        <v>13</v>
      </c>
    </row>
    <row r="13" spans="1:4" x14ac:dyDescent="0.2">
      <c r="A13">
        <v>1</v>
      </c>
      <c r="B13" s="37" t="s">
        <v>14</v>
      </c>
      <c r="C13" s="3" t="s">
        <v>15</v>
      </c>
    </row>
    <row r="14" spans="1:4" x14ac:dyDescent="0.2">
      <c r="A14">
        <v>3</v>
      </c>
      <c r="B14" s="37" t="s">
        <v>16</v>
      </c>
      <c r="C14" s="3" t="s">
        <v>17</v>
      </c>
    </row>
    <row r="15" spans="1:4" x14ac:dyDescent="0.2">
      <c r="A15">
        <v>4</v>
      </c>
      <c r="B15" s="37" t="s">
        <v>18</v>
      </c>
      <c r="C15" s="3" t="s">
        <v>68</v>
      </c>
    </row>
    <row r="16" spans="1:4" x14ac:dyDescent="0.2">
      <c r="A16">
        <v>3</v>
      </c>
      <c r="B16" s="37" t="s">
        <v>19</v>
      </c>
      <c r="C16" s="3" t="s">
        <v>20</v>
      </c>
    </row>
    <row r="17" spans="1:3" ht="12" customHeight="1" x14ac:dyDescent="0.2">
      <c r="A17">
        <v>1</v>
      </c>
      <c r="B17" s="37" t="s">
        <v>21</v>
      </c>
      <c r="C17" s="3" t="s">
        <v>71</v>
      </c>
    </row>
    <row r="18" spans="1:3" ht="12" customHeight="1" x14ac:dyDescent="0.2">
      <c r="B18" s="37" t="s">
        <v>109</v>
      </c>
      <c r="C18" s="3" t="s">
        <v>112</v>
      </c>
    </row>
    <row r="19" spans="1:3" x14ac:dyDescent="0.2">
      <c r="A19">
        <v>4</v>
      </c>
      <c r="B19" s="37" t="s">
        <v>26</v>
      </c>
      <c r="C19" s="3" t="s">
        <v>62</v>
      </c>
    </row>
    <row r="20" spans="1:3" x14ac:dyDescent="0.2">
      <c r="A20">
        <v>4</v>
      </c>
      <c r="B20" s="37" t="s">
        <v>22</v>
      </c>
      <c r="C20" s="3" t="s">
        <v>23</v>
      </c>
    </row>
    <row r="21" spans="1:3" x14ac:dyDescent="0.2">
      <c r="A21">
        <v>3</v>
      </c>
      <c r="B21" s="37" t="s">
        <v>24</v>
      </c>
      <c r="C21" s="3" t="s">
        <v>25</v>
      </c>
    </row>
    <row r="22" spans="1:3" x14ac:dyDescent="0.2">
      <c r="A22">
        <v>2</v>
      </c>
      <c r="B22" s="37" t="s">
        <v>27</v>
      </c>
      <c r="C22" s="3" t="s">
        <v>28</v>
      </c>
    </row>
    <row r="23" spans="1:3" x14ac:dyDescent="0.2">
      <c r="A23">
        <v>2</v>
      </c>
      <c r="B23" s="37" t="s">
        <v>29</v>
      </c>
      <c r="C23" s="3" t="s">
        <v>30</v>
      </c>
    </row>
    <row r="24" spans="1:3" ht="12.75" customHeight="1" x14ac:dyDescent="0.2">
      <c r="A24">
        <v>3</v>
      </c>
      <c r="B24" s="37" t="s">
        <v>118</v>
      </c>
      <c r="C24" s="3" t="s">
        <v>63</v>
      </c>
    </row>
    <row r="25" spans="1:3" x14ac:dyDescent="0.2">
      <c r="A25">
        <v>3</v>
      </c>
      <c r="B25" s="37" t="s">
        <v>110</v>
      </c>
      <c r="C25" s="3" t="s">
        <v>32</v>
      </c>
    </row>
    <row r="26" spans="1:3" x14ac:dyDescent="0.2">
      <c r="A26">
        <v>1</v>
      </c>
      <c r="B26" s="37" t="s">
        <v>33</v>
      </c>
      <c r="C26" s="3" t="s">
        <v>34</v>
      </c>
    </row>
    <row r="27" spans="1:3" x14ac:dyDescent="0.2">
      <c r="A27">
        <v>3</v>
      </c>
      <c r="B27" s="37" t="s">
        <v>35</v>
      </c>
      <c r="C27" s="3" t="s">
        <v>36</v>
      </c>
    </row>
    <row r="28" spans="1:3" x14ac:dyDescent="0.2">
      <c r="A28">
        <v>3</v>
      </c>
      <c r="B28" s="37" t="s">
        <v>37</v>
      </c>
      <c r="C28" s="3" t="s">
        <v>38</v>
      </c>
    </row>
    <row r="29" spans="1:3" x14ac:dyDescent="0.2">
      <c r="A29">
        <v>3</v>
      </c>
      <c r="B29" s="37" t="s">
        <v>39</v>
      </c>
      <c r="C29" s="3" t="s">
        <v>40</v>
      </c>
    </row>
    <row r="30" spans="1:3" x14ac:dyDescent="0.2">
      <c r="A30">
        <v>1</v>
      </c>
      <c r="B30" s="37" t="s">
        <v>46</v>
      </c>
      <c r="C30" s="3" t="s">
        <v>70</v>
      </c>
    </row>
    <row r="31" spans="1:3" x14ac:dyDescent="0.2">
      <c r="A31">
        <v>4</v>
      </c>
      <c r="B31" s="37" t="s">
        <v>41</v>
      </c>
      <c r="C31" s="3" t="s">
        <v>117</v>
      </c>
    </row>
    <row r="32" spans="1:3" x14ac:dyDescent="0.2">
      <c r="A32">
        <v>4</v>
      </c>
      <c r="B32" s="37" t="s">
        <v>42</v>
      </c>
      <c r="C32" s="3" t="s">
        <v>69</v>
      </c>
    </row>
    <row r="33" spans="1:4" x14ac:dyDescent="0.2">
      <c r="A33">
        <v>1</v>
      </c>
      <c r="B33" s="37" t="s">
        <v>43</v>
      </c>
      <c r="C33" s="3" t="s">
        <v>44</v>
      </c>
    </row>
    <row r="34" spans="1:4" x14ac:dyDescent="0.2">
      <c r="A34">
        <v>1</v>
      </c>
      <c r="B34" s="37" t="s">
        <v>45</v>
      </c>
      <c r="C34" s="3" t="s">
        <v>122</v>
      </c>
    </row>
    <row r="35" spans="1:4" x14ac:dyDescent="0.2">
      <c r="A35">
        <v>4</v>
      </c>
      <c r="B35" s="37" t="s">
        <v>47</v>
      </c>
      <c r="C35" s="3" t="s">
        <v>48</v>
      </c>
    </row>
    <row r="37" spans="1:4" x14ac:dyDescent="0.2">
      <c r="B37" s="4"/>
      <c r="C37" s="4" t="s">
        <v>49</v>
      </c>
      <c r="D37" s="183">
        <f>SUM(D36:D36)</f>
        <v>0</v>
      </c>
    </row>
    <row r="38" spans="1:4" ht="14.25" customHeight="1" x14ac:dyDescent="0.2">
      <c r="B38" s="4"/>
      <c r="C38" s="4"/>
      <c r="D38" s="183"/>
    </row>
    <row r="39" spans="1:4" ht="16.5" customHeight="1" x14ac:dyDescent="0.2">
      <c r="B39" s="16" t="s">
        <v>50</v>
      </c>
    </row>
    <row r="40" spans="1:4" ht="12" customHeight="1" x14ac:dyDescent="0.2">
      <c r="B40" s="494" t="s">
        <v>335</v>
      </c>
      <c r="C40" s="495"/>
    </row>
  </sheetData>
  <mergeCells count="1">
    <mergeCell ref="B40:C40"/>
  </mergeCells>
  <phoneticPr fontId="11" type="noConversion"/>
  <pageMargins left="0.3" right="0.08" top="0.82" bottom="0.13" header="0.18" footer="0.13"/>
  <pageSetup scale="80" orientation="landscape" copies="4" r:id="rId1"/>
  <headerFooter alignWithMargins="0">
    <oddHeader xml:space="preserve">&amp;C&amp;"Arial,Bold"Minnesota State Colleges and Universities
FY2015
COLLEGE/UNIVERSITY ALLOCATIONS
(FRAMEWORK BASED ON FY2013 DATA) -  Draft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pane xSplit="1" ySplit="5" topLeftCell="B34" activePane="bottomRight" state="frozen"/>
      <selection activeCell="B30" sqref="B30"/>
      <selection pane="topRight" activeCell="B30" sqref="B30"/>
      <selection pane="bottomLeft" activeCell="B30" sqref="B30"/>
      <selection pane="bottomRight" activeCell="I32" sqref="I32"/>
    </sheetView>
  </sheetViews>
  <sheetFormatPr defaultColWidth="9.140625" defaultRowHeight="12.75" x14ac:dyDescent="0.2"/>
  <cols>
    <col min="1" max="1" width="40.28515625" style="409" customWidth="1"/>
    <col min="2" max="2" width="6.42578125" style="424" bestFit="1" customWidth="1"/>
    <col min="3" max="3" width="7.28515625" style="424" bestFit="1" customWidth="1"/>
    <col min="4" max="4" width="7.42578125" style="488" bestFit="1" customWidth="1"/>
    <col min="5" max="5" width="8.140625" style="488" bestFit="1" customWidth="1"/>
    <col min="6" max="6" width="8.140625" style="424" customWidth="1"/>
    <col min="7" max="7" width="6.5703125" style="488" customWidth="1"/>
    <col min="8" max="8" width="8.5703125" style="424" customWidth="1"/>
    <col min="9" max="9" width="8.140625" style="424" customWidth="1"/>
    <col min="10" max="10" width="11.140625" style="409" customWidth="1"/>
    <col min="11" max="11" width="4.28515625" style="409" customWidth="1"/>
    <col min="12" max="16384" width="9.140625" style="409"/>
  </cols>
  <sheetData>
    <row r="1" spans="1:11" ht="15" customHeight="1" x14ac:dyDescent="0.2">
      <c r="A1" s="505" t="s">
        <v>301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1" ht="15" customHeight="1" x14ac:dyDescent="0.2">
      <c r="A2" s="505" t="s">
        <v>72</v>
      </c>
      <c r="B2" s="505"/>
      <c r="C2" s="505"/>
      <c r="D2" s="505"/>
      <c r="E2" s="505"/>
      <c r="F2" s="505"/>
      <c r="G2" s="505"/>
      <c r="H2" s="505"/>
      <c r="I2" s="505"/>
      <c r="J2" s="505"/>
    </row>
    <row r="3" spans="1:11" ht="15" customHeight="1" x14ac:dyDescent="0.2">
      <c r="A3" s="505" t="s">
        <v>332</v>
      </c>
      <c r="B3" s="505"/>
      <c r="C3" s="505"/>
      <c r="D3" s="505"/>
      <c r="E3" s="505"/>
      <c r="F3" s="505"/>
      <c r="G3" s="505"/>
      <c r="H3" s="505"/>
      <c r="I3" s="505"/>
      <c r="J3" s="505"/>
    </row>
    <row r="4" spans="1:11" ht="15" customHeight="1" x14ac:dyDescent="0.2">
      <c r="J4" s="447" t="s">
        <v>286</v>
      </c>
    </row>
    <row r="5" spans="1:11" ht="63.75" x14ac:dyDescent="0.2">
      <c r="A5" s="411" t="s">
        <v>181</v>
      </c>
      <c r="B5" s="425" t="s">
        <v>182</v>
      </c>
      <c r="C5" s="425" t="s">
        <v>183</v>
      </c>
      <c r="D5" s="489" t="s">
        <v>184</v>
      </c>
      <c r="E5" s="489" t="s">
        <v>185</v>
      </c>
      <c r="F5" s="426" t="s">
        <v>276</v>
      </c>
      <c r="G5" s="489" t="s">
        <v>186</v>
      </c>
      <c r="H5" s="426" t="s">
        <v>187</v>
      </c>
      <c r="I5" s="412" t="s">
        <v>277</v>
      </c>
      <c r="J5" s="427" t="s">
        <v>188</v>
      </c>
      <c r="K5" s="413"/>
    </row>
    <row r="6" spans="1:11" ht="15" customHeight="1" x14ac:dyDescent="0.2">
      <c r="A6" s="414" t="s">
        <v>189</v>
      </c>
      <c r="B6" s="428">
        <v>675</v>
      </c>
      <c r="C6" s="428">
        <v>509</v>
      </c>
      <c r="D6" s="460">
        <v>0.75407407407407412</v>
      </c>
      <c r="E6" s="460">
        <v>0.70398476605600246</v>
      </c>
      <c r="F6" s="428">
        <v>475.18971708780168</v>
      </c>
      <c r="G6" s="460">
        <v>0.70804858093662648</v>
      </c>
      <c r="H6" s="428">
        <v>477.93279213222286</v>
      </c>
      <c r="I6" s="428">
        <v>31</v>
      </c>
      <c r="J6" s="429">
        <f>I6*$J$47</f>
        <v>310000</v>
      </c>
    </row>
    <row r="7" spans="1:11" ht="15" customHeight="1" x14ac:dyDescent="0.2">
      <c r="A7" s="414" t="s">
        <v>190</v>
      </c>
      <c r="B7" s="428">
        <v>2426</v>
      </c>
      <c r="C7" s="428">
        <v>1587</v>
      </c>
      <c r="D7" s="460">
        <v>0.65416323165704859</v>
      </c>
      <c r="E7" s="460">
        <v>0.65341077146603388</v>
      </c>
      <c r="F7" s="428">
        <v>1585.1745315765982</v>
      </c>
      <c r="G7" s="460">
        <v>0.65589819928251858</v>
      </c>
      <c r="H7" s="428">
        <v>1591.20903145939</v>
      </c>
      <c r="I7" s="428">
        <v>0</v>
      </c>
      <c r="J7" s="429">
        <f t="shared" ref="J7:J21" si="0">I7*$J$47</f>
        <v>0</v>
      </c>
    </row>
    <row r="8" spans="1:11" ht="15" customHeight="1" x14ac:dyDescent="0.2">
      <c r="A8" s="414" t="s">
        <v>191</v>
      </c>
      <c r="B8" s="428">
        <v>886</v>
      </c>
      <c r="C8" s="428">
        <v>594</v>
      </c>
      <c r="D8" s="460">
        <v>0.67042889390519189</v>
      </c>
      <c r="E8" s="460">
        <v>0.65079718989345503</v>
      </c>
      <c r="F8" s="428">
        <v>576.60631024560121</v>
      </c>
      <c r="G8" s="460">
        <v>0.65426085356764441</v>
      </c>
      <c r="H8" s="428">
        <v>579.6751162609329</v>
      </c>
      <c r="I8" s="428">
        <v>14</v>
      </c>
      <c r="J8" s="429">
        <f t="shared" si="0"/>
        <v>140000</v>
      </c>
    </row>
    <row r="9" spans="1:11" ht="15" customHeight="1" x14ac:dyDescent="0.2">
      <c r="A9" s="414" t="s">
        <v>7</v>
      </c>
      <c r="B9" s="428">
        <v>923</v>
      </c>
      <c r="C9" s="428">
        <v>590</v>
      </c>
      <c r="D9" s="460">
        <v>0.63921993499458285</v>
      </c>
      <c r="E9" s="460">
        <v>0.67011171285693494</v>
      </c>
      <c r="F9" s="428">
        <v>618.51311096695099</v>
      </c>
      <c r="G9" s="460">
        <v>0.67269896061763057</v>
      </c>
      <c r="H9" s="428">
        <v>620.90114065007299</v>
      </c>
      <c r="I9" s="428">
        <v>0</v>
      </c>
      <c r="J9" s="429">
        <f t="shared" si="0"/>
        <v>0</v>
      </c>
    </row>
    <row r="10" spans="1:11" ht="15" customHeight="1" x14ac:dyDescent="0.2">
      <c r="A10" s="414" t="s">
        <v>9</v>
      </c>
      <c r="B10" s="428">
        <v>3287</v>
      </c>
      <c r="C10" s="428">
        <v>2020</v>
      </c>
      <c r="D10" s="460">
        <v>0.61454213568603588</v>
      </c>
      <c r="E10" s="460">
        <v>0.63796477535166862</v>
      </c>
      <c r="F10" s="428">
        <v>2096.9902165809349</v>
      </c>
      <c r="G10" s="460">
        <v>0.64084220744027698</v>
      </c>
      <c r="H10" s="428">
        <v>2106.4483358561906</v>
      </c>
      <c r="I10" s="428">
        <v>0</v>
      </c>
      <c r="J10" s="429">
        <f t="shared" si="0"/>
        <v>0</v>
      </c>
    </row>
    <row r="11" spans="1:11" ht="15" customHeight="1" x14ac:dyDescent="0.2">
      <c r="A11" s="414" t="s">
        <v>192</v>
      </c>
      <c r="B11" s="428">
        <v>1175</v>
      </c>
      <c r="C11" s="428">
        <v>846</v>
      </c>
      <c r="D11" s="460">
        <v>0.72</v>
      </c>
      <c r="E11" s="460">
        <v>0.67812849561760913</v>
      </c>
      <c r="F11" s="428">
        <v>796.80098235069067</v>
      </c>
      <c r="G11" s="460">
        <v>0.68200083326896932</v>
      </c>
      <c r="H11" s="428">
        <v>801.35097909103899</v>
      </c>
      <c r="I11" s="428">
        <v>45</v>
      </c>
      <c r="J11" s="429">
        <f t="shared" si="0"/>
        <v>450000</v>
      </c>
    </row>
    <row r="12" spans="1:11" ht="15" customHeight="1" x14ac:dyDescent="0.2">
      <c r="A12" s="298" t="s">
        <v>221</v>
      </c>
      <c r="B12" s="428">
        <v>300</v>
      </c>
      <c r="C12" s="428">
        <v>181</v>
      </c>
      <c r="D12" s="460">
        <v>0.60333333333333339</v>
      </c>
      <c r="E12" s="460">
        <v>0.66160547254208846</v>
      </c>
      <c r="F12" s="428">
        <v>198.48164176262654</v>
      </c>
      <c r="G12" s="460">
        <v>0.66804775723135235</v>
      </c>
      <c r="H12" s="428">
        <v>200.41432716940571</v>
      </c>
      <c r="I12" s="428">
        <v>0</v>
      </c>
      <c r="J12" s="429">
        <f t="shared" si="0"/>
        <v>0</v>
      </c>
    </row>
    <row r="13" spans="1:11" ht="15" customHeight="1" x14ac:dyDescent="0.2">
      <c r="A13" s="414" t="s">
        <v>139</v>
      </c>
      <c r="B13" s="428">
        <v>1962</v>
      </c>
      <c r="C13" s="428">
        <v>1315</v>
      </c>
      <c r="D13" s="460">
        <v>0.67023445463812437</v>
      </c>
      <c r="E13" s="460">
        <v>0.65393695699544452</v>
      </c>
      <c r="F13" s="428">
        <v>1283.0243096250622</v>
      </c>
      <c r="G13" s="460">
        <v>0.65760104884947301</v>
      </c>
      <c r="H13" s="428">
        <v>1290.2132578426661</v>
      </c>
      <c r="I13" s="428">
        <v>25</v>
      </c>
      <c r="J13" s="429">
        <f t="shared" si="0"/>
        <v>250000</v>
      </c>
    </row>
    <row r="14" spans="1:11" ht="15" customHeight="1" x14ac:dyDescent="0.2">
      <c r="A14" s="414" t="s">
        <v>193</v>
      </c>
      <c r="B14" s="428">
        <v>1322</v>
      </c>
      <c r="C14" s="428">
        <v>888</v>
      </c>
      <c r="D14" s="460">
        <v>0.67170953101361575</v>
      </c>
      <c r="E14" s="460">
        <v>0.66778030297066027</v>
      </c>
      <c r="F14" s="428">
        <v>882.80556052721283</v>
      </c>
      <c r="G14" s="460">
        <v>0.67059620673689468</v>
      </c>
      <c r="H14" s="428">
        <v>886.52818530617481</v>
      </c>
      <c r="I14" s="428">
        <v>1</v>
      </c>
      <c r="J14" s="429">
        <f t="shared" si="0"/>
        <v>10000</v>
      </c>
    </row>
    <row r="15" spans="1:11" ht="15" customHeight="1" x14ac:dyDescent="0.2">
      <c r="A15" s="414" t="s">
        <v>17</v>
      </c>
      <c r="B15" s="428">
        <v>1452</v>
      </c>
      <c r="C15" s="428">
        <v>983</v>
      </c>
      <c r="D15" s="460">
        <v>0.67699724517906334</v>
      </c>
      <c r="E15" s="460">
        <v>0.65500604146140118</v>
      </c>
      <c r="F15" s="428">
        <v>951.06877220195452</v>
      </c>
      <c r="G15" s="460">
        <v>0.6576808605503105</v>
      </c>
      <c r="H15" s="428">
        <v>954.95260951905084</v>
      </c>
      <c r="I15" s="428">
        <v>28</v>
      </c>
      <c r="J15" s="429">
        <f t="shared" si="0"/>
        <v>280000</v>
      </c>
    </row>
    <row r="16" spans="1:11" ht="15" customHeight="1" x14ac:dyDescent="0.2">
      <c r="A16" s="414" t="s">
        <v>194</v>
      </c>
      <c r="B16" s="428">
        <v>2551</v>
      </c>
      <c r="C16" s="428">
        <v>1589</v>
      </c>
      <c r="D16" s="460">
        <v>0.6228929831438651</v>
      </c>
      <c r="E16" s="460">
        <v>0.62713766671324001</v>
      </c>
      <c r="F16" s="428">
        <v>1599.8281877854752</v>
      </c>
      <c r="G16" s="460">
        <v>0.63015866892400862</v>
      </c>
      <c r="H16" s="428">
        <v>1607.534764425146</v>
      </c>
      <c r="I16" s="428">
        <v>0</v>
      </c>
      <c r="J16" s="429">
        <f t="shared" si="0"/>
        <v>0</v>
      </c>
    </row>
    <row r="17" spans="1:10" ht="15" customHeight="1" x14ac:dyDescent="0.2">
      <c r="A17" s="414" t="s">
        <v>222</v>
      </c>
      <c r="B17" s="428">
        <v>618</v>
      </c>
      <c r="C17" s="428">
        <v>395</v>
      </c>
      <c r="D17" s="460">
        <v>0.63915857605177995</v>
      </c>
      <c r="E17" s="460">
        <v>0.68379637533678184</v>
      </c>
      <c r="F17" s="428">
        <v>422.58615995813119</v>
      </c>
      <c r="G17" s="460">
        <v>0.68722525526069222</v>
      </c>
      <c r="H17" s="428">
        <v>424.70520775110782</v>
      </c>
      <c r="I17" s="428">
        <v>0</v>
      </c>
      <c r="J17" s="429">
        <f t="shared" si="0"/>
        <v>0</v>
      </c>
    </row>
    <row r="18" spans="1:10" ht="15" customHeight="1" x14ac:dyDescent="0.2">
      <c r="A18" s="414" t="s">
        <v>196</v>
      </c>
      <c r="B18" s="428">
        <v>1885</v>
      </c>
      <c r="C18" s="428">
        <v>1244</v>
      </c>
      <c r="D18" s="460">
        <v>0.65994694960212197</v>
      </c>
      <c r="E18" s="460">
        <v>0.65032877238805131</v>
      </c>
      <c r="F18" s="428">
        <v>1225.8697359514767</v>
      </c>
      <c r="G18" s="460">
        <v>0.65306471774769115</v>
      </c>
      <c r="H18" s="428">
        <v>1231.0269929543979</v>
      </c>
      <c r="I18" s="428">
        <v>13</v>
      </c>
      <c r="J18" s="429">
        <f t="shared" si="0"/>
        <v>130000</v>
      </c>
    </row>
    <row r="19" spans="1:10" ht="15" customHeight="1" x14ac:dyDescent="0.2">
      <c r="A19" s="414" t="s">
        <v>223</v>
      </c>
      <c r="B19" s="428">
        <v>764</v>
      </c>
      <c r="C19" s="428">
        <v>532</v>
      </c>
      <c r="D19" s="460">
        <v>0.69633507853403143</v>
      </c>
      <c r="E19" s="460">
        <v>0.6617580237922962</v>
      </c>
      <c r="F19" s="428">
        <v>505.58313017731427</v>
      </c>
      <c r="G19" s="460">
        <v>0.66487856122282252</v>
      </c>
      <c r="H19" s="428">
        <v>507.96722077423641</v>
      </c>
      <c r="I19" s="428">
        <v>24</v>
      </c>
      <c r="J19" s="429">
        <f t="shared" si="0"/>
        <v>240000</v>
      </c>
    </row>
    <row r="20" spans="1:10" ht="15" customHeight="1" x14ac:dyDescent="0.2">
      <c r="A20" s="414" t="s">
        <v>132</v>
      </c>
      <c r="B20" s="428">
        <v>3413</v>
      </c>
      <c r="C20" s="428">
        <v>2247</v>
      </c>
      <c r="D20" s="460">
        <v>0.65836507471432759</v>
      </c>
      <c r="E20" s="460">
        <v>0.65015513271472514</v>
      </c>
      <c r="F20" s="428">
        <v>2218.979467955357</v>
      </c>
      <c r="G20" s="460">
        <v>0.65223839051493604</v>
      </c>
      <c r="H20" s="428">
        <v>2226.0896268274769</v>
      </c>
      <c r="I20" s="428">
        <v>21</v>
      </c>
      <c r="J20" s="429">
        <f t="shared" si="0"/>
        <v>210000</v>
      </c>
    </row>
    <row r="21" spans="1:10" ht="15" customHeight="1" x14ac:dyDescent="0.2">
      <c r="A21" s="414" t="s">
        <v>133</v>
      </c>
      <c r="B21" s="428">
        <v>2157</v>
      </c>
      <c r="C21" s="428">
        <v>1351</v>
      </c>
      <c r="D21" s="460">
        <v>0.62633286972647195</v>
      </c>
      <c r="E21" s="460">
        <v>0.61490548805794143</v>
      </c>
      <c r="F21" s="428">
        <v>1326.3511377409798</v>
      </c>
      <c r="G21" s="460">
        <v>0.61817693093922943</v>
      </c>
      <c r="H21" s="428">
        <v>1333.4076400359179</v>
      </c>
      <c r="I21" s="428">
        <v>18</v>
      </c>
      <c r="J21" s="429">
        <f t="shared" si="0"/>
        <v>180000</v>
      </c>
    </row>
    <row r="22" spans="1:10" ht="15" customHeight="1" x14ac:dyDescent="0.2">
      <c r="A22" s="419" t="s">
        <v>63</v>
      </c>
      <c r="B22" s="430">
        <f>SUM(B23:B27)</f>
        <v>1621</v>
      </c>
      <c r="C22" s="430">
        <f>SUM(C23:C27)</f>
        <v>1139</v>
      </c>
      <c r="D22" s="461">
        <f>AVERAGE(D23:D27)</f>
        <v>0.70579332902986724</v>
      </c>
      <c r="E22" s="461">
        <f>AVERAGE(E23:E27)</f>
        <v>0.69377627844014</v>
      </c>
      <c r="F22" s="430">
        <f>SUM(F23:F27)</f>
        <v>1118.5780882554909</v>
      </c>
      <c r="G22" s="461">
        <f>AVERAGE(G23:G27)</f>
        <v>0.69762117947583702</v>
      </c>
      <c r="H22" s="430">
        <f>SUM(H23:H27)</f>
        <v>1124.6892222332299</v>
      </c>
      <c r="I22" s="430">
        <f>SUM(I23:I27)</f>
        <v>24</v>
      </c>
      <c r="J22" s="431">
        <f>I22*$J$47</f>
        <v>240000</v>
      </c>
    </row>
    <row r="23" spans="1:10" ht="15" customHeight="1" x14ac:dyDescent="0.2">
      <c r="A23" s="414" t="s">
        <v>197</v>
      </c>
      <c r="B23" s="428">
        <v>434</v>
      </c>
      <c r="C23" s="428">
        <v>311</v>
      </c>
      <c r="D23" s="460">
        <v>0.71658986175115202</v>
      </c>
      <c r="E23" s="460">
        <v>0.68836132070114953</v>
      </c>
      <c r="F23" s="428">
        <v>298.74881318429891</v>
      </c>
      <c r="G23" s="460">
        <v>0.69188584140020992</v>
      </c>
      <c r="H23" s="428">
        <v>300.27845516769111</v>
      </c>
      <c r="I23" s="428">
        <v>11</v>
      </c>
      <c r="J23" s="429">
        <f t="shared" ref="J23:J44" si="1">I23*$J$47</f>
        <v>110000</v>
      </c>
    </row>
    <row r="24" spans="1:10" ht="15" customHeight="1" x14ac:dyDescent="0.2">
      <c r="A24" s="414" t="s">
        <v>198</v>
      </c>
      <c r="B24" s="428">
        <v>450</v>
      </c>
      <c r="C24" s="428">
        <v>306</v>
      </c>
      <c r="D24" s="460">
        <v>0.68</v>
      </c>
      <c r="E24" s="460">
        <v>0.68034286005421707</v>
      </c>
      <c r="F24" s="428">
        <v>306.15428702439766</v>
      </c>
      <c r="G24" s="460">
        <v>0.68355337740645483</v>
      </c>
      <c r="H24" s="428">
        <v>307.59901983290467</v>
      </c>
      <c r="I24" s="428">
        <v>0</v>
      </c>
      <c r="J24" s="429">
        <f t="shared" si="1"/>
        <v>0</v>
      </c>
    </row>
    <row r="25" spans="1:10" ht="15" customHeight="1" x14ac:dyDescent="0.2">
      <c r="A25" s="414" t="s">
        <v>199</v>
      </c>
      <c r="B25" s="428">
        <v>384</v>
      </c>
      <c r="C25" s="428">
        <v>256</v>
      </c>
      <c r="D25" s="460">
        <v>0.66666666666666663</v>
      </c>
      <c r="E25" s="460">
        <v>0.67848679956843405</v>
      </c>
      <c r="F25" s="428">
        <v>260.53893103427868</v>
      </c>
      <c r="G25" s="460">
        <v>0.68259946310119635</v>
      </c>
      <c r="H25" s="428">
        <v>262.11819383085941</v>
      </c>
      <c r="I25" s="428">
        <v>0</v>
      </c>
      <c r="J25" s="429">
        <f t="shared" si="1"/>
        <v>0</v>
      </c>
    </row>
    <row r="26" spans="1:10" ht="15" customHeight="1" x14ac:dyDescent="0.2">
      <c r="A26" s="414" t="s">
        <v>200</v>
      </c>
      <c r="B26" s="428">
        <v>96</v>
      </c>
      <c r="C26" s="428">
        <v>66</v>
      </c>
      <c r="D26" s="460">
        <v>0.6875</v>
      </c>
      <c r="E26" s="460">
        <v>0.69713278782513954</v>
      </c>
      <c r="F26" s="428">
        <v>66.924747631213393</v>
      </c>
      <c r="G26" s="460">
        <v>0.70083056505810859</v>
      </c>
      <c r="H26" s="428">
        <v>67.279734245578425</v>
      </c>
      <c r="I26" s="428">
        <v>0</v>
      </c>
      <c r="J26" s="429">
        <f t="shared" si="1"/>
        <v>0</v>
      </c>
    </row>
    <row r="27" spans="1:10" ht="15" customHeight="1" x14ac:dyDescent="0.2">
      <c r="A27" s="414" t="s">
        <v>201</v>
      </c>
      <c r="B27" s="428">
        <v>257</v>
      </c>
      <c r="C27" s="428">
        <v>200</v>
      </c>
      <c r="D27" s="460">
        <v>0.77821011673151752</v>
      </c>
      <c r="E27" s="460">
        <v>0.72455762405176016</v>
      </c>
      <c r="F27" s="428">
        <v>186.21130938130236</v>
      </c>
      <c r="G27" s="460">
        <v>0.72923665041321561</v>
      </c>
      <c r="H27" s="428">
        <v>187.41381915619641</v>
      </c>
      <c r="I27" s="428">
        <v>13</v>
      </c>
      <c r="J27" s="429">
        <f t="shared" si="1"/>
        <v>130000</v>
      </c>
    </row>
    <row r="28" spans="1:10" ht="15" customHeight="1" x14ac:dyDescent="0.2">
      <c r="A28" s="414" t="s">
        <v>202</v>
      </c>
      <c r="B28" s="428">
        <v>962</v>
      </c>
      <c r="C28" s="428">
        <v>661</v>
      </c>
      <c r="D28" s="460">
        <v>0.68711018711018712</v>
      </c>
      <c r="E28" s="460">
        <v>0.6713560469605071</v>
      </c>
      <c r="F28" s="428">
        <v>645.8445171760078</v>
      </c>
      <c r="G28" s="460">
        <v>0.67345290989207074</v>
      </c>
      <c r="H28" s="428">
        <v>647.86169931617201</v>
      </c>
      <c r="I28" s="428">
        <v>13</v>
      </c>
      <c r="J28" s="429">
        <f t="shared" si="1"/>
        <v>130000</v>
      </c>
    </row>
    <row r="29" spans="1:10" ht="15" customHeight="1" x14ac:dyDescent="0.2">
      <c r="A29" s="414" t="s">
        <v>203</v>
      </c>
      <c r="B29" s="428">
        <v>345</v>
      </c>
      <c r="C29" s="428">
        <v>222</v>
      </c>
      <c r="D29" s="460">
        <v>0.64347826086956517</v>
      </c>
      <c r="E29" s="460">
        <v>0.6340970234633676</v>
      </c>
      <c r="F29" s="428">
        <v>218.76347309486184</v>
      </c>
      <c r="G29" s="460">
        <v>0.63826875191748789</v>
      </c>
      <c r="H29" s="428">
        <v>220.20271941153331</v>
      </c>
      <c r="I29" s="428">
        <v>2</v>
      </c>
      <c r="J29" s="429">
        <f t="shared" si="1"/>
        <v>20000</v>
      </c>
    </row>
    <row r="30" spans="1:10" ht="15" customHeight="1" x14ac:dyDescent="0.2">
      <c r="A30" s="414" t="s">
        <v>204</v>
      </c>
      <c r="B30" s="428">
        <v>374</v>
      </c>
      <c r="C30" s="428">
        <v>228</v>
      </c>
      <c r="D30" s="460">
        <v>0.60962566844919786</v>
      </c>
      <c r="E30" s="460">
        <v>0.64962670891212937</v>
      </c>
      <c r="F30" s="428">
        <v>242.96038913313637</v>
      </c>
      <c r="G30" s="460">
        <v>0.65220186022385795</v>
      </c>
      <c r="H30" s="428">
        <v>243.92349572372288</v>
      </c>
      <c r="I30" s="428">
        <v>0</v>
      </c>
      <c r="J30" s="429">
        <f t="shared" si="1"/>
        <v>0</v>
      </c>
    </row>
    <row r="31" spans="1:10" ht="15" customHeight="1" x14ac:dyDescent="0.2">
      <c r="A31" s="414" t="s">
        <v>36</v>
      </c>
      <c r="B31" s="428">
        <v>1160</v>
      </c>
      <c r="C31" s="428">
        <v>836</v>
      </c>
      <c r="D31" s="460">
        <v>0.72068965517241379</v>
      </c>
      <c r="E31" s="460">
        <v>0.67834028170979777</v>
      </c>
      <c r="F31" s="428">
        <v>786.87472678336542</v>
      </c>
      <c r="G31" s="460">
        <v>0.68035829089152877</v>
      </c>
      <c r="H31" s="428">
        <v>789.2156174341734</v>
      </c>
      <c r="I31" s="428">
        <v>47</v>
      </c>
      <c r="J31" s="429">
        <f t="shared" si="1"/>
        <v>470000</v>
      </c>
    </row>
    <row r="32" spans="1:10" ht="15" customHeight="1" x14ac:dyDescent="0.2">
      <c r="A32" s="414" t="s">
        <v>131</v>
      </c>
      <c r="B32" s="428">
        <v>928</v>
      </c>
      <c r="C32" s="428">
        <v>609</v>
      </c>
      <c r="D32" s="460">
        <v>0.65625</v>
      </c>
      <c r="E32" s="460">
        <v>0.64340857853234201</v>
      </c>
      <c r="F32" s="428">
        <v>597.08316087801336</v>
      </c>
      <c r="G32" s="460">
        <v>0.64644253127560114</v>
      </c>
      <c r="H32" s="428">
        <v>599.89866902375786</v>
      </c>
      <c r="I32" s="428">
        <v>9</v>
      </c>
      <c r="J32" s="429">
        <f t="shared" si="1"/>
        <v>90000</v>
      </c>
    </row>
    <row r="33" spans="1:14" ht="15" customHeight="1" x14ac:dyDescent="0.2">
      <c r="A33" s="414" t="s">
        <v>205</v>
      </c>
      <c r="B33" s="428">
        <v>1731</v>
      </c>
      <c r="C33" s="428">
        <v>1105</v>
      </c>
      <c r="D33" s="460">
        <v>0.63835932986712884</v>
      </c>
      <c r="E33" s="460">
        <v>0.65557007755603125</v>
      </c>
      <c r="F33" s="428">
        <v>1134.79180424949</v>
      </c>
      <c r="G33" s="460">
        <v>0.65784716609336313</v>
      </c>
      <c r="H33" s="428">
        <v>1138.7334445076117</v>
      </c>
      <c r="I33" s="428">
        <v>0</v>
      </c>
      <c r="J33" s="429">
        <f t="shared" si="1"/>
        <v>0</v>
      </c>
    </row>
    <row r="34" spans="1:14" ht="15" customHeight="1" x14ac:dyDescent="0.2">
      <c r="A34" s="414" t="s">
        <v>206</v>
      </c>
      <c r="B34" s="428">
        <v>1833</v>
      </c>
      <c r="C34" s="428">
        <v>1176</v>
      </c>
      <c r="D34" s="460">
        <v>0.64157119476268409</v>
      </c>
      <c r="E34" s="460">
        <v>0.64708882175589066</v>
      </c>
      <c r="F34" s="428">
        <v>1186.1138102785476</v>
      </c>
      <c r="G34" s="460">
        <v>0.64923029481053107</v>
      </c>
      <c r="H34" s="428">
        <v>1190.0391303877034</v>
      </c>
      <c r="I34" s="428">
        <v>0</v>
      </c>
      <c r="J34" s="429">
        <f t="shared" si="1"/>
        <v>0</v>
      </c>
    </row>
    <row r="35" spans="1:14" ht="15" customHeight="1" x14ac:dyDescent="0.2">
      <c r="A35" s="414" t="s">
        <v>70</v>
      </c>
      <c r="B35" s="428">
        <v>2614</v>
      </c>
      <c r="C35" s="428">
        <v>1654</v>
      </c>
      <c r="D35" s="460">
        <v>0.63274674827850041</v>
      </c>
      <c r="E35" s="460">
        <v>0.60574738701005648</v>
      </c>
      <c r="F35" s="428">
        <v>1583.4236696442877</v>
      </c>
      <c r="G35" s="460">
        <v>0.60983005916826838</v>
      </c>
      <c r="H35" s="428">
        <v>1594.0957746658535</v>
      </c>
      <c r="I35" s="428">
        <v>60</v>
      </c>
      <c r="J35" s="429">
        <f t="shared" si="1"/>
        <v>600000</v>
      </c>
    </row>
    <row r="36" spans="1:14" ht="15" customHeight="1" x14ac:dyDescent="0.2">
      <c r="A36" s="414" t="s">
        <v>117</v>
      </c>
      <c r="B36" s="428">
        <v>1171</v>
      </c>
      <c r="C36" s="428">
        <v>801</v>
      </c>
      <c r="D36" s="460">
        <v>0.68403074295473953</v>
      </c>
      <c r="E36" s="460">
        <v>0.6721037868220735</v>
      </c>
      <c r="F36" s="428">
        <v>787.03353436864802</v>
      </c>
      <c r="G36" s="460">
        <v>0.67494702057157296</v>
      </c>
      <c r="H36" s="428">
        <v>790.36296108931197</v>
      </c>
      <c r="I36" s="428">
        <v>11</v>
      </c>
      <c r="J36" s="429">
        <f t="shared" si="1"/>
        <v>110000</v>
      </c>
    </row>
    <row r="37" spans="1:14" ht="15" customHeight="1" x14ac:dyDescent="0.2">
      <c r="A37" s="419" t="s">
        <v>207</v>
      </c>
      <c r="B37" s="430">
        <f>SUM(B6:B36)-B22</f>
        <v>38535</v>
      </c>
      <c r="C37" s="430">
        <f>SUM(C6:C36)-C22</f>
        <v>25302</v>
      </c>
      <c r="D37" s="490">
        <v>0.66735209329558065</v>
      </c>
      <c r="E37" s="490">
        <v>0.66156760163790762</v>
      </c>
      <c r="F37" s="430">
        <f>SUM(F6:F36)-F22</f>
        <v>25065.320146356014</v>
      </c>
      <c r="G37" s="461">
        <v>0.66480342717715135</v>
      </c>
      <c r="H37" s="430">
        <f>SUM(H6:H36)-H22</f>
        <v>25179.379961848499</v>
      </c>
      <c r="I37" s="430">
        <f>SUM(I6:I36)-I22</f>
        <v>386</v>
      </c>
      <c r="J37" s="430">
        <f>SUM(J6:J36)-J22</f>
        <v>3860000</v>
      </c>
    </row>
    <row r="38" spans="1:14" ht="15" customHeight="1" x14ac:dyDescent="0.2">
      <c r="A38" s="414" t="s">
        <v>208</v>
      </c>
      <c r="B38" s="428">
        <v>1552</v>
      </c>
      <c r="C38" s="428">
        <v>1281</v>
      </c>
      <c r="D38" s="460">
        <v>0.82538659793814428</v>
      </c>
      <c r="E38" s="460">
        <v>0.84022725381642005</v>
      </c>
      <c r="F38" s="428">
        <v>1304.032697923084</v>
      </c>
      <c r="G38" s="460">
        <v>0.84553292543648984</v>
      </c>
      <c r="H38" s="428">
        <v>1312.2671002774323</v>
      </c>
      <c r="I38" s="428">
        <v>0</v>
      </c>
      <c r="J38" s="429">
        <f t="shared" si="1"/>
        <v>0</v>
      </c>
      <c r="M38" s="410"/>
      <c r="N38" s="410"/>
    </row>
    <row r="39" spans="1:14" ht="15" customHeight="1" x14ac:dyDescent="0.2">
      <c r="A39" s="414" t="s">
        <v>140</v>
      </c>
      <c r="B39" s="428">
        <v>2733</v>
      </c>
      <c r="C39" s="428">
        <v>2191</v>
      </c>
      <c r="D39" s="460">
        <v>0.80168313208927922</v>
      </c>
      <c r="E39" s="460">
        <v>0.78303250693255411</v>
      </c>
      <c r="F39" s="428">
        <v>2140.0278414466702</v>
      </c>
      <c r="G39" s="460">
        <v>0.78737156472922465</v>
      </c>
      <c r="H39" s="428">
        <v>2151.886486404971</v>
      </c>
      <c r="I39" s="428">
        <v>39</v>
      </c>
      <c r="J39" s="429">
        <f t="shared" si="1"/>
        <v>390000</v>
      </c>
      <c r="M39" s="410"/>
      <c r="N39" s="410"/>
    </row>
    <row r="40" spans="1:14" ht="15" customHeight="1" x14ac:dyDescent="0.2">
      <c r="A40" s="414" t="s">
        <v>209</v>
      </c>
      <c r="B40" s="428">
        <v>3800</v>
      </c>
      <c r="C40" s="428">
        <v>3363</v>
      </c>
      <c r="D40" s="460">
        <v>0.88500000000000001</v>
      </c>
      <c r="E40" s="460">
        <v>0.88744673925421746</v>
      </c>
      <c r="F40" s="428">
        <v>3372.2976091660262</v>
      </c>
      <c r="G40" s="460">
        <v>0.89140701711228887</v>
      </c>
      <c r="H40" s="428">
        <v>3387.3466650266978</v>
      </c>
      <c r="I40" s="428">
        <v>0</v>
      </c>
      <c r="J40" s="429">
        <f t="shared" si="1"/>
        <v>0</v>
      </c>
      <c r="M40" s="410"/>
      <c r="N40" s="410"/>
    </row>
    <row r="41" spans="1:14" ht="15" customHeight="1" x14ac:dyDescent="0.2">
      <c r="A41" s="414" t="s">
        <v>210</v>
      </c>
      <c r="B41" s="428">
        <v>1437</v>
      </c>
      <c r="C41" s="428">
        <v>1237</v>
      </c>
      <c r="D41" s="460">
        <v>0.86082115518441193</v>
      </c>
      <c r="E41" s="460">
        <v>0.87223118957117596</v>
      </c>
      <c r="F41" s="428">
        <v>1253.3962194137798</v>
      </c>
      <c r="G41" s="460">
        <v>0.87592093056923459</v>
      </c>
      <c r="H41" s="428">
        <v>1258.69837722799</v>
      </c>
      <c r="I41" s="428">
        <v>0</v>
      </c>
      <c r="J41" s="429">
        <f t="shared" si="1"/>
        <v>0</v>
      </c>
      <c r="M41" s="410"/>
      <c r="N41" s="410"/>
    </row>
    <row r="42" spans="1:14" ht="15" customHeight="1" x14ac:dyDescent="0.2">
      <c r="A42" s="414" t="s">
        <v>211</v>
      </c>
      <c r="B42" s="428">
        <v>2566</v>
      </c>
      <c r="C42" s="428">
        <v>2068</v>
      </c>
      <c r="D42" s="460">
        <v>0.80592361652377242</v>
      </c>
      <c r="E42" s="460">
        <v>0.83593350770549013</v>
      </c>
      <c r="F42" s="428">
        <v>2145.0053807722875</v>
      </c>
      <c r="G42" s="460">
        <v>0.83826050173367528</v>
      </c>
      <c r="H42" s="428">
        <v>2150.9764474486105</v>
      </c>
      <c r="I42" s="428">
        <v>0</v>
      </c>
      <c r="J42" s="429">
        <f t="shared" si="1"/>
        <v>0</v>
      </c>
      <c r="M42" s="410"/>
      <c r="N42" s="410"/>
    </row>
    <row r="43" spans="1:14" ht="15" customHeight="1" x14ac:dyDescent="0.2">
      <c r="A43" s="414" t="s">
        <v>212</v>
      </c>
      <c r="B43" s="428">
        <v>683</v>
      </c>
      <c r="C43" s="428">
        <v>565</v>
      </c>
      <c r="D43" s="460">
        <v>0.82723279648609083</v>
      </c>
      <c r="E43" s="460">
        <v>0.8322696707188989</v>
      </c>
      <c r="F43" s="428">
        <v>568.44018510100796</v>
      </c>
      <c r="G43" s="460">
        <v>0.83450829041228014</v>
      </c>
      <c r="H43" s="428">
        <v>569.96916235158733</v>
      </c>
      <c r="I43" s="428">
        <v>0</v>
      </c>
      <c r="J43" s="429">
        <f t="shared" si="1"/>
        <v>0</v>
      </c>
      <c r="M43" s="410"/>
      <c r="N43" s="410"/>
    </row>
    <row r="44" spans="1:14" ht="15" customHeight="1" x14ac:dyDescent="0.2">
      <c r="A44" s="414" t="s">
        <v>213</v>
      </c>
      <c r="B44" s="428">
        <v>2225</v>
      </c>
      <c r="C44" s="428">
        <v>1963</v>
      </c>
      <c r="D44" s="460">
        <v>0.88224719101123594</v>
      </c>
      <c r="E44" s="460">
        <v>0.90994778786051089</v>
      </c>
      <c r="F44" s="428">
        <v>2024.6338279896368</v>
      </c>
      <c r="G44" s="460">
        <v>0.91433797711494214</v>
      </c>
      <c r="H44" s="428">
        <v>2034.4019990807462</v>
      </c>
      <c r="I44" s="428">
        <v>0</v>
      </c>
      <c r="J44" s="429">
        <f t="shared" si="1"/>
        <v>0</v>
      </c>
      <c r="M44" s="410"/>
      <c r="N44" s="410"/>
    </row>
    <row r="45" spans="1:14" ht="15" customHeight="1" x14ac:dyDescent="0.2">
      <c r="A45" s="419" t="s">
        <v>214</v>
      </c>
      <c r="B45" s="430">
        <v>14996</v>
      </c>
      <c r="C45" s="430">
        <v>12668</v>
      </c>
      <c r="D45" s="461">
        <v>0.84118492703327641</v>
      </c>
      <c r="E45" s="461">
        <v>0.85158409369418109</v>
      </c>
      <c r="F45" s="430">
        <v>12807.833761812493</v>
      </c>
      <c r="G45" s="461">
        <v>0.85533417244401944</v>
      </c>
      <c r="H45" s="430">
        <v>12865.546237818035</v>
      </c>
      <c r="I45" s="430">
        <v>39</v>
      </c>
      <c r="J45" s="431">
        <f>SUM(J38:J44)</f>
        <v>390000</v>
      </c>
    </row>
    <row r="46" spans="1:14" ht="15" customHeight="1" x14ac:dyDescent="0.2">
      <c r="A46" s="423" t="s">
        <v>215</v>
      </c>
      <c r="B46" s="432">
        <f>B37+B45</f>
        <v>53531</v>
      </c>
      <c r="C46" s="432">
        <f>C37+C45</f>
        <v>37970</v>
      </c>
      <c r="D46" s="491">
        <v>0.70023938616487447</v>
      </c>
      <c r="E46" s="491">
        <v>0.6975166677026079</v>
      </c>
      <c r="F46" s="432">
        <f>F37+F45</f>
        <v>37873.153908168504</v>
      </c>
      <c r="G46" s="491">
        <v>0.70084978438980206</v>
      </c>
      <c r="H46" s="432">
        <f>H37+H45</f>
        <v>38044.92619966653</v>
      </c>
      <c r="I46" s="432">
        <f>I37+I45</f>
        <v>425</v>
      </c>
      <c r="J46" s="433">
        <f>J45+J37</f>
        <v>4250000</v>
      </c>
    </row>
    <row r="47" spans="1:14" ht="15" customHeight="1" x14ac:dyDescent="0.2">
      <c r="A47" s="434" t="s">
        <v>278</v>
      </c>
      <c r="B47" s="435"/>
      <c r="C47" s="435"/>
      <c r="D47" s="492"/>
      <c r="E47" s="492"/>
      <c r="F47" s="435"/>
      <c r="G47" s="492"/>
      <c r="H47" s="435"/>
      <c r="I47" s="435"/>
      <c r="J47" s="436">
        <v>10000</v>
      </c>
    </row>
  </sheetData>
  <mergeCells count="3">
    <mergeCell ref="A1:J1"/>
    <mergeCell ref="A2:J2"/>
    <mergeCell ref="A3:J3"/>
  </mergeCells>
  <printOptions horizontalCentered="1"/>
  <pageMargins left="0.1" right="0.1" top="0.5" bottom="0.5" header="0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xSplit="1" ySplit="5" topLeftCell="B6" activePane="bottomRight" state="frozen"/>
      <selection activeCell="B30" sqref="B30"/>
      <selection pane="topRight" activeCell="B30" sqref="B30"/>
      <selection pane="bottomLeft" activeCell="B30" sqref="B30"/>
      <selection pane="bottomRight" activeCell="H36" sqref="H36"/>
    </sheetView>
  </sheetViews>
  <sheetFormatPr defaultColWidth="9.140625" defaultRowHeight="15" customHeight="1" x14ac:dyDescent="0.2"/>
  <cols>
    <col min="1" max="1" width="40.28515625" style="409" customWidth="1"/>
    <col min="2" max="4" width="5.7109375" style="409" bestFit="1" customWidth="1"/>
    <col min="5" max="5" width="9.5703125" style="409" bestFit="1" customWidth="1"/>
    <col min="6" max="6" width="11.42578125" style="409" bestFit="1" customWidth="1"/>
    <col min="7" max="7" width="12.28515625" style="409" bestFit="1" customWidth="1"/>
    <col min="8" max="8" width="11" style="409" customWidth="1"/>
    <col min="9" max="16384" width="9.140625" style="409"/>
  </cols>
  <sheetData>
    <row r="1" spans="1:8" ht="15" customHeight="1" x14ac:dyDescent="0.2">
      <c r="A1" s="505" t="s">
        <v>302</v>
      </c>
      <c r="B1" s="505"/>
      <c r="C1" s="505"/>
      <c r="D1" s="505"/>
      <c r="E1" s="505"/>
      <c r="F1" s="505"/>
      <c r="G1" s="505"/>
      <c r="H1" s="505"/>
    </row>
    <row r="2" spans="1:8" ht="15" customHeight="1" x14ac:dyDescent="0.2">
      <c r="A2" s="505" t="s">
        <v>72</v>
      </c>
      <c r="B2" s="505"/>
      <c r="C2" s="505"/>
      <c r="D2" s="505"/>
      <c r="E2" s="505"/>
      <c r="F2" s="505"/>
      <c r="G2" s="505"/>
      <c r="H2" s="505"/>
    </row>
    <row r="3" spans="1:8" ht="15" customHeight="1" x14ac:dyDescent="0.2">
      <c r="A3" s="505" t="s">
        <v>331</v>
      </c>
      <c r="B3" s="505"/>
      <c r="C3" s="505"/>
      <c r="D3" s="505"/>
      <c r="E3" s="505"/>
      <c r="F3" s="505"/>
      <c r="G3" s="505"/>
      <c r="H3" s="505"/>
    </row>
    <row r="4" spans="1:8" ht="15" customHeight="1" x14ac:dyDescent="0.2">
      <c r="A4" s="457"/>
      <c r="B4" s="506"/>
      <c r="C4" s="506"/>
      <c r="D4" s="506"/>
      <c r="E4" s="296" t="s">
        <v>216</v>
      </c>
      <c r="F4" s="482">
        <v>2019</v>
      </c>
      <c r="G4" s="458" t="s">
        <v>217</v>
      </c>
      <c r="H4" s="447" t="s">
        <v>287</v>
      </c>
    </row>
    <row r="5" spans="1:8" x14ac:dyDescent="0.25">
      <c r="A5" s="297" t="s">
        <v>218</v>
      </c>
      <c r="B5" s="480">
        <v>2017</v>
      </c>
      <c r="C5" s="480">
        <v>2018</v>
      </c>
      <c r="D5" s="480">
        <v>2019</v>
      </c>
      <c r="E5" s="481" t="s">
        <v>330</v>
      </c>
      <c r="F5" s="459" t="s">
        <v>219</v>
      </c>
      <c r="G5" s="297" t="s">
        <v>220</v>
      </c>
      <c r="H5" s="297" t="s">
        <v>188</v>
      </c>
    </row>
    <row r="6" spans="1:8" ht="15" customHeight="1" x14ac:dyDescent="0.2">
      <c r="A6" s="437" t="s">
        <v>189</v>
      </c>
      <c r="B6" s="472">
        <v>0.55405405405405406</v>
      </c>
      <c r="C6" s="472">
        <v>0.625</v>
      </c>
      <c r="D6" s="472">
        <v>0.62962962962962965</v>
      </c>
      <c r="E6" s="472">
        <v>7.5575575575575593E-2</v>
      </c>
      <c r="F6" s="473">
        <v>81</v>
      </c>
      <c r="G6" s="415">
        <v>6</v>
      </c>
      <c r="H6" s="416">
        <f t="shared" ref="H6:H21" si="0">G6*H$47</f>
        <v>24000</v>
      </c>
    </row>
    <row r="7" spans="1:8" ht="15" customHeight="1" x14ac:dyDescent="0.2">
      <c r="A7" s="298" t="s">
        <v>190</v>
      </c>
      <c r="B7" s="474">
        <v>0.60569715142428782</v>
      </c>
      <c r="C7" s="474">
        <v>0.65644955300127716</v>
      </c>
      <c r="D7" s="474">
        <v>0.61984536082474229</v>
      </c>
      <c r="E7" s="474">
        <v>1.414820940045447E-2</v>
      </c>
      <c r="F7" s="473">
        <v>776</v>
      </c>
      <c r="G7" s="414">
        <v>7</v>
      </c>
      <c r="H7" s="418">
        <f>G7*H$47</f>
        <v>28000</v>
      </c>
    </row>
    <row r="8" spans="1:8" ht="15" customHeight="1" x14ac:dyDescent="0.2">
      <c r="A8" s="298" t="s">
        <v>191</v>
      </c>
      <c r="B8" s="474">
        <v>0.60360360360360366</v>
      </c>
      <c r="C8" s="474">
        <v>0.61691542288557211</v>
      </c>
      <c r="D8" s="474">
        <v>0.64919354838709675</v>
      </c>
      <c r="E8" s="474">
        <v>4.5589944783493097E-2</v>
      </c>
      <c r="F8" s="473">
        <v>248</v>
      </c>
      <c r="G8" s="414">
        <v>10</v>
      </c>
      <c r="H8" s="418">
        <f t="shared" si="0"/>
        <v>40000</v>
      </c>
    </row>
    <row r="9" spans="1:8" ht="15" customHeight="1" x14ac:dyDescent="0.2">
      <c r="A9" s="298" t="s">
        <v>7</v>
      </c>
      <c r="B9" s="474">
        <v>0.63157894736842102</v>
      </c>
      <c r="C9" s="474">
        <v>0.62893081761006286</v>
      </c>
      <c r="D9" s="474">
        <v>0.56521739130434778</v>
      </c>
      <c r="E9" s="474">
        <v>-6.6361556064073235E-2</v>
      </c>
      <c r="F9" s="473">
        <v>115</v>
      </c>
      <c r="G9" s="414">
        <v>0</v>
      </c>
      <c r="H9" s="418">
        <f t="shared" si="0"/>
        <v>0</v>
      </c>
    </row>
    <row r="10" spans="1:8" ht="15" customHeight="1" x14ac:dyDescent="0.2">
      <c r="A10" s="298" t="s">
        <v>9</v>
      </c>
      <c r="B10" s="474">
        <v>0.60526315789473684</v>
      </c>
      <c r="C10" s="474">
        <v>0.59701492537313428</v>
      </c>
      <c r="D10" s="474">
        <v>0.57338820301783266</v>
      </c>
      <c r="E10" s="474">
        <v>-3.1874954876904171E-2</v>
      </c>
      <c r="F10" s="473">
        <v>1458</v>
      </c>
      <c r="G10" s="414">
        <v>0</v>
      </c>
      <c r="H10" s="418">
        <f t="shared" si="0"/>
        <v>0</v>
      </c>
    </row>
    <row r="11" spans="1:8" ht="15" customHeight="1" x14ac:dyDescent="0.2">
      <c r="A11" s="298" t="s">
        <v>192</v>
      </c>
      <c r="B11" s="474">
        <v>0.67241379310344829</v>
      </c>
      <c r="C11" s="474">
        <v>0.66388888888888886</v>
      </c>
      <c r="D11" s="474">
        <v>0.69230769230769229</v>
      </c>
      <c r="E11" s="474">
        <v>1.9893899204244003E-2</v>
      </c>
      <c r="F11" s="473">
        <v>364</v>
      </c>
      <c r="G11" s="414">
        <v>5</v>
      </c>
      <c r="H11" s="418">
        <f t="shared" si="0"/>
        <v>20000</v>
      </c>
    </row>
    <row r="12" spans="1:8" ht="15" customHeight="1" x14ac:dyDescent="0.2">
      <c r="A12" s="298" t="s">
        <v>221</v>
      </c>
      <c r="B12" s="474">
        <v>0.60119047619047616</v>
      </c>
      <c r="C12" s="474">
        <v>0.57746478873239437</v>
      </c>
      <c r="D12" s="474">
        <v>0.52941176470588236</v>
      </c>
      <c r="E12" s="474">
        <v>-7.1778711484593805E-2</v>
      </c>
      <c r="F12" s="473">
        <v>136</v>
      </c>
      <c r="G12" s="414">
        <v>0</v>
      </c>
      <c r="H12" s="418">
        <f t="shared" si="0"/>
        <v>0</v>
      </c>
    </row>
    <row r="13" spans="1:8" ht="15" customHeight="1" x14ac:dyDescent="0.2">
      <c r="A13" s="298" t="s">
        <v>139</v>
      </c>
      <c r="B13" s="474">
        <v>0.6143277723258096</v>
      </c>
      <c r="C13" s="474">
        <v>0.59090909090909094</v>
      </c>
      <c r="D13" s="474">
        <v>0.64581005586592177</v>
      </c>
      <c r="E13" s="474">
        <v>3.1482283540112177E-2</v>
      </c>
      <c r="F13" s="473">
        <v>895</v>
      </c>
      <c r="G13" s="414">
        <v>24</v>
      </c>
      <c r="H13" s="418">
        <f t="shared" si="0"/>
        <v>96000</v>
      </c>
    </row>
    <row r="14" spans="1:8" ht="15" customHeight="1" x14ac:dyDescent="0.2">
      <c r="A14" s="298" t="s">
        <v>193</v>
      </c>
      <c r="B14" s="474">
        <v>0.61145510835913308</v>
      </c>
      <c r="C14" s="474">
        <v>0.62475049900199597</v>
      </c>
      <c r="D14" s="474">
        <v>0.62301587301587302</v>
      </c>
      <c r="E14" s="474">
        <v>1.1560764656739941E-2</v>
      </c>
      <c r="F14" s="473">
        <v>504</v>
      </c>
      <c r="G14" s="414">
        <v>3</v>
      </c>
      <c r="H14" s="418">
        <f t="shared" si="0"/>
        <v>12000</v>
      </c>
    </row>
    <row r="15" spans="1:8" ht="15" customHeight="1" x14ac:dyDescent="0.2">
      <c r="A15" s="298" t="s">
        <v>17</v>
      </c>
      <c r="B15" s="474">
        <v>0.58149779735682816</v>
      </c>
      <c r="C15" s="474">
        <v>0.62557077625570778</v>
      </c>
      <c r="D15" s="474">
        <v>0.56299212598425197</v>
      </c>
      <c r="E15" s="474">
        <v>-1.8505671372576193E-2</v>
      </c>
      <c r="F15" s="473">
        <v>254</v>
      </c>
      <c r="G15" s="414">
        <v>0</v>
      </c>
      <c r="H15" s="418">
        <f t="shared" si="0"/>
        <v>0</v>
      </c>
    </row>
    <row r="16" spans="1:8" ht="15" customHeight="1" x14ac:dyDescent="0.2">
      <c r="A16" s="298" t="s">
        <v>194</v>
      </c>
      <c r="B16" s="474">
        <v>0.54047474132684115</v>
      </c>
      <c r="C16" s="474">
        <v>0.58592777085927772</v>
      </c>
      <c r="D16" s="474">
        <v>0.56417112299465244</v>
      </c>
      <c r="E16" s="474">
        <v>2.3696381667811295E-2</v>
      </c>
      <c r="F16" s="473">
        <v>1496</v>
      </c>
      <c r="G16" s="414">
        <v>28</v>
      </c>
      <c r="H16" s="418">
        <f t="shared" si="0"/>
        <v>112000</v>
      </c>
    </row>
    <row r="17" spans="1:8" ht="15" customHeight="1" x14ac:dyDescent="0.2">
      <c r="A17" s="298" t="s">
        <v>222</v>
      </c>
      <c r="B17" s="474">
        <v>0.60169491525423724</v>
      </c>
      <c r="C17" s="474">
        <v>0.66666666666666663</v>
      </c>
      <c r="D17" s="474">
        <v>0.64406779661016944</v>
      </c>
      <c r="E17" s="474">
        <v>4.2372881355932202E-2</v>
      </c>
      <c r="F17" s="473">
        <v>118</v>
      </c>
      <c r="G17" s="414">
        <v>4</v>
      </c>
      <c r="H17" s="418">
        <f t="shared" si="0"/>
        <v>16000</v>
      </c>
    </row>
    <row r="18" spans="1:8" ht="15" customHeight="1" x14ac:dyDescent="0.2">
      <c r="A18" s="298" t="s">
        <v>196</v>
      </c>
      <c r="B18" s="474">
        <v>0.56902985074626866</v>
      </c>
      <c r="C18" s="474">
        <v>0.55135135135135138</v>
      </c>
      <c r="D18" s="474">
        <v>0.53784860557768921</v>
      </c>
      <c r="E18" s="474">
        <v>-3.1181245168579452E-2</v>
      </c>
      <c r="F18" s="473">
        <v>502</v>
      </c>
      <c r="G18" s="414">
        <v>0</v>
      </c>
      <c r="H18" s="418">
        <f t="shared" si="0"/>
        <v>0</v>
      </c>
    </row>
    <row r="19" spans="1:8" ht="15" customHeight="1" x14ac:dyDescent="0.2">
      <c r="A19" s="440" t="s">
        <v>223</v>
      </c>
      <c r="B19" s="474">
        <v>0.56950672645739908</v>
      </c>
      <c r="C19" s="474">
        <v>0.57198443579766534</v>
      </c>
      <c r="D19" s="474">
        <v>0.65724381625441697</v>
      </c>
      <c r="E19" s="474">
        <v>8.7737089797017886E-2</v>
      </c>
      <c r="F19" s="473">
        <v>283</v>
      </c>
      <c r="G19" s="414">
        <v>23</v>
      </c>
      <c r="H19" s="418">
        <f t="shared" si="0"/>
        <v>92000</v>
      </c>
    </row>
    <row r="20" spans="1:8" ht="15" customHeight="1" x14ac:dyDescent="0.2">
      <c r="A20" s="298" t="s">
        <v>132</v>
      </c>
      <c r="B20" s="474">
        <v>0.62235449735449733</v>
      </c>
      <c r="C20" s="474">
        <v>0.61286001339584728</v>
      </c>
      <c r="D20" s="474">
        <v>0.63708690330477358</v>
      </c>
      <c r="E20" s="474">
        <v>1.4732405950276251E-2</v>
      </c>
      <c r="F20" s="473">
        <v>1634</v>
      </c>
      <c r="G20" s="414">
        <v>16</v>
      </c>
      <c r="H20" s="418">
        <f t="shared" si="0"/>
        <v>64000</v>
      </c>
    </row>
    <row r="21" spans="1:8" ht="15" customHeight="1" x14ac:dyDescent="0.2">
      <c r="A21" s="298" t="s">
        <v>133</v>
      </c>
      <c r="B21" s="474">
        <v>0.57933884297520666</v>
      </c>
      <c r="C21" s="474">
        <v>0.58479999999999999</v>
      </c>
      <c r="D21" s="474">
        <v>0.57753164556962022</v>
      </c>
      <c r="E21" s="474">
        <v>-1.8071974055864359E-3</v>
      </c>
      <c r="F21" s="473">
        <v>1264</v>
      </c>
      <c r="G21" s="414">
        <v>0</v>
      </c>
      <c r="H21" s="418">
        <f t="shared" si="0"/>
        <v>0</v>
      </c>
    </row>
    <row r="22" spans="1:8" ht="15" customHeight="1" x14ac:dyDescent="0.2">
      <c r="A22" s="438" t="s">
        <v>63</v>
      </c>
      <c r="B22" s="475">
        <v>0.65986394557823125</v>
      </c>
      <c r="C22" s="475">
        <v>0.63034188034188032</v>
      </c>
      <c r="D22" s="475">
        <v>0.60805084745762716</v>
      </c>
      <c r="E22" s="475">
        <v>-5.1813098120604084E-2</v>
      </c>
      <c r="F22" s="476">
        <v>472</v>
      </c>
      <c r="G22" s="419">
        <v>0</v>
      </c>
      <c r="H22" s="420">
        <f>SUM(H23:H27)</f>
        <v>0</v>
      </c>
    </row>
    <row r="23" spans="1:8" ht="15" customHeight="1" x14ac:dyDescent="0.2">
      <c r="A23" s="298" t="s">
        <v>271</v>
      </c>
      <c r="B23" s="474">
        <v>0.64583333333333337</v>
      </c>
      <c r="C23" s="474">
        <v>0.69791666666666663</v>
      </c>
      <c r="D23" s="474">
        <v>0.64634146341463417</v>
      </c>
      <c r="E23" s="474">
        <v>5.0813008130079496E-4</v>
      </c>
      <c r="F23" s="473">
        <v>82</v>
      </c>
      <c r="G23" s="414">
        <v>0</v>
      </c>
      <c r="H23" s="418">
        <f t="shared" ref="H23:H36" si="1">G23*H$47</f>
        <v>0</v>
      </c>
    </row>
    <row r="24" spans="1:8" ht="15" customHeight="1" x14ac:dyDescent="0.2">
      <c r="A24" s="298" t="s">
        <v>272</v>
      </c>
      <c r="B24" s="474">
        <v>0.58536585365853655</v>
      </c>
      <c r="C24" s="474">
        <v>0.63793103448275867</v>
      </c>
      <c r="D24" s="474">
        <v>0.56551724137931036</v>
      </c>
      <c r="E24" s="474">
        <v>-1.9848612279226185E-2</v>
      </c>
      <c r="F24" s="473">
        <v>145</v>
      </c>
      <c r="G24" s="414">
        <v>0</v>
      </c>
      <c r="H24" s="418">
        <f t="shared" si="1"/>
        <v>0</v>
      </c>
    </row>
    <row r="25" spans="1:8" ht="15" customHeight="1" x14ac:dyDescent="0.2">
      <c r="A25" s="298" t="s">
        <v>273</v>
      </c>
      <c r="B25" s="474">
        <v>0.6966292134831461</v>
      </c>
      <c r="C25" s="474">
        <v>0.5546875</v>
      </c>
      <c r="D25" s="474">
        <v>0.58064516129032262</v>
      </c>
      <c r="E25" s="474">
        <v>-0.11598405219282348</v>
      </c>
      <c r="F25" s="473">
        <v>124</v>
      </c>
      <c r="G25" s="414">
        <v>0</v>
      </c>
      <c r="H25" s="418">
        <f t="shared" si="1"/>
        <v>0</v>
      </c>
    </row>
    <row r="26" spans="1:8" ht="15" customHeight="1" x14ac:dyDescent="0.2">
      <c r="A26" s="298" t="s">
        <v>274</v>
      </c>
      <c r="B26" s="474">
        <v>0.71153846153846156</v>
      </c>
      <c r="C26" s="474">
        <v>0.68181818181818177</v>
      </c>
      <c r="D26" s="474">
        <v>0.6097560975609756</v>
      </c>
      <c r="E26" s="474">
        <v>-0.10178236397748597</v>
      </c>
      <c r="F26" s="473">
        <v>41</v>
      </c>
      <c r="G26" s="414">
        <v>0</v>
      </c>
      <c r="H26" s="418">
        <f t="shared" si="1"/>
        <v>0</v>
      </c>
    </row>
    <row r="27" spans="1:8" ht="15" customHeight="1" x14ac:dyDescent="0.2">
      <c r="A27" s="298" t="s">
        <v>275</v>
      </c>
      <c r="B27" s="474">
        <v>0.71604938271604934</v>
      </c>
      <c r="C27" s="474">
        <v>0.63095238095238093</v>
      </c>
      <c r="D27" s="474">
        <v>0.6875</v>
      </c>
      <c r="E27" s="474">
        <v>-2.8549382716049343E-2</v>
      </c>
      <c r="F27" s="473">
        <v>80</v>
      </c>
      <c r="G27" s="414">
        <v>0</v>
      </c>
      <c r="H27" s="418">
        <f t="shared" si="1"/>
        <v>0</v>
      </c>
    </row>
    <row r="28" spans="1:8" ht="15" customHeight="1" x14ac:dyDescent="0.2">
      <c r="A28" s="298" t="s">
        <v>229</v>
      </c>
      <c r="B28" s="474">
        <v>0.56923076923076921</v>
      </c>
      <c r="C28" s="474">
        <v>0.56183745583038869</v>
      </c>
      <c r="D28" s="474">
        <v>0.63928571428571423</v>
      </c>
      <c r="E28" s="474">
        <v>7.0054945054945028E-2</v>
      </c>
      <c r="F28" s="473">
        <v>280</v>
      </c>
      <c r="G28" s="414">
        <v>18</v>
      </c>
      <c r="H28" s="418">
        <f t="shared" si="1"/>
        <v>72000</v>
      </c>
    </row>
    <row r="29" spans="1:8" ht="15" customHeight="1" x14ac:dyDescent="0.2">
      <c r="A29" s="298" t="s">
        <v>203</v>
      </c>
      <c r="B29" s="474">
        <v>0.45121951219512196</v>
      </c>
      <c r="C29" s="474">
        <v>0.48051948051948051</v>
      </c>
      <c r="D29" s="474">
        <v>0.50588235294117645</v>
      </c>
      <c r="E29" s="474">
        <v>5.4662840746054486E-2</v>
      </c>
      <c r="F29" s="473">
        <v>85</v>
      </c>
      <c r="G29" s="414">
        <v>4</v>
      </c>
      <c r="H29" s="418">
        <f t="shared" si="1"/>
        <v>16000</v>
      </c>
    </row>
    <row r="30" spans="1:8" ht="15" customHeight="1" x14ac:dyDescent="0.2">
      <c r="A30" s="298" t="s">
        <v>204</v>
      </c>
      <c r="B30" s="474">
        <v>0.5901639344262295</v>
      </c>
      <c r="C30" s="474">
        <v>0.68493150684931503</v>
      </c>
      <c r="D30" s="474">
        <v>0.60810810810810811</v>
      </c>
      <c r="E30" s="474">
        <v>1.7944173681878617E-2</v>
      </c>
      <c r="F30" s="473">
        <v>74</v>
      </c>
      <c r="G30" s="414">
        <v>1</v>
      </c>
      <c r="H30" s="418">
        <f t="shared" si="1"/>
        <v>4000</v>
      </c>
    </row>
    <row r="31" spans="1:8" ht="15" customHeight="1" x14ac:dyDescent="0.2">
      <c r="A31" s="298" t="s">
        <v>36</v>
      </c>
      <c r="B31" s="474">
        <v>0.54509803921568623</v>
      </c>
      <c r="C31" s="474">
        <v>0.59440559440559437</v>
      </c>
      <c r="D31" s="474">
        <v>0.61924686192468614</v>
      </c>
      <c r="E31" s="474">
        <v>7.4148822708999917E-2</v>
      </c>
      <c r="F31" s="473">
        <v>239</v>
      </c>
      <c r="G31" s="414">
        <v>17</v>
      </c>
      <c r="H31" s="418">
        <f t="shared" si="1"/>
        <v>68000</v>
      </c>
    </row>
    <row r="32" spans="1:8" ht="15" customHeight="1" x14ac:dyDescent="0.2">
      <c r="A32" s="298" t="s">
        <v>131</v>
      </c>
      <c r="B32" s="474">
        <v>0.580952380952381</v>
      </c>
      <c r="C32" s="474">
        <v>0.60085836909871249</v>
      </c>
      <c r="D32" s="474">
        <v>0.63554216867469882</v>
      </c>
      <c r="E32" s="474">
        <v>5.4589787722317817E-2</v>
      </c>
      <c r="F32" s="473">
        <v>332</v>
      </c>
      <c r="G32" s="414">
        <v>16</v>
      </c>
      <c r="H32" s="418">
        <f t="shared" si="1"/>
        <v>64000</v>
      </c>
    </row>
    <row r="33" spans="1:8" ht="15" customHeight="1" x14ac:dyDescent="0.2">
      <c r="A33" s="298" t="s">
        <v>205</v>
      </c>
      <c r="B33" s="474">
        <v>0.58301886792452828</v>
      </c>
      <c r="C33" s="474">
        <v>0.59074733096085408</v>
      </c>
      <c r="D33" s="474">
        <v>0.58245614035087723</v>
      </c>
      <c r="E33" s="474">
        <v>-5.6272757365105619E-4</v>
      </c>
      <c r="F33" s="473">
        <v>570</v>
      </c>
      <c r="G33" s="414">
        <v>0</v>
      </c>
      <c r="H33" s="418">
        <f t="shared" si="1"/>
        <v>0</v>
      </c>
    </row>
    <row r="34" spans="1:8" ht="15" customHeight="1" x14ac:dyDescent="0.2">
      <c r="A34" s="298" t="s">
        <v>206</v>
      </c>
      <c r="B34" s="474">
        <v>0.5195729537366548</v>
      </c>
      <c r="C34" s="474">
        <v>0.57601351351351349</v>
      </c>
      <c r="D34" s="474">
        <v>0.55098389982110907</v>
      </c>
      <c r="E34" s="474">
        <v>3.1410946084454272E-2</v>
      </c>
      <c r="F34" s="473">
        <v>559</v>
      </c>
      <c r="G34" s="414">
        <v>15</v>
      </c>
      <c r="H34" s="418">
        <f t="shared" si="1"/>
        <v>60000</v>
      </c>
    </row>
    <row r="35" spans="1:8" ht="15" customHeight="1" x14ac:dyDescent="0.2">
      <c r="A35" s="298" t="s">
        <v>70</v>
      </c>
      <c r="B35" s="474">
        <v>0.58134369794558582</v>
      </c>
      <c r="C35" s="474">
        <v>0.59605339524085899</v>
      </c>
      <c r="D35" s="474">
        <v>0.61626575028636887</v>
      </c>
      <c r="E35" s="474">
        <v>3.492205234078305E-2</v>
      </c>
      <c r="F35" s="473">
        <v>1746</v>
      </c>
      <c r="G35" s="414">
        <v>52</v>
      </c>
      <c r="H35" s="418">
        <f t="shared" si="1"/>
        <v>208000</v>
      </c>
    </row>
    <row r="36" spans="1:8" ht="15" customHeight="1" x14ac:dyDescent="0.2">
      <c r="A36" s="298" t="s">
        <v>117</v>
      </c>
      <c r="B36" s="474">
        <v>0.68562874251497008</v>
      </c>
      <c r="C36" s="474">
        <v>0.60830860534124631</v>
      </c>
      <c r="D36" s="474">
        <v>0.6607142857142857</v>
      </c>
      <c r="E36" s="474">
        <v>-2.4914456800684381E-2</v>
      </c>
      <c r="F36" s="473">
        <v>336</v>
      </c>
      <c r="G36" s="414">
        <v>0</v>
      </c>
      <c r="H36" s="418">
        <f t="shared" si="1"/>
        <v>0</v>
      </c>
    </row>
    <row r="37" spans="1:8" ht="15" customHeight="1" x14ac:dyDescent="0.2">
      <c r="A37" s="299" t="s">
        <v>207</v>
      </c>
      <c r="B37" s="475">
        <v>0.59082191780821913</v>
      </c>
      <c r="C37" s="475">
        <v>0.60049036300483549</v>
      </c>
      <c r="D37" s="475">
        <v>0.60394035490182851</v>
      </c>
      <c r="E37" s="475">
        <v>1.3118437093609381E-2</v>
      </c>
      <c r="F37" s="477">
        <v>14821</v>
      </c>
      <c r="G37" s="419">
        <v>249</v>
      </c>
      <c r="H37" s="417">
        <f>SUM(H6:H22,H28:H36)</f>
        <v>996000</v>
      </c>
    </row>
    <row r="38" spans="1:8" ht="15" customHeight="1" x14ac:dyDescent="0.2">
      <c r="A38" s="298" t="s">
        <v>208</v>
      </c>
      <c r="B38" s="474">
        <v>0.75965665236051505</v>
      </c>
      <c r="C38" s="474">
        <v>0.72197309417040356</v>
      </c>
      <c r="D38" s="474">
        <v>0.77559055118110232</v>
      </c>
      <c r="E38" s="474">
        <v>1.5933898820587267E-2</v>
      </c>
      <c r="F38" s="473">
        <v>254</v>
      </c>
      <c r="G38" s="414">
        <v>3</v>
      </c>
      <c r="H38" s="418">
        <f t="shared" ref="H38:H45" si="2">G38*H$47</f>
        <v>12000</v>
      </c>
    </row>
    <row r="39" spans="1:8" ht="15" customHeight="1" x14ac:dyDescent="0.2">
      <c r="A39" s="298" t="s">
        <v>140</v>
      </c>
      <c r="B39" s="474">
        <v>0.77248270561106835</v>
      </c>
      <c r="C39" s="474">
        <v>0.78746177370030579</v>
      </c>
      <c r="D39" s="474">
        <v>0.78602620087336239</v>
      </c>
      <c r="E39" s="474">
        <v>1.3543495262294036E-2</v>
      </c>
      <c r="F39" s="473">
        <v>1374</v>
      </c>
      <c r="G39" s="414">
        <v>12</v>
      </c>
      <c r="H39" s="418">
        <f t="shared" si="2"/>
        <v>48000</v>
      </c>
    </row>
    <row r="40" spans="1:8" ht="15" customHeight="1" x14ac:dyDescent="0.2">
      <c r="A40" s="298" t="s">
        <v>209</v>
      </c>
      <c r="B40" s="474">
        <v>0.8306010928961749</v>
      </c>
      <c r="C40" s="474">
        <v>0.82311977715877438</v>
      </c>
      <c r="D40" s="474">
        <v>0.8505586592178771</v>
      </c>
      <c r="E40" s="474">
        <v>1.9957566321702203E-2</v>
      </c>
      <c r="F40" s="473">
        <v>716</v>
      </c>
      <c r="G40" s="414">
        <v>11</v>
      </c>
      <c r="H40" s="418">
        <f t="shared" si="2"/>
        <v>44000</v>
      </c>
    </row>
    <row r="41" spans="1:8" ht="15" customHeight="1" x14ac:dyDescent="0.2">
      <c r="A41" s="298" t="s">
        <v>210</v>
      </c>
      <c r="B41" s="474">
        <v>0.74782608695652175</v>
      </c>
      <c r="C41" s="474">
        <v>0.78389830508474578</v>
      </c>
      <c r="D41" s="474">
        <v>0.75324675324675328</v>
      </c>
      <c r="E41" s="474">
        <v>5.4206662902315239E-3</v>
      </c>
      <c r="F41" s="473">
        <v>231</v>
      </c>
      <c r="G41" s="414">
        <v>0</v>
      </c>
      <c r="H41" s="418">
        <f t="shared" si="2"/>
        <v>0</v>
      </c>
    </row>
    <row r="42" spans="1:8" ht="15" customHeight="1" x14ac:dyDescent="0.2">
      <c r="A42" s="298" t="s">
        <v>211</v>
      </c>
      <c r="B42" s="474">
        <v>0.78737113402061853</v>
      </c>
      <c r="C42" s="474">
        <v>0.79133858267716539</v>
      </c>
      <c r="D42" s="474">
        <v>0.73481481481481481</v>
      </c>
      <c r="E42" s="474">
        <v>-5.2556319205803725E-2</v>
      </c>
      <c r="F42" s="473">
        <v>675</v>
      </c>
      <c r="G42" s="414">
        <v>0</v>
      </c>
      <c r="H42" s="418">
        <f t="shared" si="2"/>
        <v>0</v>
      </c>
    </row>
    <row r="43" spans="1:8" ht="15" customHeight="1" x14ac:dyDescent="0.2">
      <c r="A43" s="298" t="s">
        <v>212</v>
      </c>
      <c r="B43" s="474">
        <v>0.73796791443850263</v>
      </c>
      <c r="C43" s="474">
        <v>0.77777777777777779</v>
      </c>
      <c r="D43" s="474">
        <v>0.78749999999999998</v>
      </c>
      <c r="E43" s="474">
        <v>4.9532085561497352E-2</v>
      </c>
      <c r="F43" s="473">
        <v>160</v>
      </c>
      <c r="G43" s="414">
        <v>7</v>
      </c>
      <c r="H43" s="418">
        <f t="shared" si="2"/>
        <v>28000</v>
      </c>
    </row>
    <row r="44" spans="1:8" ht="15" customHeight="1" x14ac:dyDescent="0.2">
      <c r="A44" s="298" t="s">
        <v>213</v>
      </c>
      <c r="B44" s="474">
        <v>0.87414965986394555</v>
      </c>
      <c r="C44" s="474">
        <v>0.83636363636363631</v>
      </c>
      <c r="D44" s="474">
        <v>0.85630498533724342</v>
      </c>
      <c r="E44" s="474">
        <v>-1.7844674526702131E-2</v>
      </c>
      <c r="F44" s="473">
        <v>341</v>
      </c>
      <c r="G44" s="414">
        <v>0</v>
      </c>
      <c r="H44" s="418">
        <f t="shared" si="2"/>
        <v>0</v>
      </c>
    </row>
    <row r="45" spans="1:8" ht="15" customHeight="1" x14ac:dyDescent="0.2">
      <c r="A45" s="299" t="s">
        <v>214</v>
      </c>
      <c r="B45" s="475">
        <v>0.79083399946709299</v>
      </c>
      <c r="C45" s="475">
        <v>0.79507309149972927</v>
      </c>
      <c r="D45" s="475">
        <v>0.79285523860303919</v>
      </c>
      <c r="E45" s="475">
        <v>2.0212391359462067E-3</v>
      </c>
      <c r="F45" s="476">
        <v>3751</v>
      </c>
      <c r="G45" s="419">
        <v>33</v>
      </c>
      <c r="H45" s="421">
        <f t="shared" si="2"/>
        <v>132000</v>
      </c>
    </row>
    <row r="46" spans="1:8" ht="15" customHeight="1" x14ac:dyDescent="0.2">
      <c r="A46" s="300" t="s">
        <v>215</v>
      </c>
      <c r="B46" s="478">
        <v>0.63172233422328772</v>
      </c>
      <c r="C46" s="478">
        <v>0.63960385264188935</v>
      </c>
      <c r="D46" s="478">
        <v>0.64209562782683605</v>
      </c>
      <c r="E46" s="478">
        <v>1.0373293603548328E-2</v>
      </c>
      <c r="F46" s="479">
        <v>18572</v>
      </c>
      <c r="G46" s="423">
        <v>282</v>
      </c>
      <c r="H46" s="422">
        <f>H37+H45</f>
        <v>1128000</v>
      </c>
    </row>
    <row r="47" spans="1:8" ht="15" customHeight="1" x14ac:dyDescent="0.2">
      <c r="A47" s="434" t="s">
        <v>278</v>
      </c>
      <c r="B47" s="439"/>
      <c r="C47" s="439"/>
      <c r="D47" s="439"/>
      <c r="E47" s="439"/>
      <c r="F47" s="439"/>
      <c r="G47" s="439"/>
      <c r="H47" s="436">
        <v>4000</v>
      </c>
    </row>
  </sheetData>
  <mergeCells count="4">
    <mergeCell ref="A1:H1"/>
    <mergeCell ref="A2:H2"/>
    <mergeCell ref="A3:H3"/>
    <mergeCell ref="B4:D4"/>
  </mergeCells>
  <printOptions horizontalCentered="1"/>
  <pageMargins left="0.2" right="0.2" top="0.5" bottom="0.5" header="0" footer="0.3"/>
  <pageSetup scale="95" orientation="portrait" r:id="rId1"/>
  <headerFooter>
    <oddFooter>&amp;LSource: System Office Research - Academic and Student Affairs   
&amp;Z&amp;F&amp;A
February 5,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39997558519241921"/>
    <pageSetUpPr fitToPage="1"/>
  </sheetPr>
  <dimension ref="A1:K44"/>
  <sheetViews>
    <sheetView topLeftCell="A15" zoomScale="80" zoomScaleNormal="80" workbookViewId="0">
      <selection activeCell="A43" sqref="A43"/>
    </sheetView>
  </sheetViews>
  <sheetFormatPr defaultRowHeight="15" customHeight="1" x14ac:dyDescent="0.2"/>
  <cols>
    <col min="1" max="1" width="6.85546875" customWidth="1"/>
    <col min="2" max="2" width="33.5703125" customWidth="1"/>
    <col min="3" max="3" width="16.7109375" customWidth="1"/>
    <col min="4" max="4" width="17.42578125" customWidth="1"/>
    <col min="5" max="5" width="13.140625" customWidth="1"/>
    <col min="6" max="6" width="13.5703125" customWidth="1"/>
    <col min="7" max="7" width="2.7109375" customWidth="1"/>
    <col min="8" max="8" width="21.42578125" style="11" customWidth="1"/>
    <col min="10" max="10" width="9.140625" customWidth="1"/>
    <col min="11" max="11" width="14.5703125" customWidth="1"/>
  </cols>
  <sheetData>
    <row r="1" spans="1:11" ht="15" customHeight="1" x14ac:dyDescent="0.25">
      <c r="A1" s="36" t="s">
        <v>254</v>
      </c>
      <c r="H1" s="449" t="s">
        <v>288</v>
      </c>
    </row>
    <row r="2" spans="1:11" ht="15" customHeight="1" x14ac:dyDescent="0.2">
      <c r="A2" s="4" t="s">
        <v>90</v>
      </c>
    </row>
    <row r="3" spans="1:11" ht="15" customHeight="1" x14ac:dyDescent="0.2">
      <c r="A3" s="4" t="s">
        <v>333</v>
      </c>
    </row>
    <row r="4" spans="1:11" ht="15" customHeight="1" x14ac:dyDescent="0.2">
      <c r="I4" s="87"/>
    </row>
    <row r="5" spans="1:11" ht="15" customHeight="1" x14ac:dyDescent="0.2">
      <c r="H5" s="205" t="s">
        <v>143</v>
      </c>
    </row>
    <row r="6" spans="1:11" ht="15" customHeight="1" x14ac:dyDescent="0.2">
      <c r="C6" s="205" t="s">
        <v>79</v>
      </c>
      <c r="D6" s="205" t="s">
        <v>74</v>
      </c>
      <c r="E6" s="205" t="s">
        <v>75</v>
      </c>
      <c r="F6" s="205" t="s">
        <v>76</v>
      </c>
      <c r="G6" s="205"/>
      <c r="H6" s="32" t="s">
        <v>77</v>
      </c>
    </row>
    <row r="7" spans="1:11" ht="61.5" customHeight="1" x14ac:dyDescent="0.2">
      <c r="A7" s="215" t="s">
        <v>0</v>
      </c>
      <c r="B7" s="216" t="s">
        <v>83</v>
      </c>
      <c r="C7" s="215" t="s">
        <v>144</v>
      </c>
      <c r="D7" s="31" t="s">
        <v>145</v>
      </c>
      <c r="E7" s="33" t="s">
        <v>92</v>
      </c>
      <c r="F7" s="217" t="s">
        <v>119</v>
      </c>
      <c r="H7" s="30" t="s">
        <v>91</v>
      </c>
    </row>
    <row r="8" spans="1:11" ht="15" customHeight="1" x14ac:dyDescent="0.2">
      <c r="B8" s="34"/>
      <c r="D8" s="11"/>
      <c r="F8" s="11"/>
    </row>
    <row r="9" spans="1:11" ht="15" customHeight="1" x14ac:dyDescent="0.2">
      <c r="A9" s="218" t="s">
        <v>2</v>
      </c>
      <c r="B9" s="219" t="s">
        <v>128</v>
      </c>
      <c r="C9" s="220">
        <v>5634.59</v>
      </c>
      <c r="D9" s="220">
        <v>40446.370000000003</v>
      </c>
      <c r="E9" s="220">
        <f>C9+D9</f>
        <v>46080.960000000006</v>
      </c>
      <c r="F9" s="221">
        <f>'Revenue Offset'!G8</f>
        <v>0.43189398698442066</v>
      </c>
      <c r="H9" s="35">
        <f>E9*(1-F9)</f>
        <v>26178.87046153039</v>
      </c>
    </row>
    <row r="10" spans="1:11" s="54" customFormat="1" ht="15" customHeight="1" x14ac:dyDescent="0.2">
      <c r="A10" s="218" t="s">
        <v>4</v>
      </c>
      <c r="B10" s="219" t="s">
        <v>124</v>
      </c>
      <c r="C10" s="222"/>
      <c r="D10" s="223">
        <v>54821.88</v>
      </c>
      <c r="E10" s="220">
        <f t="shared" ref="E10:E38" si="0">C10+D10</f>
        <v>54821.88</v>
      </c>
      <c r="F10" s="221">
        <f>'Revenue Offset'!G9</f>
        <v>0.52182607272056636</v>
      </c>
      <c r="H10" s="35">
        <f t="shared" ref="H10:H38" si="1">E10*(1-F10)</f>
        <v>26214.393660441838</v>
      </c>
    </row>
    <row r="11" spans="1:11" ht="15" customHeight="1" x14ac:dyDescent="0.2">
      <c r="A11" s="218" t="s">
        <v>5</v>
      </c>
      <c r="B11" s="219" t="s">
        <v>113</v>
      </c>
      <c r="C11" s="224"/>
      <c r="D11" s="224">
        <f>45955.57+6637.52</f>
        <v>52593.09</v>
      </c>
      <c r="E11" s="220">
        <f t="shared" si="0"/>
        <v>52593.09</v>
      </c>
      <c r="F11" s="221">
        <f>'Revenue Offset'!G10</f>
        <v>0.60331133611509846</v>
      </c>
      <c r="H11" s="35">
        <f t="shared" si="1"/>
        <v>20863.082601678376</v>
      </c>
      <c r="K11" s="24"/>
    </row>
    <row r="12" spans="1:11" ht="15" customHeight="1" x14ac:dyDescent="0.2">
      <c r="A12" s="218" t="s">
        <v>6</v>
      </c>
      <c r="B12" s="219" t="s">
        <v>7</v>
      </c>
      <c r="C12" s="220"/>
      <c r="D12" s="220">
        <v>35707.58</v>
      </c>
      <c r="E12" s="220">
        <f t="shared" si="0"/>
        <v>35707.58</v>
      </c>
      <c r="F12" s="221">
        <f>'Revenue Offset'!G11</f>
        <v>0.44707141814254192</v>
      </c>
      <c r="H12" s="35">
        <f t="shared" si="1"/>
        <v>19743.741570961734</v>
      </c>
    </row>
    <row r="13" spans="1:11" ht="15" customHeight="1" x14ac:dyDescent="0.2">
      <c r="A13" s="218" t="s">
        <v>8</v>
      </c>
      <c r="B13" s="219" t="s">
        <v>9</v>
      </c>
      <c r="C13" s="220"/>
      <c r="D13" s="220">
        <v>141020.65</v>
      </c>
      <c r="E13" s="220">
        <f t="shared" si="0"/>
        <v>141020.65</v>
      </c>
      <c r="F13" s="221">
        <f>'Revenue Offset'!G12</f>
        <v>0.51803310945854641</v>
      </c>
      <c r="H13" s="35">
        <f t="shared" si="1"/>
        <v>67967.284182634627</v>
      </c>
    </row>
    <row r="14" spans="1:11" ht="15" customHeight="1" x14ac:dyDescent="0.2">
      <c r="A14" s="218" t="s">
        <v>10</v>
      </c>
      <c r="B14" s="3" t="s">
        <v>146</v>
      </c>
      <c r="C14" s="220"/>
      <c r="D14" s="220">
        <v>450323.01</v>
      </c>
      <c r="E14" s="220">
        <f t="shared" si="0"/>
        <v>450323.01</v>
      </c>
      <c r="F14" s="221">
        <f>'Revenue Offset'!G13</f>
        <v>0.47498965898592527</v>
      </c>
      <c r="H14" s="35">
        <f t="shared" si="1"/>
        <v>236424.2370465846</v>
      </c>
    </row>
    <row r="15" spans="1:11" ht="15" customHeight="1" x14ac:dyDescent="0.2">
      <c r="A15" s="218" t="s">
        <v>12</v>
      </c>
      <c r="B15" s="219" t="s">
        <v>13</v>
      </c>
      <c r="C15" s="220"/>
      <c r="D15" s="220"/>
      <c r="E15" s="220">
        <f t="shared" si="0"/>
        <v>0</v>
      </c>
      <c r="F15" s="221">
        <f>'Revenue Offset'!G14</f>
        <v>0.37137337565983602</v>
      </c>
      <c r="H15" s="35">
        <f t="shared" si="1"/>
        <v>0</v>
      </c>
    </row>
    <row r="16" spans="1:11" ht="15" customHeight="1" x14ac:dyDescent="0.2">
      <c r="A16" s="218" t="s">
        <v>14</v>
      </c>
      <c r="B16" s="219" t="s">
        <v>139</v>
      </c>
      <c r="C16" s="220">
        <v>8372.64</v>
      </c>
      <c r="D16" s="220"/>
      <c r="E16" s="220">
        <f t="shared" si="0"/>
        <v>8372.64</v>
      </c>
      <c r="F16" s="221">
        <f>'Revenue Offset'!G15</f>
        <v>0.41562532518913137</v>
      </c>
      <c r="H16" s="35">
        <f t="shared" si="1"/>
        <v>4892.7587773084715</v>
      </c>
    </row>
    <row r="17" spans="1:8" ht="15" customHeight="1" x14ac:dyDescent="0.2">
      <c r="A17" s="218" t="s">
        <v>16</v>
      </c>
      <c r="B17" s="219" t="s">
        <v>17</v>
      </c>
      <c r="C17" s="220"/>
      <c r="D17" s="220">
        <v>1037.8699999999999</v>
      </c>
      <c r="E17" s="220">
        <f t="shared" si="0"/>
        <v>1037.8699999999999</v>
      </c>
      <c r="F17" s="221">
        <f>'Revenue Offset'!G16</f>
        <v>0.4746504215469754</v>
      </c>
      <c r="H17" s="35">
        <f t="shared" si="1"/>
        <v>545.24456698904066</v>
      </c>
    </row>
    <row r="18" spans="1:8" ht="15" customHeight="1" x14ac:dyDescent="0.2">
      <c r="A18" s="218" t="s">
        <v>18</v>
      </c>
      <c r="B18" s="219" t="s">
        <v>140</v>
      </c>
      <c r="C18" s="220">
        <v>360526.87</v>
      </c>
      <c r="D18" s="220"/>
      <c r="E18" s="220">
        <f t="shared" si="0"/>
        <v>360526.87</v>
      </c>
      <c r="F18" s="221">
        <f>'Revenue Offset'!G17</f>
        <v>0.60477428435049685</v>
      </c>
      <c r="H18" s="35">
        <f t="shared" si="1"/>
        <v>142489.4902066254</v>
      </c>
    </row>
    <row r="19" spans="1:8" ht="15" customHeight="1" x14ac:dyDescent="0.2">
      <c r="A19" s="218" t="s">
        <v>19</v>
      </c>
      <c r="B19" s="219" t="s">
        <v>129</v>
      </c>
      <c r="C19" s="220"/>
      <c r="D19" s="220">
        <v>74940.58</v>
      </c>
      <c r="E19" s="220">
        <f t="shared" si="0"/>
        <v>74940.58</v>
      </c>
      <c r="F19" s="221">
        <f>'Revenue Offset'!G18</f>
        <v>0.49407290039051827</v>
      </c>
      <c r="H19" s="35">
        <f t="shared" si="1"/>
        <v>37914.470282452341</v>
      </c>
    </row>
    <row r="20" spans="1:8" ht="15" customHeight="1" x14ac:dyDescent="0.2">
      <c r="A20" s="218" t="s">
        <v>21</v>
      </c>
      <c r="B20" s="225" t="s">
        <v>177</v>
      </c>
      <c r="C20" s="220">
        <v>6254.52</v>
      </c>
      <c r="D20" s="220"/>
      <c r="E20" s="220">
        <f t="shared" si="0"/>
        <v>6254.52</v>
      </c>
      <c r="F20" s="221">
        <f>'Revenue Offset'!G19</f>
        <v>0.41295315778383335</v>
      </c>
      <c r="H20" s="35">
        <f t="shared" si="1"/>
        <v>3671.6962155778588</v>
      </c>
    </row>
    <row r="21" spans="1:8" ht="15" customHeight="1" x14ac:dyDescent="0.2">
      <c r="A21" s="218" t="s">
        <v>109</v>
      </c>
      <c r="B21" s="219" t="s">
        <v>141</v>
      </c>
      <c r="C21" s="220"/>
      <c r="D21" s="220">
        <v>35952.050000000003</v>
      </c>
      <c r="E21" s="220">
        <f t="shared" si="0"/>
        <v>35952.050000000003</v>
      </c>
      <c r="F21" s="221">
        <f>'Revenue Offset'!G20</f>
        <v>0.46566472165938799</v>
      </c>
      <c r="H21" s="35">
        <f t="shared" si="1"/>
        <v>19210.448643665601</v>
      </c>
    </row>
    <row r="22" spans="1:8" ht="15" customHeight="1" x14ac:dyDescent="0.2">
      <c r="A22" s="218" t="s">
        <v>26</v>
      </c>
      <c r="B22" s="219" t="s">
        <v>62</v>
      </c>
      <c r="C22" s="220">
        <v>12024.63</v>
      </c>
      <c r="D22" s="220">
        <v>429963.56</v>
      </c>
      <c r="E22" s="220">
        <f t="shared" si="0"/>
        <v>441988.19</v>
      </c>
      <c r="F22" s="221">
        <f>'Revenue Offset'!G21</f>
        <v>0.60106540911517325</v>
      </c>
      <c r="H22" s="35">
        <f t="shared" si="1"/>
        <v>176324.37775357507</v>
      </c>
    </row>
    <row r="23" spans="1:8" ht="15" customHeight="1" x14ac:dyDescent="0.2">
      <c r="A23" s="218" t="s">
        <v>22</v>
      </c>
      <c r="B23" s="219" t="s">
        <v>23</v>
      </c>
      <c r="C23" s="220">
        <v>1072058.08</v>
      </c>
      <c r="D23" s="220">
        <v>982265.9</v>
      </c>
      <c r="E23" s="220">
        <f t="shared" si="0"/>
        <v>2054323.98</v>
      </c>
      <c r="F23" s="221">
        <f>'Revenue Offset'!G22</f>
        <v>0.65840774997756768</v>
      </c>
      <c r="H23" s="35">
        <f t="shared" si="1"/>
        <v>701741.15060323826</v>
      </c>
    </row>
    <row r="24" spans="1:8" ht="15" customHeight="1" x14ac:dyDescent="0.2">
      <c r="A24" s="218" t="s">
        <v>24</v>
      </c>
      <c r="B24" s="219" t="s">
        <v>137</v>
      </c>
      <c r="C24" s="220">
        <v>3500</v>
      </c>
      <c r="D24" s="220">
        <v>434978.66</v>
      </c>
      <c r="E24" s="220">
        <f t="shared" si="0"/>
        <v>438478.66</v>
      </c>
      <c r="F24" s="221">
        <f>'Revenue Offset'!G23</f>
        <v>0.45130534250595672</v>
      </c>
      <c r="H24" s="35">
        <f t="shared" si="1"/>
        <v>240590.89816714701</v>
      </c>
    </row>
    <row r="25" spans="1:8" ht="15" customHeight="1" x14ac:dyDescent="0.2">
      <c r="A25" s="218" t="s">
        <v>27</v>
      </c>
      <c r="B25" s="219" t="s">
        <v>132</v>
      </c>
      <c r="C25" s="220">
        <v>85650.17</v>
      </c>
      <c r="D25" s="220"/>
      <c r="E25" s="220">
        <f t="shared" si="0"/>
        <v>85650.17</v>
      </c>
      <c r="F25" s="221">
        <f>'Revenue Offset'!G24</f>
        <v>0.56288057914139755</v>
      </c>
      <c r="H25" s="35">
        <f t="shared" si="1"/>
        <v>37439.352706840844</v>
      </c>
    </row>
    <row r="26" spans="1:8" ht="15" customHeight="1" x14ac:dyDescent="0.2">
      <c r="A26" s="218" t="s">
        <v>29</v>
      </c>
      <c r="B26" s="219" t="s">
        <v>133</v>
      </c>
      <c r="C26" s="220">
        <v>2302.27</v>
      </c>
      <c r="D26" s="220"/>
      <c r="E26" s="220">
        <f t="shared" si="0"/>
        <v>2302.27</v>
      </c>
      <c r="F26" s="221">
        <f>'Revenue Offset'!G25</f>
        <v>0.50318294909194183</v>
      </c>
      <c r="H26" s="35">
        <f t="shared" si="1"/>
        <v>1143.806991794095</v>
      </c>
    </row>
    <row r="27" spans="1:8" ht="15" customHeight="1" x14ac:dyDescent="0.2">
      <c r="A27" s="218" t="s">
        <v>118</v>
      </c>
      <c r="B27" s="219" t="s">
        <v>63</v>
      </c>
      <c r="C27" s="224"/>
      <c r="D27" s="224">
        <f>24003.46+98215.15+97632.16+2691.25+75335.67</f>
        <v>297877.69</v>
      </c>
      <c r="E27" s="220">
        <f t="shared" si="0"/>
        <v>297877.69</v>
      </c>
      <c r="F27" s="221">
        <f>'Revenue Offset'!G26</f>
        <v>0.44045886889908031</v>
      </c>
      <c r="H27" s="35">
        <f t="shared" si="1"/>
        <v>166674.81959232912</v>
      </c>
    </row>
    <row r="28" spans="1:8" ht="15" customHeight="1" x14ac:dyDescent="0.2">
      <c r="A28" s="218" t="s">
        <v>31</v>
      </c>
      <c r="B28" s="219" t="s">
        <v>134</v>
      </c>
      <c r="C28" s="220">
        <v>136403.85999999999</v>
      </c>
      <c r="D28" s="220">
        <v>73129.16</v>
      </c>
      <c r="E28" s="220">
        <f t="shared" si="0"/>
        <v>209533.02</v>
      </c>
      <c r="F28" s="221">
        <f>'Revenue Offset'!G27</f>
        <v>0.44348139651553148</v>
      </c>
      <c r="H28" s="35">
        <f t="shared" si="1"/>
        <v>116609.02367428319</v>
      </c>
    </row>
    <row r="29" spans="1:8" ht="15" customHeight="1" x14ac:dyDescent="0.2">
      <c r="A29" s="218" t="s">
        <v>33</v>
      </c>
      <c r="B29" s="219" t="s">
        <v>130</v>
      </c>
      <c r="C29" s="220"/>
      <c r="D29" s="220"/>
      <c r="E29" s="220">
        <f t="shared" si="0"/>
        <v>0</v>
      </c>
      <c r="F29" s="221">
        <f>'Revenue Offset'!G28</f>
        <v>0.380324902041413</v>
      </c>
      <c r="H29" s="35">
        <f t="shared" si="1"/>
        <v>0</v>
      </c>
    </row>
    <row r="30" spans="1:8" ht="15" customHeight="1" x14ac:dyDescent="0.2">
      <c r="A30" s="218" t="s">
        <v>35</v>
      </c>
      <c r="B30" s="219" t="s">
        <v>36</v>
      </c>
      <c r="C30" s="220"/>
      <c r="D30" s="220"/>
      <c r="E30" s="220">
        <f t="shared" si="0"/>
        <v>0</v>
      </c>
      <c r="F30" s="221">
        <f>'Revenue Offset'!G29</f>
        <v>0.46032326616888825</v>
      </c>
      <c r="H30" s="35">
        <f t="shared" si="1"/>
        <v>0</v>
      </c>
    </row>
    <row r="31" spans="1:8" ht="15" customHeight="1" x14ac:dyDescent="0.2">
      <c r="A31" s="218" t="s">
        <v>37</v>
      </c>
      <c r="B31" s="219" t="s">
        <v>131</v>
      </c>
      <c r="C31" s="220"/>
      <c r="D31" s="220"/>
      <c r="E31" s="220">
        <f t="shared" si="0"/>
        <v>0</v>
      </c>
      <c r="F31" s="221">
        <f>'Revenue Offset'!G30</f>
        <v>0.49130897549732494</v>
      </c>
      <c r="H31" s="35">
        <f t="shared" si="1"/>
        <v>0</v>
      </c>
    </row>
    <row r="32" spans="1:8" ht="15" customHeight="1" x14ac:dyDescent="0.2">
      <c r="A32" s="218" t="s">
        <v>39</v>
      </c>
      <c r="B32" s="219" t="s">
        <v>135</v>
      </c>
      <c r="C32" s="220"/>
      <c r="D32" s="220">
        <v>48447.83</v>
      </c>
      <c r="E32" s="220">
        <f t="shared" si="0"/>
        <v>48447.83</v>
      </c>
      <c r="F32" s="221">
        <f>'Revenue Offset'!G31</f>
        <v>0.52140415580283517</v>
      </c>
      <c r="H32" s="35">
        <f t="shared" si="1"/>
        <v>23186.930098370729</v>
      </c>
    </row>
    <row r="33" spans="1:9" ht="15" customHeight="1" x14ac:dyDescent="0.2">
      <c r="A33" s="218" t="s">
        <v>46</v>
      </c>
      <c r="B33" s="219" t="s">
        <v>70</v>
      </c>
      <c r="C33" s="220"/>
      <c r="D33" s="220"/>
      <c r="E33" s="220">
        <f t="shared" si="0"/>
        <v>0</v>
      </c>
      <c r="F33" s="221">
        <f>'Revenue Offset'!G32</f>
        <v>0.51643028773127342</v>
      </c>
      <c r="H33" s="35">
        <f t="shared" si="1"/>
        <v>0</v>
      </c>
    </row>
    <row r="34" spans="1:9" ht="15" customHeight="1" x14ac:dyDescent="0.2">
      <c r="A34" s="218" t="s">
        <v>41</v>
      </c>
      <c r="B34" s="219" t="s">
        <v>117</v>
      </c>
      <c r="C34" s="220"/>
      <c r="D34" s="220">
        <v>11404.32</v>
      </c>
      <c r="E34" s="220">
        <f t="shared" si="0"/>
        <v>11404.32</v>
      </c>
      <c r="F34" s="221">
        <f>'Revenue Offset'!G33</f>
        <v>0.45304319568106771</v>
      </c>
      <c r="H34" s="35">
        <f t="shared" si="1"/>
        <v>6237.6704226304864</v>
      </c>
    </row>
    <row r="35" spans="1:9" ht="15" customHeight="1" x14ac:dyDescent="0.2">
      <c r="A35" s="218" t="s">
        <v>42</v>
      </c>
      <c r="B35" s="219" t="s">
        <v>69</v>
      </c>
      <c r="C35" s="220">
        <v>117433.91</v>
      </c>
      <c r="D35" s="220">
        <v>215174.62</v>
      </c>
      <c r="E35" s="220">
        <f t="shared" si="0"/>
        <v>332608.53000000003</v>
      </c>
      <c r="F35" s="221">
        <f>'Revenue Offset'!G34</f>
        <v>0.51707333893728968</v>
      </c>
      <c r="H35" s="35">
        <f t="shared" si="1"/>
        <v>160625.52683387633</v>
      </c>
    </row>
    <row r="36" spans="1:9" ht="15" customHeight="1" x14ac:dyDescent="0.2">
      <c r="A36" s="218" t="s">
        <v>43</v>
      </c>
      <c r="B36" s="219" t="s">
        <v>44</v>
      </c>
      <c r="C36" s="220">
        <v>1080577.3999999999</v>
      </c>
      <c r="D36" s="220">
        <v>1244127.06</v>
      </c>
      <c r="E36" s="220">
        <f t="shared" si="0"/>
        <v>2324704.46</v>
      </c>
      <c r="F36" s="221">
        <f>'Revenue Offset'!G35</f>
        <v>0.57438643744397688</v>
      </c>
      <c r="H36" s="35">
        <f t="shared" si="1"/>
        <v>989425.7471104759</v>
      </c>
    </row>
    <row r="37" spans="1:9" ht="15" customHeight="1" x14ac:dyDescent="0.2">
      <c r="A37" s="218" t="s">
        <v>45</v>
      </c>
      <c r="B37" s="219" t="s">
        <v>136</v>
      </c>
      <c r="C37" s="220"/>
      <c r="D37" s="220">
        <v>30555</v>
      </c>
      <c r="E37" s="220">
        <f t="shared" si="0"/>
        <v>30555</v>
      </c>
      <c r="F37" s="221">
        <f>'Revenue Offset'!G36</f>
        <v>0.51691673131840032</v>
      </c>
      <c r="H37" s="35">
        <f t="shared" si="1"/>
        <v>14760.609274566277</v>
      </c>
    </row>
    <row r="38" spans="1:9" ht="15" customHeight="1" x14ac:dyDescent="0.2">
      <c r="A38" s="218" t="s">
        <v>47</v>
      </c>
      <c r="B38" s="219" t="s">
        <v>48</v>
      </c>
      <c r="C38" s="220">
        <v>50716.18</v>
      </c>
      <c r="D38" s="220">
        <v>206608.28</v>
      </c>
      <c r="E38" s="220">
        <f t="shared" si="0"/>
        <v>257324.46</v>
      </c>
      <c r="F38" s="221">
        <f>'Revenue Offset'!G37</f>
        <v>0.60938273428233869</v>
      </c>
      <c r="H38" s="35">
        <f t="shared" si="1"/>
        <v>100515.37696747371</v>
      </c>
    </row>
    <row r="39" spans="1:9" ht="15" customHeight="1" x14ac:dyDescent="0.2">
      <c r="D39" s="11"/>
      <c r="F39" s="11"/>
      <c r="G39" s="15"/>
      <c r="I39" s="6"/>
    </row>
    <row r="40" spans="1:9" ht="15" customHeight="1" x14ac:dyDescent="0.2">
      <c r="B40" t="s">
        <v>49</v>
      </c>
      <c r="C40" s="226">
        <f>SUM(C9:C39)</f>
        <v>2941455.1199999996</v>
      </c>
      <c r="D40" s="226">
        <f>SUM(D9:D39)</f>
        <v>4861375.1600000011</v>
      </c>
      <c r="E40" s="226">
        <f>SUM(E9:E39)</f>
        <v>7802830.2800000003</v>
      </c>
      <c r="F40" s="227">
        <f>'[1]Revenue Offset (2)'!G40</f>
        <v>0.58953142624222721</v>
      </c>
      <c r="H40" s="226">
        <f>SUM(H9:H39)</f>
        <v>3341391.0084130517</v>
      </c>
    </row>
    <row r="42" spans="1:9" ht="15" customHeight="1" x14ac:dyDescent="0.2">
      <c r="A42" s="16" t="s">
        <v>320</v>
      </c>
    </row>
    <row r="43" spans="1:9" ht="15" customHeight="1" x14ac:dyDescent="0.2">
      <c r="A43" s="16" t="s">
        <v>306</v>
      </c>
    </row>
    <row r="44" spans="1:9" ht="15" customHeight="1" x14ac:dyDescent="0.2">
      <c r="A44" s="16"/>
    </row>
  </sheetData>
  <phoneticPr fontId="11" type="noConversion"/>
  <pageMargins left="0.75" right="0.53" top="0.47" bottom="0.28999999999999998" header="0.5" footer="0.28999999999999998"/>
  <pageSetup scale="1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39997558519241921"/>
    <pageSetUpPr fitToPage="1"/>
  </sheetPr>
  <dimension ref="A1:S47"/>
  <sheetViews>
    <sheetView zoomScale="90" zoomScaleNormal="90" workbookViewId="0">
      <selection activeCell="G26" sqref="G26"/>
    </sheetView>
  </sheetViews>
  <sheetFormatPr defaultColWidth="9.140625" defaultRowHeight="12.75" x14ac:dyDescent="0.2"/>
  <cols>
    <col min="1" max="1" width="6" style="239" customWidth="1"/>
    <col min="2" max="2" width="31.85546875" style="229" customWidth="1"/>
    <col min="3" max="3" width="14.7109375" style="230" customWidth="1"/>
    <col min="4" max="4" width="11.5703125" style="231" bestFit="1" customWidth="1"/>
    <col min="5" max="5" width="14.7109375" style="231" customWidth="1"/>
    <col min="6" max="6" width="15.140625" style="229" customWidth="1"/>
    <col min="7" max="7" width="13.5703125" style="232" customWidth="1"/>
    <col min="8" max="8" width="2.42578125" style="232" customWidth="1"/>
    <col min="9" max="9" width="10.7109375" style="229" hidden="1" customWidth="1"/>
    <col min="10" max="10" width="9.140625" style="229" hidden="1" customWidth="1"/>
    <col min="11" max="11" width="0" style="229" hidden="1" customWidth="1"/>
    <col min="12" max="12" width="11.140625" style="229" hidden="1" customWidth="1"/>
    <col min="13" max="13" width="10.140625" style="229" hidden="1" customWidth="1"/>
    <col min="14" max="14" width="0" style="229" hidden="1" customWidth="1"/>
    <col min="15" max="15" width="10.5703125" style="229" bestFit="1" customWidth="1"/>
    <col min="16" max="16384" width="9.140625" style="229"/>
  </cols>
  <sheetData>
    <row r="1" spans="1:12" ht="15.75" x14ac:dyDescent="0.25">
      <c r="A1" s="228" t="s">
        <v>254</v>
      </c>
      <c r="G1" s="450" t="s">
        <v>289</v>
      </c>
    </row>
    <row r="2" spans="1:12" x14ac:dyDescent="0.2">
      <c r="A2" s="233" t="s">
        <v>93</v>
      </c>
    </row>
    <row r="3" spans="1:12" x14ac:dyDescent="0.2">
      <c r="A3" s="233" t="s">
        <v>317</v>
      </c>
    </row>
    <row r="4" spans="1:12" s="235" customFormat="1" ht="12.75" customHeight="1" x14ac:dyDescent="0.2">
      <c r="A4" s="234" t="s">
        <v>158</v>
      </c>
      <c r="C4" s="236"/>
      <c r="D4" s="237"/>
      <c r="E4" s="237" t="s">
        <v>94</v>
      </c>
      <c r="G4" s="238" t="s">
        <v>159</v>
      </c>
      <c r="H4" s="238"/>
    </row>
    <row r="5" spans="1:12" x14ac:dyDescent="0.2">
      <c r="C5" s="236" t="s">
        <v>79</v>
      </c>
      <c r="D5" s="237" t="s">
        <v>74</v>
      </c>
      <c r="E5" s="237" t="s">
        <v>160</v>
      </c>
      <c r="F5" s="235" t="s">
        <v>76</v>
      </c>
      <c r="G5" s="238" t="s">
        <v>77</v>
      </c>
      <c r="H5" s="238"/>
    </row>
    <row r="6" spans="1:12" s="246" customFormat="1" ht="47.25" x14ac:dyDescent="0.25">
      <c r="A6" s="240" t="s">
        <v>0</v>
      </c>
      <c r="B6" s="240" t="s">
        <v>1</v>
      </c>
      <c r="C6" s="241" t="s">
        <v>318</v>
      </c>
      <c r="D6" s="242" t="s">
        <v>95</v>
      </c>
      <c r="E6" s="242" t="s">
        <v>96</v>
      </c>
      <c r="F6" s="243" t="s">
        <v>319</v>
      </c>
      <c r="G6" s="245" t="s">
        <v>119</v>
      </c>
      <c r="H6" s="244"/>
      <c r="I6" s="245" t="s">
        <v>303</v>
      </c>
      <c r="L6" s="469"/>
    </row>
    <row r="7" spans="1:12" s="246" customFormat="1" x14ac:dyDescent="0.2">
      <c r="A7" s="122"/>
      <c r="B7" s="122"/>
      <c r="C7" s="206"/>
      <c r="D7" s="248"/>
      <c r="E7" s="248"/>
      <c r="G7" s="249"/>
      <c r="H7" s="249"/>
    </row>
    <row r="8" spans="1:12" x14ac:dyDescent="0.2">
      <c r="A8" s="250" t="s">
        <v>2</v>
      </c>
      <c r="B8" s="251" t="s">
        <v>128</v>
      </c>
      <c r="C8" s="252">
        <v>22003002.77</v>
      </c>
      <c r="D8" s="485">
        <v>825926.0900000002</v>
      </c>
      <c r="E8" s="253">
        <f t="shared" ref="E8:E37" si="0">C8-D8</f>
        <v>21177076.68</v>
      </c>
      <c r="F8" s="486">
        <v>12030824.600000001</v>
      </c>
      <c r="G8" s="404">
        <f>(E8-F8)/E8</f>
        <v>0.43189398698442066</v>
      </c>
      <c r="H8" s="254"/>
      <c r="I8" s="232">
        <v>0.44402401863866087</v>
      </c>
      <c r="J8" s="293">
        <f>I8-G8</f>
        <v>1.2130031654240203E-2</v>
      </c>
      <c r="L8" s="232">
        <v>0.43189398698442066</v>
      </c>
    </row>
    <row r="9" spans="1:12" x14ac:dyDescent="0.2">
      <c r="A9" s="250" t="s">
        <v>4</v>
      </c>
      <c r="B9" s="251" t="s">
        <v>124</v>
      </c>
      <c r="C9" s="252">
        <v>67159021.209999993</v>
      </c>
      <c r="D9" s="485">
        <v>571960.01000000013</v>
      </c>
      <c r="E9" s="253">
        <f t="shared" si="0"/>
        <v>66587061.199999996</v>
      </c>
      <c r="F9" s="486">
        <v>31840196.559999999</v>
      </c>
      <c r="G9" s="404">
        <f t="shared" ref="G9:G37" si="1">(E9-F9)/E9</f>
        <v>0.52182607272056636</v>
      </c>
      <c r="H9" s="254"/>
      <c r="I9" s="232">
        <v>0.52294831349281878</v>
      </c>
      <c r="J9" s="293">
        <f t="shared" ref="J9:J37" si="2">I9-G9</f>
        <v>1.1222407722524252E-3</v>
      </c>
      <c r="L9" s="232">
        <v>0.52182607272056636</v>
      </c>
    </row>
    <row r="10" spans="1:12" x14ac:dyDescent="0.2">
      <c r="A10" s="250" t="s">
        <v>5</v>
      </c>
      <c r="B10" s="251" t="s">
        <v>113</v>
      </c>
      <c r="C10" s="255">
        <v>69302157.939999998</v>
      </c>
      <c r="D10" s="485">
        <v>2110762</v>
      </c>
      <c r="E10" s="253">
        <f t="shared" si="0"/>
        <v>67191395.939999998</v>
      </c>
      <c r="F10" s="486">
        <v>26654065.079999998</v>
      </c>
      <c r="G10" s="404">
        <f t="shared" si="1"/>
        <v>0.60331133611509846</v>
      </c>
      <c r="H10" s="254"/>
      <c r="I10" s="232">
        <v>0.61433220072252825</v>
      </c>
      <c r="J10" s="293">
        <f t="shared" si="2"/>
        <v>1.1020864607429792E-2</v>
      </c>
      <c r="L10" s="232">
        <v>0.60405412375045631</v>
      </c>
    </row>
    <row r="11" spans="1:12" x14ac:dyDescent="0.2">
      <c r="A11" s="250" t="s">
        <v>6</v>
      </c>
      <c r="B11" s="251" t="s">
        <v>7</v>
      </c>
      <c r="C11" s="252">
        <v>29209363.559999999</v>
      </c>
      <c r="D11" s="485">
        <v>806865.85000000009</v>
      </c>
      <c r="E11" s="253">
        <f t="shared" si="0"/>
        <v>28402497.709999997</v>
      </c>
      <c r="F11" s="486">
        <v>15704552.779999999</v>
      </c>
      <c r="G11" s="404">
        <f t="shared" si="1"/>
        <v>0.44707141814254192</v>
      </c>
      <c r="H11" s="254"/>
      <c r="I11" s="232">
        <v>0.44595293826179216</v>
      </c>
      <c r="J11" s="293">
        <f t="shared" si="2"/>
        <v>-1.1184798807497565E-3</v>
      </c>
      <c r="L11" s="232">
        <v>0.44707141814254192</v>
      </c>
    </row>
    <row r="12" spans="1:12" x14ac:dyDescent="0.2">
      <c r="A12" s="250" t="s">
        <v>8</v>
      </c>
      <c r="B12" s="251" t="s">
        <v>9</v>
      </c>
      <c r="C12" s="252">
        <v>60873620.119999997</v>
      </c>
      <c r="D12" s="485">
        <v>388498.71000000008</v>
      </c>
      <c r="E12" s="253">
        <f t="shared" si="0"/>
        <v>60485121.409999996</v>
      </c>
      <c r="F12" s="486">
        <v>29151825.890000001</v>
      </c>
      <c r="G12" s="404">
        <f t="shared" si="1"/>
        <v>0.51803310945854641</v>
      </c>
      <c r="H12" s="254"/>
      <c r="I12" s="232">
        <v>0.52285817428189341</v>
      </c>
      <c r="J12" s="293">
        <f t="shared" si="2"/>
        <v>4.8250648233469917E-3</v>
      </c>
      <c r="L12" s="232">
        <v>0.51803310945854641</v>
      </c>
    </row>
    <row r="13" spans="1:12" x14ac:dyDescent="0.2">
      <c r="A13" s="250" t="s">
        <v>10</v>
      </c>
      <c r="B13" s="3" t="s">
        <v>146</v>
      </c>
      <c r="C13" s="252">
        <v>55595462.949999988</v>
      </c>
      <c r="D13" s="485">
        <v>1441538.01</v>
      </c>
      <c r="E13" s="253">
        <f t="shared" si="0"/>
        <v>54153924.93999999</v>
      </c>
      <c r="F13" s="486">
        <v>28431370.600000001</v>
      </c>
      <c r="G13" s="404">
        <f t="shared" si="1"/>
        <v>0.47498965898592527</v>
      </c>
      <c r="H13" s="254"/>
      <c r="I13" s="232">
        <v>0.49115993716738748</v>
      </c>
      <c r="J13" s="293">
        <f t="shared" si="2"/>
        <v>1.6170278181462217E-2</v>
      </c>
      <c r="L13" s="232">
        <v>0.47498965898592527</v>
      </c>
    </row>
    <row r="14" spans="1:12" x14ac:dyDescent="0.2">
      <c r="A14" s="250" t="s">
        <v>12</v>
      </c>
      <c r="B14" s="251" t="s">
        <v>13</v>
      </c>
      <c r="C14" s="252">
        <v>10138659.9</v>
      </c>
      <c r="D14" s="485">
        <v>10632</v>
      </c>
      <c r="E14" s="253">
        <f t="shared" si="0"/>
        <v>10128027.9</v>
      </c>
      <c r="F14" s="486">
        <v>6366747.9900000002</v>
      </c>
      <c r="G14" s="404">
        <f t="shared" si="1"/>
        <v>0.37137337565983602</v>
      </c>
      <c r="H14" s="254"/>
      <c r="I14" s="232">
        <v>0.36664620415479249</v>
      </c>
      <c r="J14" s="293">
        <f t="shared" si="2"/>
        <v>-4.727171505043537E-3</v>
      </c>
      <c r="L14" s="232">
        <v>0.37137337565983602</v>
      </c>
    </row>
    <row r="15" spans="1:12" x14ac:dyDescent="0.2">
      <c r="A15" s="250" t="s">
        <v>14</v>
      </c>
      <c r="B15" s="251" t="s">
        <v>139</v>
      </c>
      <c r="C15" s="252">
        <v>39380366.569999985</v>
      </c>
      <c r="D15" s="485">
        <v>1612729.81</v>
      </c>
      <c r="E15" s="253">
        <f t="shared" si="0"/>
        <v>37767636.759999983</v>
      </c>
      <c r="F15" s="486">
        <v>22070450.449999999</v>
      </c>
      <c r="G15" s="404">
        <f t="shared" si="1"/>
        <v>0.41562532518913137</v>
      </c>
      <c r="H15" s="254"/>
      <c r="I15" s="232">
        <v>0.44116155475212726</v>
      </c>
      <c r="J15" s="293">
        <f t="shared" si="2"/>
        <v>2.5536229562995894E-2</v>
      </c>
      <c r="L15" s="232">
        <v>0.41562532518913137</v>
      </c>
    </row>
    <row r="16" spans="1:12" x14ac:dyDescent="0.2">
      <c r="A16" s="250" t="s">
        <v>16</v>
      </c>
      <c r="B16" s="251" t="s">
        <v>17</v>
      </c>
      <c r="C16" s="252">
        <v>35255284.239999995</v>
      </c>
      <c r="D16" s="485">
        <v>2323508.4099999997</v>
      </c>
      <c r="E16" s="253">
        <f t="shared" si="0"/>
        <v>32931775.829999994</v>
      </c>
      <c r="F16" s="486">
        <v>17300694.550000001</v>
      </c>
      <c r="G16" s="404">
        <f t="shared" si="1"/>
        <v>0.4746504215469754</v>
      </c>
      <c r="H16" s="254"/>
      <c r="I16" s="232">
        <v>0.48449966456626248</v>
      </c>
      <c r="J16" s="293">
        <f t="shared" si="2"/>
        <v>9.8492430192870795E-3</v>
      </c>
      <c r="L16" s="232">
        <v>0.4746504215469754</v>
      </c>
    </row>
    <row r="17" spans="1:19" x14ac:dyDescent="0.2">
      <c r="A17" s="250" t="s">
        <v>18</v>
      </c>
      <c r="B17" s="251" t="s">
        <v>140</v>
      </c>
      <c r="C17" s="252">
        <v>83049801.000000015</v>
      </c>
      <c r="D17" s="485">
        <v>258858.31999999998</v>
      </c>
      <c r="E17" s="253">
        <f t="shared" si="0"/>
        <v>82790942.680000022</v>
      </c>
      <c r="F17" s="486">
        <v>32721109.57</v>
      </c>
      <c r="G17" s="404">
        <f t="shared" si="1"/>
        <v>0.60477428435049685</v>
      </c>
      <c r="H17" s="254"/>
      <c r="I17" s="232">
        <v>0.61116821351728845</v>
      </c>
      <c r="J17" s="293">
        <f t="shared" si="2"/>
        <v>6.3939291667916009E-3</v>
      </c>
      <c r="L17" s="232">
        <v>0.60477428435049685</v>
      </c>
    </row>
    <row r="18" spans="1:19" x14ac:dyDescent="0.2">
      <c r="A18" s="250" t="s">
        <v>19</v>
      </c>
      <c r="B18" s="251" t="s">
        <v>20</v>
      </c>
      <c r="C18" s="252">
        <v>52302092.079999991</v>
      </c>
      <c r="D18" s="485">
        <v>73199.3</v>
      </c>
      <c r="E18" s="253">
        <f t="shared" si="0"/>
        <v>52228892.779999994</v>
      </c>
      <c r="F18" s="486">
        <v>26424012.239999998</v>
      </c>
      <c r="G18" s="404">
        <f t="shared" si="1"/>
        <v>0.49407290039051827</v>
      </c>
      <c r="H18" s="254"/>
      <c r="I18" s="232">
        <v>0.48670802933762197</v>
      </c>
      <c r="J18" s="293">
        <f t="shared" si="2"/>
        <v>-7.3648710528962935E-3</v>
      </c>
      <c r="L18" s="232">
        <v>0.49407290039051827</v>
      </c>
    </row>
    <row r="19" spans="1:19" x14ac:dyDescent="0.2">
      <c r="A19" s="250" t="s">
        <v>21</v>
      </c>
      <c r="B19" s="256" t="s">
        <v>177</v>
      </c>
      <c r="C19" s="252">
        <v>16298621.780000001</v>
      </c>
      <c r="D19" s="485">
        <v>539782.63</v>
      </c>
      <c r="E19" s="253">
        <f t="shared" si="0"/>
        <v>15758839.15</v>
      </c>
      <c r="F19" s="486">
        <v>9251176.7599999998</v>
      </c>
      <c r="G19" s="404">
        <f>(E19-F19)/E19</f>
        <v>0.41295315778383335</v>
      </c>
      <c r="H19" s="254"/>
      <c r="I19" s="232">
        <v>0.40223203366520849</v>
      </c>
      <c r="J19" s="293">
        <f t="shared" si="2"/>
        <v>-1.0721124118624858E-2</v>
      </c>
      <c r="L19" s="232">
        <v>0.41295315778383335</v>
      </c>
    </row>
    <row r="20" spans="1:19" x14ac:dyDescent="0.2">
      <c r="A20" s="257" t="s">
        <v>109</v>
      </c>
      <c r="B20" s="251" t="s">
        <v>141</v>
      </c>
      <c r="C20" s="252">
        <v>43344137.200000003</v>
      </c>
      <c r="D20" s="485">
        <v>536660.72</v>
      </c>
      <c r="E20" s="253">
        <f>C20-D20</f>
        <v>42807476.480000004</v>
      </c>
      <c r="F20" s="486">
        <v>22873544.860000003</v>
      </c>
      <c r="G20" s="404">
        <f t="shared" si="1"/>
        <v>0.46566472165938799</v>
      </c>
      <c r="H20" s="254"/>
      <c r="I20" s="232">
        <v>0.48301278402964265</v>
      </c>
      <c r="J20" s="293">
        <f t="shared" si="2"/>
        <v>1.7348062370254658E-2</v>
      </c>
      <c r="L20" s="232">
        <v>0.46566472165938799</v>
      </c>
    </row>
    <row r="21" spans="1:19" x14ac:dyDescent="0.2">
      <c r="A21" s="250" t="s">
        <v>26</v>
      </c>
      <c r="B21" s="251" t="s">
        <v>62</v>
      </c>
      <c r="C21" s="252">
        <v>76425533.809999987</v>
      </c>
      <c r="D21" s="485">
        <v>170535.76</v>
      </c>
      <c r="E21" s="253">
        <f t="shared" si="0"/>
        <v>76254998.049999982</v>
      </c>
      <c r="F21" s="486">
        <v>30420756.449999999</v>
      </c>
      <c r="G21" s="404">
        <f t="shared" si="1"/>
        <v>0.60106540911517325</v>
      </c>
      <c r="H21" s="254"/>
      <c r="I21" s="232">
        <v>0.59562144533473793</v>
      </c>
      <c r="J21" s="293">
        <f t="shared" si="2"/>
        <v>-5.4439637804353236E-3</v>
      </c>
      <c r="L21" s="232">
        <v>0.60106540911517325</v>
      </c>
    </row>
    <row r="22" spans="1:19" x14ac:dyDescent="0.2">
      <c r="A22" s="250" t="s">
        <v>22</v>
      </c>
      <c r="B22" s="251" t="s">
        <v>23</v>
      </c>
      <c r="C22" s="252">
        <v>191517996.76000005</v>
      </c>
      <c r="D22" s="485">
        <v>7436378</v>
      </c>
      <c r="E22" s="253">
        <f t="shared" si="0"/>
        <v>184081618.76000005</v>
      </c>
      <c r="F22" s="486">
        <v>62880854.340000004</v>
      </c>
      <c r="G22" s="404">
        <f t="shared" si="1"/>
        <v>0.65840774997756768</v>
      </c>
      <c r="H22" s="254"/>
      <c r="I22" s="232">
        <v>0.6573430933426625</v>
      </c>
      <c r="J22" s="293">
        <f t="shared" si="2"/>
        <v>-1.0646566349051811E-3</v>
      </c>
      <c r="L22" s="232">
        <v>0.65869299214962396</v>
      </c>
    </row>
    <row r="23" spans="1:19" x14ac:dyDescent="0.2">
      <c r="A23" s="250" t="s">
        <v>24</v>
      </c>
      <c r="B23" s="251" t="s">
        <v>137</v>
      </c>
      <c r="C23" s="252">
        <v>25842633.809999984</v>
      </c>
      <c r="D23" s="485">
        <v>247131.97999999998</v>
      </c>
      <c r="E23" s="253">
        <f t="shared" si="0"/>
        <v>25595501.829999983</v>
      </c>
      <c r="F23" s="486">
        <v>14044115.109999999</v>
      </c>
      <c r="G23" s="404">
        <f t="shared" si="1"/>
        <v>0.45130534250595672</v>
      </c>
      <c r="H23" s="254"/>
      <c r="I23" s="232">
        <v>0.45377253973023318</v>
      </c>
      <c r="J23" s="293">
        <f t="shared" si="2"/>
        <v>2.4671972242764628E-3</v>
      </c>
      <c r="L23" s="232">
        <v>0.45130534250595672</v>
      </c>
    </row>
    <row r="24" spans="1:19" x14ac:dyDescent="0.2">
      <c r="A24" s="250" t="s">
        <v>27</v>
      </c>
      <c r="B24" s="251" t="s">
        <v>132</v>
      </c>
      <c r="C24" s="252">
        <v>66562527.230000012</v>
      </c>
      <c r="D24" s="485">
        <v>175788.24000000002</v>
      </c>
      <c r="E24" s="253">
        <f t="shared" si="0"/>
        <v>66386738.99000001</v>
      </c>
      <c r="F24" s="486">
        <v>29018932.900000002</v>
      </c>
      <c r="G24" s="404">
        <f t="shared" si="1"/>
        <v>0.56288057914139755</v>
      </c>
      <c r="H24" s="254"/>
      <c r="I24" s="232">
        <v>0.57396444678620484</v>
      </c>
      <c r="J24" s="293">
        <f t="shared" si="2"/>
        <v>1.1083867644807288E-2</v>
      </c>
      <c r="L24" s="232">
        <v>0.56288057914139755</v>
      </c>
    </row>
    <row r="25" spans="1:19" x14ac:dyDescent="0.2">
      <c r="A25" s="250" t="s">
        <v>29</v>
      </c>
      <c r="B25" s="251" t="s">
        <v>133</v>
      </c>
      <c r="C25" s="252">
        <v>42732394.110000014</v>
      </c>
      <c r="D25" s="485">
        <v>514221.24</v>
      </c>
      <c r="E25" s="253">
        <f t="shared" si="0"/>
        <v>42218172.870000012</v>
      </c>
      <c r="F25" s="486">
        <v>20974708.139999997</v>
      </c>
      <c r="G25" s="404">
        <f t="shared" si="1"/>
        <v>0.50318294909194183</v>
      </c>
      <c r="H25" s="254"/>
      <c r="I25" s="232">
        <v>0.5221964888221784</v>
      </c>
      <c r="J25" s="293">
        <f t="shared" si="2"/>
        <v>1.9013539730236562E-2</v>
      </c>
      <c r="L25" s="232">
        <v>0.50318294909194183</v>
      </c>
    </row>
    <row r="26" spans="1:19" x14ac:dyDescent="0.2">
      <c r="A26" s="257" t="s">
        <v>118</v>
      </c>
      <c r="B26" s="251" t="s">
        <v>63</v>
      </c>
      <c r="C26" s="252">
        <v>44338132.839999996</v>
      </c>
      <c r="D26" s="485">
        <v>4643243</v>
      </c>
      <c r="E26" s="253">
        <f t="shared" si="0"/>
        <v>39694889.839999996</v>
      </c>
      <c r="F26" s="486">
        <v>22210923.560000002</v>
      </c>
      <c r="G26" s="404">
        <f t="shared" si="1"/>
        <v>0.44045886889908031</v>
      </c>
      <c r="H26" s="254"/>
      <c r="I26" s="232">
        <v>0.45103804534668668</v>
      </c>
      <c r="J26" s="293">
        <f t="shared" si="2"/>
        <v>1.0579176447606364E-2</v>
      </c>
      <c r="L26" s="232">
        <v>0.49342046887663382</v>
      </c>
      <c r="M26" s="487"/>
      <c r="O26" s="231"/>
      <c r="P26" s="487"/>
      <c r="R26" s="232"/>
      <c r="S26" s="232"/>
    </row>
    <row r="27" spans="1:19" x14ac:dyDescent="0.2">
      <c r="A27" s="258" t="s">
        <v>110</v>
      </c>
      <c r="B27" s="251" t="s">
        <v>134</v>
      </c>
      <c r="C27" s="252">
        <v>25299255.729999997</v>
      </c>
      <c r="D27" s="485">
        <v>468036.3</v>
      </c>
      <c r="E27" s="253">
        <f t="shared" si="0"/>
        <v>24831219.429999996</v>
      </c>
      <c r="F27" s="486">
        <v>13819035.559999999</v>
      </c>
      <c r="G27" s="404">
        <f t="shared" si="1"/>
        <v>0.44348139651553148</v>
      </c>
      <c r="H27" s="254"/>
      <c r="I27" s="232">
        <v>0.4631827119673686</v>
      </c>
      <c r="J27" s="293">
        <f t="shared" si="2"/>
        <v>1.970131545183712E-2</v>
      </c>
      <c r="L27" s="232">
        <v>0.44348139651553148</v>
      </c>
    </row>
    <row r="28" spans="1:19" x14ac:dyDescent="0.2">
      <c r="A28" s="250" t="s">
        <v>33</v>
      </c>
      <c r="B28" s="251" t="s">
        <v>130</v>
      </c>
      <c r="C28" s="252">
        <v>8633169.9199999962</v>
      </c>
      <c r="D28" s="485">
        <v>30567.77</v>
      </c>
      <c r="E28" s="253">
        <f t="shared" si="0"/>
        <v>8602602.1499999966</v>
      </c>
      <c r="F28" s="486">
        <v>5330818.3299999991</v>
      </c>
      <c r="G28" s="404">
        <f t="shared" si="1"/>
        <v>0.380324902041413</v>
      </c>
      <c r="H28" s="254"/>
      <c r="I28" s="232">
        <v>0.39775666830134243</v>
      </c>
      <c r="J28" s="293">
        <f t="shared" si="2"/>
        <v>1.7431766259929427E-2</v>
      </c>
      <c r="L28" s="232">
        <v>0.380324902041413</v>
      </c>
    </row>
    <row r="29" spans="1:19" x14ac:dyDescent="0.2">
      <c r="A29" s="250" t="s">
        <v>35</v>
      </c>
      <c r="B29" s="251" t="s">
        <v>36</v>
      </c>
      <c r="C29" s="252">
        <v>31634089.019999992</v>
      </c>
      <c r="D29" s="485">
        <v>599361.7100000002</v>
      </c>
      <c r="E29" s="253">
        <f t="shared" si="0"/>
        <v>31034727.309999991</v>
      </c>
      <c r="F29" s="486">
        <v>16748720.27</v>
      </c>
      <c r="G29" s="404">
        <f t="shared" si="1"/>
        <v>0.46032326616888825</v>
      </c>
      <c r="H29" s="254"/>
      <c r="I29" s="232">
        <v>0.45814628002705043</v>
      </c>
      <c r="J29" s="293">
        <f t="shared" si="2"/>
        <v>-2.1769861418378111E-3</v>
      </c>
      <c r="L29" s="232">
        <v>0.46032326616888825</v>
      </c>
    </row>
    <row r="30" spans="1:19" x14ac:dyDescent="0.2">
      <c r="A30" s="250" t="s">
        <v>37</v>
      </c>
      <c r="B30" s="251" t="s">
        <v>131</v>
      </c>
      <c r="C30" s="252">
        <v>26025802.799999997</v>
      </c>
      <c r="D30" s="485">
        <v>825476.31</v>
      </c>
      <c r="E30" s="253">
        <f t="shared" si="0"/>
        <v>25200326.489999998</v>
      </c>
      <c r="F30" s="486">
        <v>12819179.9</v>
      </c>
      <c r="G30" s="404">
        <f t="shared" si="1"/>
        <v>0.49130897549732494</v>
      </c>
      <c r="H30" s="254"/>
      <c r="I30" s="232">
        <v>0.48459172359339164</v>
      </c>
      <c r="J30" s="293">
        <f t="shared" si="2"/>
        <v>-6.7172519039332967E-3</v>
      </c>
      <c r="L30" s="232">
        <v>0.49130897549732494</v>
      </c>
    </row>
    <row r="31" spans="1:19" x14ac:dyDescent="0.2">
      <c r="A31" s="250" t="s">
        <v>39</v>
      </c>
      <c r="B31" s="251" t="s">
        <v>135</v>
      </c>
      <c r="C31" s="252">
        <v>42305794.919999987</v>
      </c>
      <c r="D31" s="485">
        <v>738638.14</v>
      </c>
      <c r="E31" s="253">
        <f t="shared" si="0"/>
        <v>41567156.779999986</v>
      </c>
      <c r="F31" s="486">
        <v>19893868.489999998</v>
      </c>
      <c r="G31" s="404">
        <f t="shared" si="1"/>
        <v>0.52140415580283517</v>
      </c>
      <c r="H31" s="254"/>
      <c r="I31" s="232">
        <v>0.52797293341370011</v>
      </c>
      <c r="J31" s="293">
        <f t="shared" si="2"/>
        <v>6.5687776108649398E-3</v>
      </c>
      <c r="L31" s="232">
        <v>0.52140415580283517</v>
      </c>
    </row>
    <row r="32" spans="1:19" x14ac:dyDescent="0.2">
      <c r="A32" s="250" t="s">
        <v>46</v>
      </c>
      <c r="B32" s="251" t="s">
        <v>70</v>
      </c>
      <c r="C32" s="252">
        <v>46914489.529999994</v>
      </c>
      <c r="D32" s="485">
        <v>741020.29999999993</v>
      </c>
      <c r="E32" s="253">
        <f t="shared" si="0"/>
        <v>46173469.229999997</v>
      </c>
      <c r="F32" s="486">
        <v>22328091.23</v>
      </c>
      <c r="G32" s="404">
        <f t="shared" si="1"/>
        <v>0.51643028773127342</v>
      </c>
      <c r="H32" s="254"/>
      <c r="I32" s="232">
        <v>0.53432125696067156</v>
      </c>
      <c r="J32" s="293">
        <f t="shared" si="2"/>
        <v>1.7890969229398146E-2</v>
      </c>
      <c r="L32" s="232">
        <v>0.51643028773127342</v>
      </c>
    </row>
    <row r="33" spans="1:12" x14ac:dyDescent="0.2">
      <c r="A33" s="250" t="s">
        <v>41</v>
      </c>
      <c r="B33" s="251" t="s">
        <v>117</v>
      </c>
      <c r="C33" s="252">
        <v>27351042.969999999</v>
      </c>
      <c r="D33" s="485">
        <v>512883.66</v>
      </c>
      <c r="E33" s="253">
        <f>C33-D33</f>
        <v>26838159.309999999</v>
      </c>
      <c r="F33" s="486">
        <v>14679313.85</v>
      </c>
      <c r="G33" s="404">
        <f t="shared" si="1"/>
        <v>0.45304319568106771</v>
      </c>
      <c r="H33" s="254"/>
      <c r="I33" s="232">
        <v>0.4557607599729368</v>
      </c>
      <c r="J33" s="293">
        <f t="shared" si="2"/>
        <v>2.7175642918690901E-3</v>
      </c>
      <c r="L33" s="232">
        <v>0.45304319568106771</v>
      </c>
    </row>
    <row r="34" spans="1:12" x14ac:dyDescent="0.2">
      <c r="A34" s="250" t="s">
        <v>42</v>
      </c>
      <c r="B34" s="251" t="s">
        <v>69</v>
      </c>
      <c r="C34" s="252">
        <v>42945219.589999996</v>
      </c>
      <c r="D34" s="485">
        <v>917090.96000000008</v>
      </c>
      <c r="E34" s="253">
        <f t="shared" si="0"/>
        <v>42028128.629999995</v>
      </c>
      <c r="F34" s="486">
        <v>20296503.829999998</v>
      </c>
      <c r="G34" s="404">
        <f t="shared" si="1"/>
        <v>0.51707333893728968</v>
      </c>
      <c r="H34" s="254"/>
      <c r="I34" s="232">
        <v>0.53242904110820199</v>
      </c>
      <c r="J34" s="293">
        <f t="shared" si="2"/>
        <v>1.5355702170912311E-2</v>
      </c>
      <c r="L34" s="232">
        <v>0.51707333893728968</v>
      </c>
    </row>
    <row r="35" spans="1:12" x14ac:dyDescent="0.2">
      <c r="A35" s="250" t="s">
        <v>43</v>
      </c>
      <c r="B35" s="251" t="s">
        <v>44</v>
      </c>
      <c r="C35" s="252">
        <v>146138245.91000015</v>
      </c>
      <c r="D35" s="485">
        <v>1154874</v>
      </c>
      <c r="E35" s="253">
        <f t="shared" si="0"/>
        <v>144983371.91000015</v>
      </c>
      <c r="F35" s="486">
        <v>61706889.43</v>
      </c>
      <c r="G35" s="404">
        <f t="shared" si="1"/>
        <v>0.57438643744397688</v>
      </c>
      <c r="H35" s="254"/>
      <c r="I35" s="232">
        <v>0.58769945824984193</v>
      </c>
      <c r="J35" s="293">
        <f t="shared" si="2"/>
        <v>1.331302080586505E-2</v>
      </c>
      <c r="L35" s="232">
        <v>0.5754313489250229</v>
      </c>
    </row>
    <row r="36" spans="1:12" x14ac:dyDescent="0.2">
      <c r="A36" s="250" t="s">
        <v>45</v>
      </c>
      <c r="B36" s="251" t="s">
        <v>136</v>
      </c>
      <c r="C36" s="252">
        <v>34811625.509999998</v>
      </c>
      <c r="D36" s="485">
        <v>364921</v>
      </c>
      <c r="E36" s="253">
        <f t="shared" si="0"/>
        <v>34446704.509999998</v>
      </c>
      <c r="F36" s="486">
        <v>16640626.609999999</v>
      </c>
      <c r="G36" s="404">
        <f t="shared" si="1"/>
        <v>0.51691673131840032</v>
      </c>
      <c r="H36" s="254"/>
      <c r="I36" s="232">
        <v>0.53132935359523303</v>
      </c>
      <c r="J36" s="293">
        <f t="shared" si="2"/>
        <v>1.4412622276832709E-2</v>
      </c>
      <c r="L36" s="232">
        <v>0.52039749359657139</v>
      </c>
    </row>
    <row r="37" spans="1:12" x14ac:dyDescent="0.2">
      <c r="A37" s="250" t="s">
        <v>47</v>
      </c>
      <c r="B37" s="251" t="s">
        <v>48</v>
      </c>
      <c r="C37" s="252">
        <v>101359731.39999995</v>
      </c>
      <c r="D37" s="485">
        <v>1402352.0499999998</v>
      </c>
      <c r="E37" s="253">
        <f t="shared" si="0"/>
        <v>99957379.349999949</v>
      </c>
      <c r="F37" s="486">
        <v>39045078.210000001</v>
      </c>
      <c r="G37" s="404">
        <f t="shared" si="1"/>
        <v>0.60938273428233869</v>
      </c>
      <c r="H37" s="254"/>
      <c r="I37" s="232">
        <v>0.615448443409224</v>
      </c>
      <c r="J37" s="293">
        <f t="shared" si="2"/>
        <v>6.0657091268853103E-3</v>
      </c>
      <c r="L37" s="232">
        <v>0.60938273428233869</v>
      </c>
    </row>
    <row r="38" spans="1:12" x14ac:dyDescent="0.2">
      <c r="C38" s="259"/>
      <c r="D38" s="260"/>
      <c r="E38" s="260"/>
      <c r="F38" s="261"/>
      <c r="G38" s="262"/>
      <c r="H38" s="262"/>
      <c r="L38" s="232"/>
    </row>
    <row r="39" spans="1:12" x14ac:dyDescent="0.2">
      <c r="B39" s="229" t="s">
        <v>49</v>
      </c>
      <c r="C39" s="259">
        <f>SUM(C8:C38)</f>
        <v>1564749277.1799998</v>
      </c>
      <c r="D39" s="260">
        <f>SUM(D8:D38)</f>
        <v>32443442.280000005</v>
      </c>
      <c r="E39" s="260">
        <f>SUM(E8:E38)</f>
        <v>1532305834.8999996</v>
      </c>
      <c r="F39" s="260">
        <f>SUM(F8:F38)</f>
        <v>703678988.13999999</v>
      </c>
      <c r="G39" s="254">
        <f>(E39-F39)/E39</f>
        <v>0.54077118802727586</v>
      </c>
      <c r="H39" s="262"/>
      <c r="I39" s="232">
        <v>0.58917622469614928</v>
      </c>
      <c r="J39" s="294">
        <f>AVERAGE(J8:J38)</f>
        <v>7.3887555803651859E-3</v>
      </c>
    </row>
    <row r="40" spans="1:12" x14ac:dyDescent="0.2">
      <c r="A40" s="263" t="s">
        <v>125</v>
      </c>
      <c r="C40" s="259"/>
      <c r="D40" s="260"/>
      <c r="E40" s="260"/>
      <c r="F40" s="261"/>
      <c r="H40" s="262"/>
    </row>
    <row r="41" spans="1:12" x14ac:dyDescent="0.2">
      <c r="A41" s="264"/>
      <c r="C41" s="259"/>
      <c r="D41" s="260"/>
      <c r="E41" s="260"/>
      <c r="F41" s="261"/>
      <c r="H41" s="262"/>
    </row>
    <row r="42" spans="1:12" x14ac:dyDescent="0.2">
      <c r="A42" s="16" t="s">
        <v>320</v>
      </c>
      <c r="C42" s="259"/>
      <c r="D42" s="260"/>
      <c r="E42" s="260"/>
      <c r="F42" s="261"/>
      <c r="G42" s="262"/>
      <c r="H42" s="262"/>
    </row>
    <row r="43" spans="1:12" x14ac:dyDescent="0.2">
      <c r="A43" s="16" t="s">
        <v>306</v>
      </c>
      <c r="C43" s="259"/>
      <c r="D43" s="260"/>
      <c r="E43" s="260"/>
      <c r="F43" s="261"/>
      <c r="G43" s="262"/>
      <c r="H43" s="262"/>
    </row>
    <row r="44" spans="1:12" x14ac:dyDescent="0.2">
      <c r="A44" s="265"/>
      <c r="C44" s="259"/>
      <c r="D44" s="260"/>
      <c r="E44" s="260"/>
      <c r="F44" s="261"/>
      <c r="G44" s="262"/>
      <c r="H44" s="262"/>
    </row>
    <row r="45" spans="1:12" x14ac:dyDescent="0.2">
      <c r="C45" s="259"/>
      <c r="D45" s="259"/>
      <c r="E45" s="259"/>
      <c r="F45" s="261"/>
      <c r="G45" s="262"/>
      <c r="H45" s="262"/>
    </row>
    <row r="46" spans="1:12" x14ac:dyDescent="0.2">
      <c r="C46" s="259"/>
      <c r="D46" s="260"/>
      <c r="E46" s="260"/>
      <c r="F46" s="261"/>
      <c r="G46" s="262"/>
      <c r="H46" s="262"/>
    </row>
    <row r="47" spans="1:12" x14ac:dyDescent="0.2">
      <c r="C47" s="259"/>
      <c r="D47" s="260"/>
      <c r="E47" s="260"/>
      <c r="F47" s="261"/>
      <c r="G47" s="262"/>
      <c r="H47" s="262"/>
    </row>
  </sheetData>
  <pageMargins left="0.7" right="0.7" top="0.75" bottom="0.75" header="0.3" footer="0.3"/>
  <pageSetup scale="8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C15"/>
  <sheetViews>
    <sheetView workbookViewId="0">
      <selection activeCell="A35" sqref="A35"/>
    </sheetView>
  </sheetViews>
  <sheetFormatPr defaultRowHeight="12.75" x14ac:dyDescent="0.2"/>
  <cols>
    <col min="1" max="1" width="35.42578125" bestFit="1" customWidth="1"/>
    <col min="2" max="2" width="10.28515625" bestFit="1" customWidth="1"/>
    <col min="3" max="3" width="9.140625" style="396"/>
  </cols>
  <sheetData>
    <row r="2" spans="1:3" x14ac:dyDescent="0.2">
      <c r="A2" s="207" t="s">
        <v>257</v>
      </c>
    </row>
    <row r="4" spans="1:3" ht="38.25" x14ac:dyDescent="0.2">
      <c r="B4" s="398" t="s">
        <v>261</v>
      </c>
      <c r="C4" s="399" t="s">
        <v>262</v>
      </c>
    </row>
    <row r="5" spans="1:3" x14ac:dyDescent="0.2">
      <c r="A5" s="393" t="s">
        <v>214</v>
      </c>
      <c r="B5" s="11">
        <f>Summary!R42</f>
        <v>0</v>
      </c>
      <c r="C5" s="397">
        <f>Summary!S42</f>
        <v>0</v>
      </c>
    </row>
    <row r="6" spans="1:3" x14ac:dyDescent="0.2">
      <c r="A6" s="393" t="s">
        <v>207</v>
      </c>
      <c r="B6" s="11">
        <f>Summary!R43</f>
        <v>0</v>
      </c>
      <c r="C6" s="397">
        <f>Summary!S43</f>
        <v>0</v>
      </c>
    </row>
    <row r="7" spans="1:3" x14ac:dyDescent="0.2">
      <c r="A7" s="393"/>
    </row>
    <row r="8" spans="1:3" s="391" customFormat="1" x14ac:dyDescent="0.2">
      <c r="A8" s="392" t="s">
        <v>255</v>
      </c>
      <c r="B8" s="395">
        <f>Summary!R44</f>
        <v>0</v>
      </c>
      <c r="C8" s="397">
        <f>Summary!S44</f>
        <v>0</v>
      </c>
    </row>
    <row r="9" spans="1:3" x14ac:dyDescent="0.2">
      <c r="A9" s="393" t="s">
        <v>256</v>
      </c>
      <c r="B9" s="395">
        <f>Summary!R45</f>
        <v>0</v>
      </c>
      <c r="C9" s="397">
        <f>Summary!S45</f>
        <v>0</v>
      </c>
    </row>
    <row r="10" spans="1:3" x14ac:dyDescent="0.2">
      <c r="A10" s="393"/>
    </row>
    <row r="11" spans="1:3" x14ac:dyDescent="0.2">
      <c r="A11" s="394" t="s">
        <v>258</v>
      </c>
      <c r="B11" s="11">
        <f>Summary!R46</f>
        <v>0</v>
      </c>
      <c r="C11" s="397">
        <f>Summary!S46</f>
        <v>0</v>
      </c>
    </row>
    <row r="12" spans="1:3" x14ac:dyDescent="0.2">
      <c r="A12" s="394" t="s">
        <v>259</v>
      </c>
      <c r="B12" s="11">
        <f>Summary!R47</f>
        <v>0</v>
      </c>
      <c r="C12" s="397">
        <f>Summary!S47</f>
        <v>0</v>
      </c>
    </row>
    <row r="15" spans="1:3" x14ac:dyDescent="0.2">
      <c r="A15" s="207" t="s">
        <v>260</v>
      </c>
      <c r="B15" s="11">
        <f>Summary!R40</f>
        <v>0</v>
      </c>
      <c r="C15" s="397">
        <f>B15/Summary!O41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58"/>
  <sheetViews>
    <sheetView tabSelected="1" zoomScale="80" zoomScaleNormal="80" workbookViewId="0">
      <pane xSplit="3" ySplit="5" topLeftCell="D6" activePane="bottomRight" state="frozen"/>
      <selection activeCell="D23" sqref="D23"/>
      <selection pane="topRight" activeCell="D23" sqref="D23"/>
      <selection pane="bottomLeft" activeCell="D23" sqref="D23"/>
      <selection pane="bottomRight" activeCell="V16" sqref="V16"/>
    </sheetView>
  </sheetViews>
  <sheetFormatPr defaultRowHeight="12.75" x14ac:dyDescent="0.2"/>
  <cols>
    <col min="1" max="1" width="4.7109375" hidden="1" customWidth="1"/>
    <col min="2" max="2" width="6.85546875" customWidth="1"/>
    <col min="3" max="3" width="32.140625" style="54" bestFit="1" customWidth="1"/>
    <col min="4" max="4" width="8" style="54" customWidth="1"/>
    <col min="5" max="5" width="12.85546875" style="54" customWidth="1"/>
    <col min="6" max="6" width="13.85546875" style="54" customWidth="1"/>
    <col min="7" max="7" width="10.7109375" style="54" customWidth="1"/>
    <col min="8" max="8" width="10.5703125" style="54" customWidth="1"/>
    <col min="9" max="9" width="15.5703125" style="54" customWidth="1"/>
    <col min="10" max="10" width="17" bestFit="1" customWidth="1"/>
    <col min="11" max="11" width="12.5703125" style="6" customWidth="1"/>
    <col min="12" max="12" width="13.140625" style="68" bestFit="1" customWidth="1"/>
    <col min="13" max="13" width="9" style="43" customWidth="1"/>
    <col min="14" max="14" width="12.5703125" customWidth="1"/>
    <col min="15" max="15" width="13.42578125" style="54" customWidth="1"/>
    <col min="16" max="16" width="14.28515625" style="54" customWidth="1"/>
    <col min="17" max="17" width="13.7109375" style="6" customWidth="1"/>
    <col min="18" max="18" width="13" bestFit="1" customWidth="1"/>
    <col min="19" max="19" width="8.28515625" customWidth="1"/>
    <col min="20" max="20" width="2.7109375" customWidth="1"/>
    <col min="21" max="21" width="13.42578125" customWidth="1"/>
    <col min="22" max="22" width="14.5703125" style="24" customWidth="1"/>
    <col min="23" max="23" width="13.42578125" customWidth="1"/>
    <col min="24" max="24" width="2.85546875" customWidth="1"/>
  </cols>
  <sheetData>
    <row r="1" spans="1:23" s="15" customFormat="1" ht="15.75" x14ac:dyDescent="0.25">
      <c r="A1" s="196"/>
      <c r="B1" s="39"/>
      <c r="C1" s="58"/>
      <c r="D1" s="177"/>
      <c r="E1" s="91"/>
      <c r="F1" s="91"/>
      <c r="G1" s="91"/>
      <c r="H1" s="91"/>
      <c r="I1" s="47"/>
      <c r="J1" s="444"/>
      <c r="K1" s="22"/>
      <c r="L1" s="66"/>
      <c r="M1" s="49"/>
      <c r="O1" s="58"/>
      <c r="P1" s="88"/>
      <c r="Q1" s="28"/>
      <c r="R1" s="451"/>
      <c r="V1" s="214"/>
      <c r="W1" s="451"/>
    </row>
    <row r="2" spans="1:23" s="15" customFormat="1" ht="24.75" customHeight="1" x14ac:dyDescent="0.2">
      <c r="A2" s="196"/>
      <c r="B2" s="196"/>
      <c r="C2" s="91"/>
      <c r="D2" s="91"/>
      <c r="E2" s="91"/>
      <c r="F2" s="91"/>
      <c r="G2" s="91"/>
      <c r="H2" s="91"/>
      <c r="I2" s="47"/>
      <c r="J2" s="26" t="s">
        <v>148</v>
      </c>
      <c r="K2" s="25" t="s">
        <v>149</v>
      </c>
      <c r="L2" s="66"/>
      <c r="M2" s="44" t="s">
        <v>150</v>
      </c>
      <c r="N2" s="86" t="s">
        <v>151</v>
      </c>
      <c r="O2" s="86" t="s">
        <v>154</v>
      </c>
      <c r="P2" s="48" t="s">
        <v>153</v>
      </c>
      <c r="Q2" s="25" t="s">
        <v>155</v>
      </c>
      <c r="R2" s="26" t="s">
        <v>156</v>
      </c>
      <c r="S2" s="48" t="s">
        <v>157</v>
      </c>
      <c r="U2" s="205"/>
      <c r="V2" s="214"/>
      <c r="W2" s="205"/>
    </row>
    <row r="3" spans="1:23" s="15" customFormat="1" x14ac:dyDescent="0.2">
      <c r="A3" s="29"/>
      <c r="B3" s="19"/>
      <c r="C3" s="266"/>
      <c r="D3" s="178"/>
      <c r="E3" s="59" t="s">
        <v>52</v>
      </c>
      <c r="F3" s="59" t="s">
        <v>53</v>
      </c>
      <c r="G3" s="59" t="s">
        <v>55</v>
      </c>
      <c r="H3" s="59" t="s">
        <v>54</v>
      </c>
      <c r="I3" s="59" t="s">
        <v>56</v>
      </c>
      <c r="J3" s="14" t="s">
        <v>57</v>
      </c>
      <c r="K3" s="23" t="s">
        <v>58</v>
      </c>
      <c r="L3" s="67" t="s">
        <v>59</v>
      </c>
      <c r="M3" s="45" t="s">
        <v>51</v>
      </c>
      <c r="N3" s="14" t="s">
        <v>120</v>
      </c>
      <c r="O3" s="59" t="s">
        <v>60</v>
      </c>
      <c r="P3" s="59" t="s">
        <v>152</v>
      </c>
      <c r="Q3" s="23" t="s">
        <v>61</v>
      </c>
      <c r="R3" s="14" t="s">
        <v>64</v>
      </c>
      <c r="S3" s="47" t="s">
        <v>65</v>
      </c>
      <c r="U3" s="47" t="s">
        <v>115</v>
      </c>
      <c r="V3" s="47" t="s">
        <v>138</v>
      </c>
      <c r="W3" s="47" t="s">
        <v>269</v>
      </c>
    </row>
    <row r="4" spans="1:23" ht="92.25" customHeight="1" x14ac:dyDescent="0.2">
      <c r="B4" s="1" t="s">
        <v>0</v>
      </c>
      <c r="C4" s="142" t="s">
        <v>1</v>
      </c>
      <c r="D4" s="179" t="s">
        <v>324</v>
      </c>
      <c r="E4" s="60" t="s">
        <v>263</v>
      </c>
      <c r="F4" s="60" t="s">
        <v>266</v>
      </c>
      <c r="G4" s="60" t="s">
        <v>264</v>
      </c>
      <c r="H4" s="211" t="s">
        <v>265</v>
      </c>
      <c r="I4" s="60" t="s">
        <v>267</v>
      </c>
      <c r="J4" s="13" t="s">
        <v>67</v>
      </c>
      <c r="K4" s="20" t="s">
        <v>268</v>
      </c>
      <c r="L4" s="105" t="s">
        <v>307</v>
      </c>
      <c r="M4" s="40" t="s">
        <v>308</v>
      </c>
      <c r="N4" s="195" t="s">
        <v>270</v>
      </c>
      <c r="O4" s="60" t="s">
        <v>114</v>
      </c>
      <c r="P4" s="61" t="s">
        <v>311</v>
      </c>
      <c r="Q4" s="40" t="s">
        <v>312</v>
      </c>
      <c r="R4" s="31" t="s">
        <v>313</v>
      </c>
      <c r="S4" s="31" t="s">
        <v>314</v>
      </c>
      <c r="U4" s="174" t="s">
        <v>300</v>
      </c>
      <c r="V4" s="467" t="s">
        <v>334</v>
      </c>
      <c r="W4" s="405" t="s">
        <v>279</v>
      </c>
    </row>
    <row r="5" spans="1:23" x14ac:dyDescent="0.2">
      <c r="B5" s="2"/>
      <c r="C5" s="122"/>
      <c r="D5" s="180"/>
      <c r="N5" s="17"/>
      <c r="O5" s="52"/>
      <c r="P5" s="62"/>
      <c r="Q5" s="41"/>
      <c r="R5" s="27"/>
      <c r="U5" s="175"/>
      <c r="V5" s="402"/>
      <c r="W5" s="406"/>
    </row>
    <row r="6" spans="1:23" x14ac:dyDescent="0.2">
      <c r="A6">
        <v>1</v>
      </c>
      <c r="B6" s="10" t="s">
        <v>2</v>
      </c>
      <c r="C6" s="3" t="s">
        <v>128</v>
      </c>
      <c r="D6" s="181">
        <v>1729</v>
      </c>
      <c r="E6" s="92">
        <f>Instruction!M8</f>
        <v>6315603.5</v>
      </c>
      <c r="F6" s="92">
        <f>'Student&amp;Institutional Support'!S9</f>
        <v>4540124.1564137246</v>
      </c>
      <c r="G6" s="92">
        <f>Facilities!H9</f>
        <v>1401744.7765146403</v>
      </c>
      <c r="H6" s="92">
        <f>'Student Success'!E7</f>
        <v>334000</v>
      </c>
      <c r="I6" s="92">
        <f>Research!H9</f>
        <v>26178.87046153039</v>
      </c>
      <c r="J6" s="8">
        <f t="shared" ref="J6:J35" si="0">SUM(E6:I6)</f>
        <v>12617651.303389896</v>
      </c>
      <c r="K6" s="9">
        <f t="shared" ref="K6:K35" si="1">+J6/$J$37</f>
        <v>1.7582747008049984E-2</v>
      </c>
      <c r="L6" s="69">
        <v>9991628.0710002445</v>
      </c>
      <c r="M6" s="50">
        <v>1.7373514719810957E-2</v>
      </c>
      <c r="N6" s="18">
        <f t="shared" ref="N6:N34" si="2">M6*$O$39</f>
        <v>5202757.1706496421</v>
      </c>
      <c r="O6" s="53">
        <f t="shared" ref="O6:O34" si="3">K6*$O$39</f>
        <v>5265414.8887638543</v>
      </c>
      <c r="P6" s="63">
        <f>N6+O6</f>
        <v>10468172.059413496</v>
      </c>
      <c r="Q6" s="42">
        <f t="shared" ref="Q6:Q35" si="4">P6/$P$37</f>
        <v>1.747813086393047E-2</v>
      </c>
      <c r="R6" s="38">
        <f>P6-L6</f>
        <v>476543.98841325194</v>
      </c>
      <c r="S6" s="46">
        <f t="shared" ref="S6:S35" si="5">R6/L6</f>
        <v>4.7694328194258534E-2</v>
      </c>
      <c r="U6" s="210">
        <v>1042338</v>
      </c>
      <c r="V6" s="453">
        <v>145056</v>
      </c>
      <c r="W6" s="407">
        <f>158333</f>
        <v>158333</v>
      </c>
    </row>
    <row r="7" spans="1:23" s="54" customFormat="1" x14ac:dyDescent="0.2">
      <c r="A7" s="54">
        <v>2</v>
      </c>
      <c r="B7" s="10" t="s">
        <v>4</v>
      </c>
      <c r="C7" s="3" t="s">
        <v>124</v>
      </c>
      <c r="D7" s="181">
        <v>6668</v>
      </c>
      <c r="E7" s="92">
        <f>Instruction!M9</f>
        <v>19516992</v>
      </c>
      <c r="F7" s="92">
        <f>'Student&amp;Institutional Support'!S10</f>
        <v>11656001.334632549</v>
      </c>
      <c r="G7" s="92">
        <f>Facilities!H10</f>
        <v>2096524.8937210401</v>
      </c>
      <c r="H7" s="92">
        <f>'Student Success'!E8</f>
        <v>208000</v>
      </c>
      <c r="I7" s="92">
        <f>Research!H10</f>
        <v>26214.393660441838</v>
      </c>
      <c r="J7" s="92">
        <f>SUM(E7:I7)</f>
        <v>33503732.622014031</v>
      </c>
      <c r="K7" s="137">
        <f t="shared" si="1"/>
        <v>4.6687583953121115E-2</v>
      </c>
      <c r="L7" s="92">
        <v>26283240.224529367</v>
      </c>
      <c r="M7" s="50">
        <v>4.5701487052997931E-2</v>
      </c>
      <c r="N7" s="53">
        <f t="shared" si="2"/>
        <v>13685989.467819326</v>
      </c>
      <c r="O7" s="53">
        <f t="shared" si="3"/>
        <v>13981290.838947246</v>
      </c>
      <c r="P7" s="63">
        <f t="shared" ref="P7:P33" si="6">N7+O7</f>
        <v>27667280.30676657</v>
      </c>
      <c r="Q7" s="138">
        <f t="shared" si="4"/>
        <v>4.6194535503059519E-2</v>
      </c>
      <c r="R7" s="38">
        <f t="shared" ref="R7:R35" si="7">P7-L7</f>
        <v>1384040.0822372027</v>
      </c>
      <c r="S7" s="139">
        <f t="shared" si="5"/>
        <v>5.2658655113060192E-2</v>
      </c>
      <c r="U7" s="210">
        <v>3944189</v>
      </c>
      <c r="V7" s="453">
        <f>458642+110963</f>
        <v>569605</v>
      </c>
      <c r="W7" s="407">
        <f>158333</f>
        <v>158333</v>
      </c>
    </row>
    <row r="8" spans="1:23" ht="12" customHeight="1" x14ac:dyDescent="0.2">
      <c r="A8">
        <v>4</v>
      </c>
      <c r="B8" s="10" t="s">
        <v>5</v>
      </c>
      <c r="C8" s="3" t="s">
        <v>113</v>
      </c>
      <c r="D8" s="181">
        <v>4631</v>
      </c>
      <c r="E8" s="92">
        <f>Instruction!M10</f>
        <v>14916187</v>
      </c>
      <c r="F8" s="92">
        <f>'Student&amp;Institutional Support'!S11</f>
        <v>10516335.469045261</v>
      </c>
      <c r="G8" s="92">
        <f>Facilities!H11</f>
        <v>1883632.4847044277</v>
      </c>
      <c r="H8" s="92">
        <f>'Student Success'!E9</f>
        <v>48000</v>
      </c>
      <c r="I8" s="92">
        <f>Research!H11</f>
        <v>20863.082601678376</v>
      </c>
      <c r="J8" s="8">
        <f t="shared" si="0"/>
        <v>27385018.036351364</v>
      </c>
      <c r="K8" s="9">
        <f t="shared" si="1"/>
        <v>3.8161130971711789E-2</v>
      </c>
      <c r="L8" s="69">
        <v>21949436.395946071</v>
      </c>
      <c r="M8" s="50">
        <v>3.8165837800080184E-2</v>
      </c>
      <c r="N8" s="18">
        <f t="shared" si="2"/>
        <v>11429327.311749559</v>
      </c>
      <c r="O8" s="53">
        <f t="shared" si="3"/>
        <v>11427917.782046465</v>
      </c>
      <c r="P8" s="63">
        <f t="shared" si="6"/>
        <v>22857245.093796022</v>
      </c>
      <c r="Q8" s="42">
        <f t="shared" si="4"/>
        <v>3.8163484385895986E-2</v>
      </c>
      <c r="R8" s="38">
        <f t="shared" si="7"/>
        <v>907808.69784995168</v>
      </c>
      <c r="S8" s="46">
        <f t="shared" si="5"/>
        <v>4.1359089202746842E-2</v>
      </c>
      <c r="U8" s="210">
        <v>1891642</v>
      </c>
      <c r="V8" s="453">
        <f>58164+236502</f>
        <v>294666</v>
      </c>
      <c r="W8" s="407">
        <f>158333</f>
        <v>158333</v>
      </c>
    </row>
    <row r="9" spans="1:23" x14ac:dyDescent="0.2">
      <c r="A9">
        <v>3</v>
      </c>
      <c r="B9" s="37" t="s">
        <v>6</v>
      </c>
      <c r="C9" s="3" t="s">
        <v>7</v>
      </c>
      <c r="D9" s="181">
        <v>2646</v>
      </c>
      <c r="E9" s="92">
        <f>Instruction!M11</f>
        <v>8306371</v>
      </c>
      <c r="F9" s="92">
        <f>'Student&amp;Institutional Support'!S12</f>
        <v>6075230.9944787286</v>
      </c>
      <c r="G9" s="92">
        <f>Facilities!H12</f>
        <v>1779409.880347488</v>
      </c>
      <c r="H9" s="92">
        <f>'Student Success'!E10</f>
        <v>0</v>
      </c>
      <c r="I9" s="92">
        <f>Research!H12</f>
        <v>19743.741570961734</v>
      </c>
      <c r="J9" s="8">
        <f t="shared" si="0"/>
        <v>16180755.61639718</v>
      </c>
      <c r="K9" s="9">
        <f t="shared" si="1"/>
        <v>2.2547946964246848E-2</v>
      </c>
      <c r="L9" s="69">
        <v>12775411.626990616</v>
      </c>
      <c r="M9" s="50">
        <v>2.221397757962643E-2</v>
      </c>
      <c r="N9" s="18">
        <f t="shared" si="2"/>
        <v>6652305.7081399448</v>
      </c>
      <c r="O9" s="53">
        <f t="shared" si="3"/>
        <v>6752317.8034835542</v>
      </c>
      <c r="P9" s="63">
        <f t="shared" si="6"/>
        <v>13404623.511623498</v>
      </c>
      <c r="Q9" s="42">
        <f t="shared" si="4"/>
        <v>2.2380962271936637E-2</v>
      </c>
      <c r="R9" s="38">
        <f t="shared" si="7"/>
        <v>629211.88463288173</v>
      </c>
      <c r="S9" s="46">
        <f t="shared" si="5"/>
        <v>4.92517895316614E-2</v>
      </c>
      <c r="U9" s="210">
        <v>1245329</v>
      </c>
      <c r="V9" s="453">
        <v>236539</v>
      </c>
      <c r="W9" s="407">
        <f>158333*2</f>
        <v>316666</v>
      </c>
    </row>
    <row r="10" spans="1:23" x14ac:dyDescent="0.2">
      <c r="A10">
        <v>3</v>
      </c>
      <c r="B10" s="37" t="s">
        <v>8</v>
      </c>
      <c r="C10" s="3" t="s">
        <v>9</v>
      </c>
      <c r="D10" s="181">
        <v>5910</v>
      </c>
      <c r="E10" s="92">
        <f>Instruction!M12</f>
        <v>17807875</v>
      </c>
      <c r="F10" s="92">
        <f>'Student&amp;Institutional Support'!S13</f>
        <v>10422569.883310253</v>
      </c>
      <c r="G10" s="92">
        <f>Facilities!H13</f>
        <v>1783077.4787438035</v>
      </c>
      <c r="H10" s="92">
        <f>'Student Success'!E11</f>
        <v>0</v>
      </c>
      <c r="I10" s="92">
        <f>Research!H13</f>
        <v>67967.284182634627</v>
      </c>
      <c r="J10" s="8">
        <f t="shared" si="0"/>
        <v>30081489.646236688</v>
      </c>
      <c r="K10" s="9">
        <f t="shared" si="1"/>
        <v>4.1918674827616673E-2</v>
      </c>
      <c r="L10" s="69">
        <v>23227910.44982462</v>
      </c>
      <c r="M10" s="50">
        <v>4.038885767593229E-2</v>
      </c>
      <c r="N10" s="18">
        <f>M10*$O$39</f>
        <v>12095043.649871847</v>
      </c>
      <c r="O10" s="53">
        <f t="shared" si="3"/>
        <v>12553170.130556425</v>
      </c>
      <c r="P10" s="63">
        <f t="shared" si="6"/>
        <v>24648213.780428272</v>
      </c>
      <c r="Q10" s="42">
        <f t="shared" si="4"/>
        <v>4.1153766251774478E-2</v>
      </c>
      <c r="R10" s="38">
        <f t="shared" si="7"/>
        <v>1420303.3306036517</v>
      </c>
      <c r="S10" s="46">
        <f t="shared" si="5"/>
        <v>6.1146409775932969E-2</v>
      </c>
      <c r="U10" s="210">
        <v>3802924</v>
      </c>
      <c r="V10" s="453">
        <v>513373</v>
      </c>
      <c r="W10" s="407"/>
    </row>
    <row r="11" spans="1:23" s="54" customFormat="1" x14ac:dyDescent="0.2">
      <c r="A11" s="54">
        <v>1</v>
      </c>
      <c r="B11" s="37" t="s">
        <v>10</v>
      </c>
      <c r="C11" s="3" t="s">
        <v>146</v>
      </c>
      <c r="D11" s="181">
        <v>4572</v>
      </c>
      <c r="E11" s="92">
        <f>Instruction!M13</f>
        <v>15855479</v>
      </c>
      <c r="F11" s="92">
        <f>'Student&amp;Institutional Support'!S14</f>
        <v>9225218.44654659</v>
      </c>
      <c r="G11" s="92">
        <f>Facilities!H14</f>
        <v>2297382.2510366691</v>
      </c>
      <c r="H11" s="92">
        <f>'Student Success'!E12</f>
        <v>492000</v>
      </c>
      <c r="I11" s="92">
        <f>Research!H14</f>
        <v>236424.2370465846</v>
      </c>
      <c r="J11" s="92">
        <f t="shared" si="0"/>
        <v>28106503.934629846</v>
      </c>
      <c r="K11" s="137">
        <f t="shared" si="1"/>
        <v>3.9166524425238124E-2</v>
      </c>
      <c r="L11" s="92">
        <v>22523806.89352522</v>
      </c>
      <c r="M11" s="50">
        <v>3.9164557350428453E-2</v>
      </c>
      <c r="N11" s="53">
        <f>M11*$O$39</f>
        <v>11728408.723072585</v>
      </c>
      <c r="O11" s="53">
        <f t="shared" si="3"/>
        <v>11728997.79285704</v>
      </c>
      <c r="P11" s="63">
        <f t="shared" si="6"/>
        <v>23457406.515929624</v>
      </c>
      <c r="Q11" s="138">
        <f t="shared" si="4"/>
        <v>3.9165540887833285E-2</v>
      </c>
      <c r="R11" s="301">
        <f t="shared" si="7"/>
        <v>933599.62240440398</v>
      </c>
      <c r="S11" s="139">
        <f t="shared" si="5"/>
        <v>4.1449459534870198E-2</v>
      </c>
      <c r="U11" s="401">
        <f>1275931+1678225</f>
        <v>2954156</v>
      </c>
      <c r="V11" s="453">
        <f>158066+242530</f>
        <v>400596</v>
      </c>
      <c r="W11" s="408"/>
    </row>
    <row r="12" spans="1:23" x14ac:dyDescent="0.2">
      <c r="A12">
        <v>2</v>
      </c>
      <c r="B12" s="37" t="s">
        <v>12</v>
      </c>
      <c r="C12" s="3" t="s">
        <v>13</v>
      </c>
      <c r="D12" s="181">
        <v>865</v>
      </c>
      <c r="E12" s="92">
        <f>Instruction!M14</f>
        <v>2307979</v>
      </c>
      <c r="F12" s="92">
        <f>'Student&amp;Institutional Support'!S15</f>
        <v>3428741.5952229882</v>
      </c>
      <c r="G12" s="92">
        <f>Facilities!H15</f>
        <v>501461.74450239213</v>
      </c>
      <c r="H12" s="92">
        <f>'Student Success'!E13</f>
        <v>0</v>
      </c>
      <c r="I12" s="92">
        <f>Research!H15</f>
        <v>0</v>
      </c>
      <c r="J12" s="8">
        <f t="shared" si="0"/>
        <v>6238182.3397253808</v>
      </c>
      <c r="K12" s="9">
        <f t="shared" si="1"/>
        <v>8.6929317693229136E-3</v>
      </c>
      <c r="L12" s="69">
        <v>5330128.7627649754</v>
      </c>
      <c r="M12" s="50">
        <v>9.2680662110669141E-3</v>
      </c>
      <c r="N12" s="18">
        <f>M12*$O$39</f>
        <v>2775460.1596359499</v>
      </c>
      <c r="O12" s="53">
        <f t="shared" si="3"/>
        <v>2603227.6039827703</v>
      </c>
      <c r="P12" s="63">
        <f t="shared" si="6"/>
        <v>5378687.7636187207</v>
      </c>
      <c r="Q12" s="42">
        <f t="shared" si="4"/>
        <v>8.9804989901949139E-3</v>
      </c>
      <c r="R12" s="38">
        <f t="shared" si="7"/>
        <v>48559.000853745267</v>
      </c>
      <c r="S12" s="46">
        <f t="shared" si="5"/>
        <v>9.1102866394086029E-3</v>
      </c>
      <c r="U12" s="210">
        <v>336889</v>
      </c>
      <c r="V12" s="453">
        <v>78858</v>
      </c>
      <c r="W12" s="407">
        <f>158333</f>
        <v>158333</v>
      </c>
    </row>
    <row r="13" spans="1:23" x14ac:dyDescent="0.2">
      <c r="A13">
        <v>1</v>
      </c>
      <c r="B13" s="37" t="s">
        <v>14</v>
      </c>
      <c r="C13" s="3" t="s">
        <v>139</v>
      </c>
      <c r="D13" s="181">
        <v>2946</v>
      </c>
      <c r="E13" s="92">
        <f>Instruction!M15</f>
        <v>12469265</v>
      </c>
      <c r="F13" s="92">
        <f>'Student&amp;Institutional Support'!S16</f>
        <v>7427656.3896288127</v>
      </c>
      <c r="G13" s="92">
        <f>Facilities!H16</f>
        <v>2699580.1696296632</v>
      </c>
      <c r="H13" s="92">
        <f>'Student Success'!E14</f>
        <v>346000</v>
      </c>
      <c r="I13" s="92">
        <f>Research!H16</f>
        <v>4892.7587773084715</v>
      </c>
      <c r="J13" s="8">
        <f t="shared" si="0"/>
        <v>22947394.318035785</v>
      </c>
      <c r="K13" s="9">
        <f t="shared" si="1"/>
        <v>3.1977284764525646E-2</v>
      </c>
      <c r="L13" s="69">
        <v>18428976.921446033</v>
      </c>
      <c r="M13" s="50">
        <v>3.2044437557186493E-2</v>
      </c>
      <c r="N13" s="18">
        <f t="shared" si="2"/>
        <v>9596183.038886033</v>
      </c>
      <c r="O13" s="53">
        <f t="shared" si="3"/>
        <v>9576073.1371660903</v>
      </c>
      <c r="P13" s="63">
        <f t="shared" si="6"/>
        <v>19172256.176052123</v>
      </c>
      <c r="Q13" s="42">
        <f t="shared" si="4"/>
        <v>3.2010861160856073E-2</v>
      </c>
      <c r="R13" s="38">
        <f t="shared" si="7"/>
        <v>743279.25460609049</v>
      </c>
      <c r="S13" s="46">
        <f t="shared" si="5"/>
        <v>4.0332095361252908E-2</v>
      </c>
      <c r="U13" s="210">
        <v>1841431</v>
      </c>
      <c r="V13" s="453">
        <v>251119</v>
      </c>
      <c r="W13" s="407"/>
    </row>
    <row r="14" spans="1:23" x14ac:dyDescent="0.2">
      <c r="A14">
        <v>3</v>
      </c>
      <c r="B14" s="37" t="s">
        <v>16</v>
      </c>
      <c r="C14" s="3" t="s">
        <v>17</v>
      </c>
      <c r="D14" s="181">
        <v>3096</v>
      </c>
      <c r="E14" s="92">
        <f>Instruction!M16</f>
        <v>10117322</v>
      </c>
      <c r="F14" s="92">
        <f>'Student&amp;Institutional Support'!S17</f>
        <v>6721188.8290378507</v>
      </c>
      <c r="G14" s="92">
        <f>Facilities!H17</f>
        <v>1048245.7743746737</v>
      </c>
      <c r="H14" s="92">
        <f>'Student Success'!E15</f>
        <v>280000</v>
      </c>
      <c r="I14" s="92">
        <f>Research!H17</f>
        <v>545.24456698904066</v>
      </c>
      <c r="J14" s="8">
        <f t="shared" si="0"/>
        <v>18167301.847979516</v>
      </c>
      <c r="K14" s="9">
        <f t="shared" si="1"/>
        <v>2.5316206996945895E-2</v>
      </c>
      <c r="L14" s="69">
        <v>14322333.260049254</v>
      </c>
      <c r="M14" s="50">
        <v>2.490377603603032E-2</v>
      </c>
      <c r="N14" s="18">
        <f t="shared" si="2"/>
        <v>7457805.8290049508</v>
      </c>
      <c r="O14" s="53">
        <f t="shared" si="3"/>
        <v>7581314.4093876295</v>
      </c>
      <c r="P14" s="63">
        <f t="shared" si="6"/>
        <v>15039120.23839258</v>
      </c>
      <c r="Q14" s="42">
        <f t="shared" si="4"/>
        <v>2.5109991516488107E-2</v>
      </c>
      <c r="R14" s="38">
        <f t="shared" si="7"/>
        <v>716786.9783433266</v>
      </c>
      <c r="S14" s="46">
        <f t="shared" si="5"/>
        <v>5.0046802104705503E-2</v>
      </c>
      <c r="U14" s="210">
        <v>1727009</v>
      </c>
      <c r="V14" s="453">
        <v>241496</v>
      </c>
      <c r="W14" s="407">
        <f>158333</f>
        <v>158333</v>
      </c>
    </row>
    <row r="15" spans="1:23" x14ac:dyDescent="0.2">
      <c r="A15">
        <v>4</v>
      </c>
      <c r="B15" s="37" t="s">
        <v>18</v>
      </c>
      <c r="C15" s="3" t="s">
        <v>140</v>
      </c>
      <c r="D15" s="181">
        <v>5827</v>
      </c>
      <c r="E15" s="92">
        <f>Instruction!M17</f>
        <v>20447541.5</v>
      </c>
      <c r="F15" s="92">
        <f>'Student&amp;Institutional Support'!S18</f>
        <v>12706410.008693295</v>
      </c>
      <c r="G15" s="92">
        <f>Facilities!H18</f>
        <v>763544.46457758814</v>
      </c>
      <c r="H15" s="92">
        <f>'Student Success'!E16</f>
        <v>438000</v>
      </c>
      <c r="I15" s="92">
        <f>Research!H18</f>
        <v>142489.4902066254</v>
      </c>
      <c r="J15" s="8">
        <f t="shared" si="0"/>
        <v>34497985.463477507</v>
      </c>
      <c r="K15" s="9">
        <f t="shared" si="1"/>
        <v>4.8073079221070902E-2</v>
      </c>
      <c r="L15" s="69">
        <v>27097142.371742956</v>
      </c>
      <c r="M15" s="50">
        <v>4.7116705957726983E-2</v>
      </c>
      <c r="N15" s="18">
        <f t="shared" si="2"/>
        <v>14109797.800408583</v>
      </c>
      <c r="O15" s="53">
        <f t="shared" si="3"/>
        <v>14396197.986779986</v>
      </c>
      <c r="P15" s="63">
        <f t="shared" si="6"/>
        <v>28505995.787188567</v>
      </c>
      <c r="Q15" s="42">
        <f t="shared" si="4"/>
        <v>4.7594892589398939E-2</v>
      </c>
      <c r="R15" s="38">
        <f t="shared" si="7"/>
        <v>1408853.4154456109</v>
      </c>
      <c r="S15" s="46">
        <f t="shared" si="5"/>
        <v>5.1992693403521792E-2</v>
      </c>
      <c r="U15" s="210">
        <v>2129417</v>
      </c>
      <c r="V15" s="453">
        <f>477820</f>
        <v>477820</v>
      </c>
      <c r="W15" s="407"/>
    </row>
    <row r="16" spans="1:23" x14ac:dyDescent="0.2">
      <c r="A16">
        <v>3</v>
      </c>
      <c r="B16" s="37" t="s">
        <v>19</v>
      </c>
      <c r="C16" s="3" t="s">
        <v>20</v>
      </c>
      <c r="D16" s="181">
        <v>4536</v>
      </c>
      <c r="E16" s="92">
        <f>Instruction!M18</f>
        <v>14102592</v>
      </c>
      <c r="F16" s="92">
        <f>'Student&amp;Institutional Support'!S19</f>
        <v>9074753.3225056082</v>
      </c>
      <c r="G16" s="92">
        <f>Facilities!H19</f>
        <v>2544449.0435239747</v>
      </c>
      <c r="H16" s="92">
        <f>'Student Success'!E17</f>
        <v>112000</v>
      </c>
      <c r="I16" s="92">
        <f>Research!H19</f>
        <v>37914.470282452341</v>
      </c>
      <c r="J16" s="8">
        <f t="shared" si="0"/>
        <v>25871708.836312037</v>
      </c>
      <c r="K16" s="9">
        <f t="shared" si="1"/>
        <v>3.6052328614644163E-2</v>
      </c>
      <c r="L16" s="69">
        <v>21027439.187488385</v>
      </c>
      <c r="M16" s="50">
        <v>3.6562662425762969E-2</v>
      </c>
      <c r="N16" s="18">
        <f t="shared" si="2"/>
        <v>10949232.62112103</v>
      </c>
      <c r="O16" s="53">
        <f t="shared" si="3"/>
        <v>10796405.577310737</v>
      </c>
      <c r="P16" s="63">
        <f t="shared" si="6"/>
        <v>21745638.198431768</v>
      </c>
      <c r="Q16" s="42">
        <f t="shared" si="4"/>
        <v>3.630749552020357E-2</v>
      </c>
      <c r="R16" s="38">
        <f t="shared" si="7"/>
        <v>718199.01094338298</v>
      </c>
      <c r="S16" s="46">
        <f t="shared" si="5"/>
        <v>3.4155324599427273E-2</v>
      </c>
      <c r="U16" s="210">
        <v>2864953</v>
      </c>
      <c r="V16" s="453">
        <v>450716</v>
      </c>
      <c r="W16" s="407"/>
    </row>
    <row r="17" spans="1:23" ht="12" customHeight="1" x14ac:dyDescent="0.2">
      <c r="A17">
        <v>1</v>
      </c>
      <c r="B17" s="37" t="s">
        <v>21</v>
      </c>
      <c r="C17" s="121" t="s">
        <v>177</v>
      </c>
      <c r="D17" s="181">
        <v>1157</v>
      </c>
      <c r="E17" s="92">
        <f>Instruction!M19</f>
        <v>4449452.5</v>
      </c>
      <c r="F17" s="92">
        <f>'Student&amp;Institutional Support'!S20</f>
        <v>3936460.4999365965</v>
      </c>
      <c r="G17" s="92">
        <f>Facilities!H20</f>
        <v>863132.03687621874</v>
      </c>
      <c r="H17" s="92">
        <f>'Student Success'!E18</f>
        <v>16000</v>
      </c>
      <c r="I17" s="92">
        <f>Research!H20</f>
        <v>3671.6962155778588</v>
      </c>
      <c r="J17" s="8">
        <f t="shared" si="0"/>
        <v>9268716.7330283932</v>
      </c>
      <c r="K17" s="9">
        <f t="shared" si="1"/>
        <v>1.2915993435508392E-2</v>
      </c>
      <c r="L17" s="69">
        <v>7635045.6980027203</v>
      </c>
      <c r="M17" s="50">
        <v>1.3275872348138802E-2</v>
      </c>
      <c r="N17" s="18">
        <f t="shared" si="2"/>
        <v>3975657.2673891298</v>
      </c>
      <c r="O17" s="53">
        <f t="shared" si="3"/>
        <v>3867886.178841433</v>
      </c>
      <c r="P17" s="63">
        <f t="shared" si="6"/>
        <v>7843543.4462305624</v>
      </c>
      <c r="Q17" s="42">
        <f t="shared" si="4"/>
        <v>1.3095932891823595E-2</v>
      </c>
      <c r="R17" s="38">
        <f t="shared" si="7"/>
        <v>208497.74822784215</v>
      </c>
      <c r="S17" s="46">
        <f t="shared" si="5"/>
        <v>2.7307989562182167E-2</v>
      </c>
      <c r="U17" s="210">
        <v>722348</v>
      </c>
      <c r="V17" s="453">
        <v>105823</v>
      </c>
      <c r="W17" s="407">
        <f>158333*2</f>
        <v>316666</v>
      </c>
    </row>
    <row r="18" spans="1:23" ht="12" customHeight="1" x14ac:dyDescent="0.2">
      <c r="B18" s="37" t="s">
        <v>109</v>
      </c>
      <c r="C18" s="3" t="s">
        <v>141</v>
      </c>
      <c r="D18" s="181">
        <v>3714</v>
      </c>
      <c r="E18" s="92">
        <f>Instruction!M20</f>
        <v>12376107</v>
      </c>
      <c r="F18" s="92">
        <f>'Student&amp;Institutional Support'!S21</f>
        <v>8028254.0835652482</v>
      </c>
      <c r="G18" s="92">
        <f>Facilities!H21</f>
        <v>2019862.1590664811</v>
      </c>
      <c r="H18" s="92">
        <f>'Student Success'!E19</f>
        <v>130000</v>
      </c>
      <c r="I18" s="92">
        <f>Research!H21</f>
        <v>19210.448643665601</v>
      </c>
      <c r="J18" s="8">
        <f t="shared" si="0"/>
        <v>22573433.691275395</v>
      </c>
      <c r="K18" s="9">
        <f t="shared" si="1"/>
        <v>3.1456169151706868E-2</v>
      </c>
      <c r="L18" s="69">
        <v>18567584.534552604</v>
      </c>
      <c r="M18" s="50">
        <v>3.2285449471308292E-2</v>
      </c>
      <c r="N18" s="18">
        <f t="shared" si="2"/>
        <v>9668357.6382478606</v>
      </c>
      <c r="O18" s="53">
        <f t="shared" si="3"/>
        <v>9420017.3226083852</v>
      </c>
      <c r="P18" s="63">
        <f t="shared" si="6"/>
        <v>19088374.960856244</v>
      </c>
      <c r="Q18" s="42">
        <f t="shared" si="4"/>
        <v>3.1870809311507577E-2</v>
      </c>
      <c r="R18" s="38">
        <f t="shared" si="7"/>
        <v>520790.42630364001</v>
      </c>
      <c r="S18" s="46">
        <f t="shared" si="5"/>
        <v>2.8048367052510029E-2</v>
      </c>
      <c r="U18" s="210">
        <v>2063878</v>
      </c>
      <c r="V18" s="453">
        <v>335207</v>
      </c>
      <c r="W18" s="407">
        <f>158333*4</f>
        <v>633332</v>
      </c>
    </row>
    <row r="19" spans="1:23" x14ac:dyDescent="0.2">
      <c r="A19">
        <v>4</v>
      </c>
      <c r="B19" s="37" t="s">
        <v>26</v>
      </c>
      <c r="C19" s="3" t="s">
        <v>62</v>
      </c>
      <c r="D19" s="181">
        <v>5166</v>
      </c>
      <c r="E19" s="92">
        <f>Instruction!M21</f>
        <v>18424166</v>
      </c>
      <c r="F19" s="92">
        <f>'Student&amp;Institutional Support'!S22</f>
        <v>10667007.792122416</v>
      </c>
      <c r="G19" s="92">
        <f>Facilities!H22</f>
        <v>2291093.3234892865</v>
      </c>
      <c r="H19" s="92">
        <f>'Student Success'!E20</f>
        <v>0</v>
      </c>
      <c r="I19" s="92">
        <f>Research!H22</f>
        <v>176324.37775357507</v>
      </c>
      <c r="J19" s="8">
        <f t="shared" si="0"/>
        <v>31558591.493365277</v>
      </c>
      <c r="K19" s="9">
        <f t="shared" si="1"/>
        <v>4.3977022095163028E-2</v>
      </c>
      <c r="L19" s="69">
        <v>25840596.679256026</v>
      </c>
      <c r="M19" s="50">
        <v>4.4931815274305932E-2</v>
      </c>
      <c r="N19" s="18">
        <f t="shared" si="2"/>
        <v>13455499.815597704</v>
      </c>
      <c r="O19" s="53">
        <f t="shared" si="3"/>
        <v>13169572.808921926</v>
      </c>
      <c r="P19" s="63">
        <f t="shared" si="6"/>
        <v>26625072.624519631</v>
      </c>
      <c r="Q19" s="42">
        <f t="shared" si="4"/>
        <v>4.4454418684734487E-2</v>
      </c>
      <c r="R19" s="38">
        <f t="shared" si="7"/>
        <v>784475.94526360556</v>
      </c>
      <c r="S19" s="46">
        <f t="shared" si="5"/>
        <v>3.035827519777656E-2</v>
      </c>
      <c r="U19" s="210">
        <v>1738072</v>
      </c>
      <c r="V19" s="453">
        <v>270641</v>
      </c>
      <c r="W19" s="407"/>
    </row>
    <row r="20" spans="1:23" x14ac:dyDescent="0.2">
      <c r="A20">
        <v>4</v>
      </c>
      <c r="B20" s="37" t="s">
        <v>22</v>
      </c>
      <c r="C20" s="3" t="s">
        <v>23</v>
      </c>
      <c r="D20" s="181">
        <v>13202</v>
      </c>
      <c r="E20" s="92">
        <f>Instruction!M22</f>
        <v>41323611.5</v>
      </c>
      <c r="F20" s="92">
        <f>'Student&amp;Institutional Support'!S23</f>
        <v>18518530.133070089</v>
      </c>
      <c r="G20" s="92">
        <f>Facilities!H23</f>
        <v>3090308.2276966902</v>
      </c>
      <c r="H20" s="92">
        <f>'Student Success'!E21</f>
        <v>44000</v>
      </c>
      <c r="I20" s="92">
        <f>Research!H23</f>
        <v>701741.15060323826</v>
      </c>
      <c r="J20" s="8">
        <f t="shared" si="0"/>
        <v>63678191.011370011</v>
      </c>
      <c r="K20" s="9">
        <f t="shared" si="1"/>
        <v>8.8735811092068795E-2</v>
      </c>
      <c r="L20" s="69">
        <v>51772011.579505436</v>
      </c>
      <c r="M20" s="50">
        <v>9.0021545924168639E-2</v>
      </c>
      <c r="N20" s="18">
        <f t="shared" si="2"/>
        <v>26958289.737186279</v>
      </c>
      <c r="O20" s="53">
        <f t="shared" si="3"/>
        <v>26573257.334408641</v>
      </c>
      <c r="P20" s="63">
        <f t="shared" si="6"/>
        <v>53531547.071594924</v>
      </c>
      <c r="Q20" s="42">
        <f t="shared" si="4"/>
        <v>8.9378678508118731E-2</v>
      </c>
      <c r="R20" s="38">
        <f t="shared" si="7"/>
        <v>1759535.4920894876</v>
      </c>
      <c r="S20" s="46">
        <f t="shared" si="5"/>
        <v>3.3986229980409351E-2</v>
      </c>
      <c r="U20" s="210">
        <v>4676337</v>
      </c>
      <c r="V20" s="453">
        <v>699105</v>
      </c>
      <c r="W20" s="407"/>
    </row>
    <row r="21" spans="1:23" x14ac:dyDescent="0.2">
      <c r="A21">
        <v>3</v>
      </c>
      <c r="B21" s="37" t="s">
        <v>24</v>
      </c>
      <c r="C21" s="3" t="s">
        <v>137</v>
      </c>
      <c r="D21" s="181">
        <v>1975</v>
      </c>
      <c r="E21" s="92">
        <f>Instruction!M23</f>
        <v>7657421.5</v>
      </c>
      <c r="F21" s="92">
        <f>'Student&amp;Institutional Support'!S24</f>
        <v>5387921.2998738028</v>
      </c>
      <c r="G21" s="92">
        <f>Facilities!H24</f>
        <v>1636105.9601356005</v>
      </c>
      <c r="H21" s="92">
        <f>'Student Success'!E22</f>
        <v>332000</v>
      </c>
      <c r="I21" s="92">
        <f>Research!H24</f>
        <v>240590.89816714701</v>
      </c>
      <c r="J21" s="8">
        <f t="shared" si="0"/>
        <v>15254039.658176551</v>
      </c>
      <c r="K21" s="9">
        <f t="shared" si="1"/>
        <v>2.1256564610279093E-2</v>
      </c>
      <c r="L21" s="69">
        <v>11464014.689692672</v>
      </c>
      <c r="M21" s="50">
        <v>1.9933711157401609E-2</v>
      </c>
      <c r="N21" s="18">
        <f t="shared" si="2"/>
        <v>5969446.0409654221</v>
      </c>
      <c r="O21" s="53">
        <f t="shared" si="3"/>
        <v>6365594.1663547475</v>
      </c>
      <c r="P21" s="63">
        <f t="shared" si="6"/>
        <v>12335040.207320169</v>
      </c>
      <c r="Q21" s="42">
        <f t="shared" si="4"/>
        <v>2.0595137883840348E-2</v>
      </c>
      <c r="R21" s="38">
        <f t="shared" si="7"/>
        <v>871025.51762749627</v>
      </c>
      <c r="S21" s="46">
        <f t="shared" si="5"/>
        <v>7.597909992305206E-2</v>
      </c>
      <c r="U21" s="210">
        <v>1230614</v>
      </c>
      <c r="V21" s="453">
        <v>191805</v>
      </c>
      <c r="W21" s="407">
        <f>158333*5</f>
        <v>791665</v>
      </c>
    </row>
    <row r="22" spans="1:23" x14ac:dyDescent="0.2">
      <c r="A22">
        <v>2</v>
      </c>
      <c r="B22" s="37" t="s">
        <v>27</v>
      </c>
      <c r="C22" s="3" t="s">
        <v>132</v>
      </c>
      <c r="D22" s="181">
        <v>6776</v>
      </c>
      <c r="E22" s="92">
        <f>Instruction!M24</f>
        <v>18136590.5</v>
      </c>
      <c r="F22" s="92">
        <f>'Student&amp;Institutional Support'!S25</f>
        <v>10662547.344026867</v>
      </c>
      <c r="G22" s="92">
        <f>Facilities!H25</f>
        <v>1237478.5236593906</v>
      </c>
      <c r="H22" s="92">
        <f>'Student Success'!E23</f>
        <v>274000</v>
      </c>
      <c r="I22" s="92">
        <f>Research!H25</f>
        <v>37439.352706840844</v>
      </c>
      <c r="J22" s="8">
        <f t="shared" si="0"/>
        <v>30348055.720393099</v>
      </c>
      <c r="K22" s="9">
        <f t="shared" si="1"/>
        <v>4.229013570651749E-2</v>
      </c>
      <c r="L22" s="69">
        <v>22778632.115815632</v>
      </c>
      <c r="M22" s="50">
        <v>3.9607649278889157E-2</v>
      </c>
      <c r="N22" s="18">
        <f t="shared" si="2"/>
        <v>11861099.185839292</v>
      </c>
      <c r="O22" s="53">
        <f t="shared" si="3"/>
        <v>12664409.611023396</v>
      </c>
      <c r="P22" s="63">
        <f t="shared" si="6"/>
        <v>24525508.796862688</v>
      </c>
      <c r="Q22" s="42">
        <f t="shared" si="4"/>
        <v>4.0948892492703323E-2</v>
      </c>
      <c r="R22" s="38">
        <f t="shared" si="7"/>
        <v>1746876.6810470559</v>
      </c>
      <c r="S22" s="46">
        <f t="shared" si="5"/>
        <v>7.6689270548171623E-2</v>
      </c>
      <c r="U22" s="210">
        <v>4304305</v>
      </c>
      <c r="V22" s="453">
        <v>602142</v>
      </c>
      <c r="W22" s="407"/>
    </row>
    <row r="23" spans="1:23" ht="14.25" customHeight="1" x14ac:dyDescent="0.2">
      <c r="A23">
        <v>2</v>
      </c>
      <c r="B23" s="37" t="s">
        <v>29</v>
      </c>
      <c r="C23" s="3" t="s">
        <v>133</v>
      </c>
      <c r="D23" s="181">
        <v>3830</v>
      </c>
      <c r="E23" s="92">
        <f>Instruction!M25</f>
        <v>11782452</v>
      </c>
      <c r="F23" s="92">
        <f>'Student&amp;Institutional Support'!S26</f>
        <v>7751226.5928724278</v>
      </c>
      <c r="G23" s="92">
        <f>Facilities!H26</f>
        <v>1217360.7561810331</v>
      </c>
      <c r="H23" s="92">
        <f>'Student Success'!E24</f>
        <v>180000</v>
      </c>
      <c r="I23" s="92">
        <f>Research!H26</f>
        <v>1143.806991794095</v>
      </c>
      <c r="J23" s="8">
        <f t="shared" si="0"/>
        <v>20932183.156045251</v>
      </c>
      <c r="K23" s="9">
        <f t="shared" si="1"/>
        <v>2.9169080037901252E-2</v>
      </c>
      <c r="L23" s="69">
        <v>16294153.037747525</v>
      </c>
      <c r="M23" s="50">
        <v>2.8332390440932387E-2</v>
      </c>
      <c r="N23" s="18">
        <f t="shared" si="2"/>
        <v>8484555.3651915453</v>
      </c>
      <c r="O23" s="53">
        <f t="shared" si="3"/>
        <v>8735114.4990479723</v>
      </c>
      <c r="P23" s="63">
        <f t="shared" si="6"/>
        <v>17219669.864239518</v>
      </c>
      <c r="Q23" s="42">
        <f t="shared" si="4"/>
        <v>2.8750735239416816E-2</v>
      </c>
      <c r="R23" s="38">
        <f t="shared" si="7"/>
        <v>925516.82649199292</v>
      </c>
      <c r="S23" s="46">
        <f t="shared" si="5"/>
        <v>5.6800548291642577E-2</v>
      </c>
      <c r="U23" s="210">
        <v>2475368</v>
      </c>
      <c r="V23" s="453">
        <v>367417</v>
      </c>
      <c r="W23" s="407"/>
    </row>
    <row r="24" spans="1:23" ht="12.75" customHeight="1" x14ac:dyDescent="0.2">
      <c r="A24">
        <v>3</v>
      </c>
      <c r="B24" s="37" t="s">
        <v>118</v>
      </c>
      <c r="C24" s="3" t="s">
        <v>63</v>
      </c>
      <c r="D24" s="182">
        <v>3085</v>
      </c>
      <c r="E24" s="92">
        <f>Instruction!M26</f>
        <v>10204095.5</v>
      </c>
      <c r="F24" s="92">
        <f>'Student&amp;Institutional Support'!S27</f>
        <v>7669666.3895214265</v>
      </c>
      <c r="G24" s="92">
        <f>Facilities!H27</f>
        <v>2779238.0004726127</v>
      </c>
      <c r="H24" s="92">
        <f>'Student Success'!E25</f>
        <v>240000</v>
      </c>
      <c r="I24" s="92">
        <f>Research!H27</f>
        <v>166674.81959232912</v>
      </c>
      <c r="J24" s="8">
        <f t="shared" si="0"/>
        <v>21059674.709586371</v>
      </c>
      <c r="K24" s="9">
        <f t="shared" si="1"/>
        <v>2.9346740022131005E-2</v>
      </c>
      <c r="L24" s="69">
        <v>17602044.311479386</v>
      </c>
      <c r="M24" s="50">
        <v>3.060656119014624E-2</v>
      </c>
      <c r="N24" s="18">
        <f t="shared" si="2"/>
        <v>9165589.5924951378</v>
      </c>
      <c r="O24" s="53">
        <f t="shared" si="3"/>
        <v>8788317.4215305988</v>
      </c>
      <c r="P24" s="63">
        <f t="shared" si="6"/>
        <v>17953907.014025737</v>
      </c>
      <c r="Q24" s="42">
        <f t="shared" si="4"/>
        <v>2.9976650606138622E-2</v>
      </c>
      <c r="R24" s="38">
        <f t="shared" si="7"/>
        <v>351862.70254635066</v>
      </c>
      <c r="S24" s="46">
        <f t="shared" si="5"/>
        <v>1.9989877102904414E-2</v>
      </c>
      <c r="U24" s="210">
        <v>1864190</v>
      </c>
      <c r="V24" s="453">
        <v>252429</v>
      </c>
      <c r="W24" s="407">
        <f>158333*6</f>
        <v>949998</v>
      </c>
    </row>
    <row r="25" spans="1:23" x14ac:dyDescent="0.2">
      <c r="A25">
        <v>3</v>
      </c>
      <c r="B25" s="37" t="s">
        <v>110</v>
      </c>
      <c r="C25" s="3" t="s">
        <v>134</v>
      </c>
      <c r="D25" s="181">
        <v>1968</v>
      </c>
      <c r="E25" s="92">
        <f>Instruction!M27</f>
        <v>6974933</v>
      </c>
      <c r="F25" s="92">
        <f>'Student&amp;Institutional Support'!S28</f>
        <v>5202340.4145419318</v>
      </c>
      <c r="G25" s="92">
        <f>Facilities!H28</f>
        <v>1394872.140738559</v>
      </c>
      <c r="H25" s="92">
        <f>'Student Success'!E26</f>
        <v>202000</v>
      </c>
      <c r="I25" s="92">
        <f>Research!H28</f>
        <v>116609.02367428319</v>
      </c>
      <c r="J25" s="8">
        <f t="shared" si="0"/>
        <v>13890754.578954775</v>
      </c>
      <c r="K25" s="9">
        <f t="shared" si="1"/>
        <v>1.9356821459082171E-2</v>
      </c>
      <c r="L25" s="69">
        <v>11340524.718830932</v>
      </c>
      <c r="M25" s="50">
        <v>1.9718985908296065E-2</v>
      </c>
      <c r="N25" s="18">
        <f t="shared" si="2"/>
        <v>5905143.3740888396</v>
      </c>
      <c r="O25" s="53">
        <f t="shared" si="3"/>
        <v>5796687.8476458592</v>
      </c>
      <c r="P25" s="63">
        <f t="shared" si="6"/>
        <v>11701831.221734699</v>
      </c>
      <c r="Q25" s="42">
        <f t="shared" si="4"/>
        <v>1.9537903683689118E-2</v>
      </c>
      <c r="R25" s="38">
        <f t="shared" si="7"/>
        <v>361306.50290376693</v>
      </c>
      <c r="S25" s="46">
        <f t="shared" si="5"/>
        <v>3.18597694429269E-2</v>
      </c>
      <c r="U25" s="210">
        <v>1240747</v>
      </c>
      <c r="V25" s="453">
        <v>161978</v>
      </c>
      <c r="W25" s="407">
        <f>158333*2</f>
        <v>316666</v>
      </c>
    </row>
    <row r="26" spans="1:23" x14ac:dyDescent="0.2">
      <c r="A26">
        <v>1</v>
      </c>
      <c r="B26" s="37" t="s">
        <v>33</v>
      </c>
      <c r="C26" s="3" t="s">
        <v>130</v>
      </c>
      <c r="D26" s="181">
        <v>798</v>
      </c>
      <c r="E26" s="92">
        <f>Instruction!M28</f>
        <v>2565618.5</v>
      </c>
      <c r="F26" s="92">
        <f>'Student&amp;Institutional Support'!S29</f>
        <v>3324594.7939357087</v>
      </c>
      <c r="G26" s="92">
        <f>Facilities!H29</f>
        <v>347854.61623905279</v>
      </c>
      <c r="H26" s="92">
        <f>'Student Success'!E27</f>
        <v>4000</v>
      </c>
      <c r="I26" s="92">
        <f>Research!H29</f>
        <v>0</v>
      </c>
      <c r="J26" s="8">
        <f t="shared" si="0"/>
        <v>6242067.9101747619</v>
      </c>
      <c r="K26" s="9">
        <f t="shared" si="1"/>
        <v>8.6983463271158579E-3</v>
      </c>
      <c r="L26" s="69">
        <v>4738309.1622409392</v>
      </c>
      <c r="M26" s="50">
        <v>8.2390060350762285E-3</v>
      </c>
      <c r="N26" s="18">
        <f t="shared" si="2"/>
        <v>2467292.7970722639</v>
      </c>
      <c r="O26" s="53">
        <f t="shared" si="3"/>
        <v>2604849.0737796109</v>
      </c>
      <c r="P26" s="63">
        <f t="shared" si="6"/>
        <v>5072141.8708518744</v>
      </c>
      <c r="Q26" s="42">
        <f t="shared" si="4"/>
        <v>8.4686761810960423E-3</v>
      </c>
      <c r="R26" s="38">
        <f t="shared" si="7"/>
        <v>333832.70861093514</v>
      </c>
      <c r="S26" s="46">
        <f t="shared" si="5"/>
        <v>7.0453973596997635E-2</v>
      </c>
      <c r="U26" s="210">
        <v>367758</v>
      </c>
      <c r="V26" s="453">
        <v>92123</v>
      </c>
      <c r="W26" s="407">
        <f>158333</f>
        <v>158333</v>
      </c>
    </row>
    <row r="27" spans="1:23" x14ac:dyDescent="0.2">
      <c r="A27">
        <v>3</v>
      </c>
      <c r="B27" s="37" t="s">
        <v>35</v>
      </c>
      <c r="C27" s="3" t="s">
        <v>36</v>
      </c>
      <c r="D27" s="181">
        <v>2484</v>
      </c>
      <c r="E27" s="92">
        <f>Instruction!M29</f>
        <v>9732572.5</v>
      </c>
      <c r="F27" s="92">
        <f>'Student&amp;Institutional Support'!S30</f>
        <v>5598491.2746517817</v>
      </c>
      <c r="G27" s="92">
        <f>Facilities!H30</f>
        <v>1842253.9905242287</v>
      </c>
      <c r="H27" s="92">
        <f>'Student Success'!E28</f>
        <v>538000</v>
      </c>
      <c r="I27" s="92">
        <f>Research!H30</f>
        <v>0</v>
      </c>
      <c r="J27" s="8">
        <f t="shared" si="0"/>
        <v>17711317.765176009</v>
      </c>
      <c r="K27" s="9">
        <f t="shared" si="1"/>
        <v>2.4680791373637476E-2</v>
      </c>
      <c r="L27" s="69">
        <v>13792191.937178545</v>
      </c>
      <c r="M27" s="50">
        <v>2.3981962492629252E-2</v>
      </c>
      <c r="N27" s="18">
        <f t="shared" si="2"/>
        <v>7181755.0643624328</v>
      </c>
      <c r="O27" s="53">
        <f t="shared" si="3"/>
        <v>7391029.7580763455</v>
      </c>
      <c r="P27" s="63">
        <f t="shared" si="6"/>
        <v>14572784.822438778</v>
      </c>
      <c r="Q27" s="42">
        <f t="shared" si="4"/>
        <v>2.4331376933133364E-2</v>
      </c>
      <c r="R27" s="38">
        <f t="shared" si="7"/>
        <v>780592.88526023366</v>
      </c>
      <c r="S27" s="46">
        <f t="shared" si="5"/>
        <v>5.6596724350684954E-2</v>
      </c>
      <c r="U27" s="210">
        <v>1611369</v>
      </c>
      <c r="V27" s="453">
        <v>210152</v>
      </c>
      <c r="W27" s="407">
        <f>158333*2</f>
        <v>316666</v>
      </c>
    </row>
    <row r="28" spans="1:23" x14ac:dyDescent="0.2">
      <c r="A28">
        <v>3</v>
      </c>
      <c r="B28" s="37" t="s">
        <v>37</v>
      </c>
      <c r="C28" s="3" t="s">
        <v>131</v>
      </c>
      <c r="D28" s="181">
        <v>2164</v>
      </c>
      <c r="E28" s="92">
        <f>Instruction!M30</f>
        <v>6959568.5</v>
      </c>
      <c r="F28" s="92">
        <f>'Student&amp;Institutional Support'!S31</f>
        <v>5031718.6091814823</v>
      </c>
      <c r="G28" s="92">
        <f>Facilities!H31</f>
        <v>1391961.7718081397</v>
      </c>
      <c r="H28" s="92">
        <f>'Student Success'!E29</f>
        <v>154000</v>
      </c>
      <c r="I28" s="92">
        <f>Research!H31</f>
        <v>0</v>
      </c>
      <c r="J28" s="8">
        <f t="shared" si="0"/>
        <v>13537248.880989622</v>
      </c>
      <c r="K28" s="9">
        <f t="shared" si="1"/>
        <v>1.8864209870461435E-2</v>
      </c>
      <c r="L28" s="69">
        <v>10517440.547275174</v>
      </c>
      <c r="M28" s="50">
        <v>1.8287801233631145E-2</v>
      </c>
      <c r="N28" s="18">
        <f t="shared" si="2"/>
        <v>5476553.8544249795</v>
      </c>
      <c r="O28" s="53">
        <f t="shared" si="3"/>
        <v>5649167.9867325621</v>
      </c>
      <c r="P28" s="63">
        <f t="shared" si="6"/>
        <v>11125721.841157541</v>
      </c>
      <c r="Q28" s="42">
        <f t="shared" si="4"/>
        <v>1.857600555204629E-2</v>
      </c>
      <c r="R28" s="38">
        <f t="shared" si="7"/>
        <v>608281.29388236627</v>
      </c>
      <c r="S28" s="46">
        <f t="shared" si="5"/>
        <v>5.7835486794356815E-2</v>
      </c>
      <c r="U28" s="210">
        <v>1250977</v>
      </c>
      <c r="V28" s="453">
        <v>221847</v>
      </c>
      <c r="W28" s="407">
        <f>158333*3</f>
        <v>474999</v>
      </c>
    </row>
    <row r="29" spans="1:23" x14ac:dyDescent="0.2">
      <c r="A29">
        <v>3</v>
      </c>
      <c r="B29" s="37" t="s">
        <v>39</v>
      </c>
      <c r="C29" s="3" t="s">
        <v>135</v>
      </c>
      <c r="D29" s="181">
        <v>3363</v>
      </c>
      <c r="E29" s="92">
        <f>Instruction!M31</f>
        <v>11295600.5</v>
      </c>
      <c r="F29" s="92">
        <f>'Student&amp;Institutional Support'!S32</f>
        <v>6366301.8556767358</v>
      </c>
      <c r="G29" s="92">
        <f>Facilities!H32</f>
        <v>1519869.6434792734</v>
      </c>
      <c r="H29" s="92">
        <f>'Student Success'!E30</f>
        <v>0</v>
      </c>
      <c r="I29" s="92">
        <f>Research!H32</f>
        <v>23186.930098370729</v>
      </c>
      <c r="J29" s="8">
        <f t="shared" si="0"/>
        <v>19204958.929254379</v>
      </c>
      <c r="K29" s="9">
        <f t="shared" si="1"/>
        <v>2.6762186244784655E-2</v>
      </c>
      <c r="L29" s="69">
        <v>15930558.382877786</v>
      </c>
      <c r="M29" s="50">
        <v>2.770016944115776E-2</v>
      </c>
      <c r="N29" s="18">
        <f t="shared" si="2"/>
        <v>8295227.3913727561</v>
      </c>
      <c r="O29" s="53">
        <f t="shared" si="3"/>
        <v>8014334.3838505484</v>
      </c>
      <c r="P29" s="63">
        <f t="shared" si="6"/>
        <v>16309561.775223304</v>
      </c>
      <c r="Q29" s="42">
        <f t="shared" si="4"/>
        <v>2.7231177842971205E-2</v>
      </c>
      <c r="R29" s="38">
        <f t="shared" si="7"/>
        <v>379003.39234551787</v>
      </c>
      <c r="S29" s="46">
        <f t="shared" si="5"/>
        <v>2.3790967223902955E-2</v>
      </c>
      <c r="U29" s="210">
        <v>2188727</v>
      </c>
      <c r="V29" s="453">
        <v>320171</v>
      </c>
      <c r="W29" s="407">
        <f>158333</f>
        <v>158333</v>
      </c>
    </row>
    <row r="30" spans="1:23" x14ac:dyDescent="0.2">
      <c r="A30">
        <v>1</v>
      </c>
      <c r="B30" s="37" t="s">
        <v>46</v>
      </c>
      <c r="C30" s="3" t="s">
        <v>70</v>
      </c>
      <c r="D30" s="181">
        <v>4255</v>
      </c>
      <c r="E30" s="92">
        <f>Instruction!M32</f>
        <v>13223740.5</v>
      </c>
      <c r="F30" s="92">
        <f>'Student&amp;Institutional Support'!S33</f>
        <v>8198032.1811227482</v>
      </c>
      <c r="G30" s="92">
        <f>Facilities!H33</f>
        <v>1347104.3259526051</v>
      </c>
      <c r="H30" s="92">
        <f>'Student Success'!E31</f>
        <v>808000</v>
      </c>
      <c r="I30" s="92">
        <f>Research!H33</f>
        <v>0</v>
      </c>
      <c r="J30" s="8">
        <f t="shared" si="0"/>
        <v>23576877.007075354</v>
      </c>
      <c r="K30" s="9">
        <f t="shared" si="1"/>
        <v>3.2854471382003037E-2</v>
      </c>
      <c r="L30" s="69">
        <v>18029118.288912401</v>
      </c>
      <c r="M30" s="50">
        <v>3.1349160492347636E-2</v>
      </c>
      <c r="N30" s="18">
        <f t="shared" si="2"/>
        <v>9387971.9893075768</v>
      </c>
      <c r="O30" s="53">
        <f t="shared" si="3"/>
        <v>9838759.705640018</v>
      </c>
      <c r="P30" s="63">
        <f t="shared" si="6"/>
        <v>19226731.694947593</v>
      </c>
      <c r="Q30" s="42">
        <f t="shared" si="4"/>
        <v>3.2101815937175336E-2</v>
      </c>
      <c r="R30" s="38">
        <f t="shared" si="7"/>
        <v>1197613.4060351923</v>
      </c>
      <c r="S30" s="46">
        <f t="shared" si="5"/>
        <v>6.642662091643739E-2</v>
      </c>
      <c r="U30" s="210">
        <v>2722291</v>
      </c>
      <c r="V30" s="453">
        <v>435787</v>
      </c>
      <c r="W30" s="407"/>
    </row>
    <row r="31" spans="1:23" x14ac:dyDescent="0.2">
      <c r="A31">
        <v>4</v>
      </c>
      <c r="B31" s="37" t="s">
        <v>41</v>
      </c>
      <c r="C31" s="3" t="s">
        <v>117</v>
      </c>
      <c r="D31" s="181">
        <v>2095</v>
      </c>
      <c r="E31" s="92">
        <f>Instruction!M33</f>
        <v>8461761.5</v>
      </c>
      <c r="F31" s="92">
        <f>'Student&amp;Institutional Support'!S34</f>
        <v>5304613.6097238157</v>
      </c>
      <c r="G31" s="92">
        <f>Facilities!H34</f>
        <v>1155943.9798156747</v>
      </c>
      <c r="H31" s="92">
        <f>'Student Success'!E32</f>
        <v>110000</v>
      </c>
      <c r="I31" s="92">
        <f>Research!H34</f>
        <v>6237.6704226304864</v>
      </c>
      <c r="J31" s="8">
        <f t="shared" si="0"/>
        <v>15038556.759962121</v>
      </c>
      <c r="K31" s="9">
        <f t="shared" si="1"/>
        <v>2.0956288339143928E-2</v>
      </c>
      <c r="L31" s="69">
        <v>11743074.172018073</v>
      </c>
      <c r="M31" s="50">
        <v>2.0418941791431586E-2</v>
      </c>
      <c r="N31" s="18">
        <f t="shared" si="2"/>
        <v>6114755.5653381506</v>
      </c>
      <c r="O31" s="53">
        <f t="shared" si="3"/>
        <v>6275671.9745576577</v>
      </c>
      <c r="P31" s="63">
        <f t="shared" si="6"/>
        <v>12390427.539895808</v>
      </c>
      <c r="Q31" s="42">
        <f t="shared" si="4"/>
        <v>2.0687615065287757E-2</v>
      </c>
      <c r="R31" s="38">
        <f t="shared" si="7"/>
        <v>647353.36787773483</v>
      </c>
      <c r="S31" s="46">
        <f t="shared" si="5"/>
        <v>5.5126396920857197E-2</v>
      </c>
      <c r="U31" s="210">
        <v>1356623</v>
      </c>
      <c r="V31" s="453">
        <v>184325</v>
      </c>
      <c r="W31" s="407">
        <f>158333*2</f>
        <v>316666</v>
      </c>
    </row>
    <row r="32" spans="1:23" x14ac:dyDescent="0.2">
      <c r="A32">
        <v>4</v>
      </c>
      <c r="B32" s="37" t="s">
        <v>42</v>
      </c>
      <c r="C32" s="3" t="s">
        <v>69</v>
      </c>
      <c r="D32" s="181">
        <v>3365</v>
      </c>
      <c r="E32" s="92">
        <f>Instruction!M34</f>
        <v>9536274</v>
      </c>
      <c r="F32" s="92">
        <f>'Student&amp;Institutional Support'!S35</f>
        <v>10816835.164890416</v>
      </c>
      <c r="G32" s="92">
        <f>Facilities!H35</f>
        <v>1934679.0578496822</v>
      </c>
      <c r="H32" s="92">
        <f>'Student Success'!E33</f>
        <v>28000</v>
      </c>
      <c r="I32" s="92">
        <f>Research!H35</f>
        <v>160625.52683387633</v>
      </c>
      <c r="J32" s="8">
        <f t="shared" si="0"/>
        <v>22476413.749573976</v>
      </c>
      <c r="K32" s="9">
        <f t="shared" si="1"/>
        <v>3.1320971479124687E-2</v>
      </c>
      <c r="L32" s="69">
        <v>18035131.021913342</v>
      </c>
      <c r="M32" s="50">
        <v>3.1359615475715301E-2</v>
      </c>
      <c r="N32" s="18">
        <f t="shared" si="2"/>
        <v>9391102.889448531</v>
      </c>
      <c r="O32" s="53">
        <f t="shared" si="3"/>
        <v>9379530.3703810386</v>
      </c>
      <c r="P32" s="63">
        <f t="shared" si="6"/>
        <v>18770633.25982957</v>
      </c>
      <c r="Q32" s="42">
        <f t="shared" si="4"/>
        <v>3.1340293477419991E-2</v>
      </c>
      <c r="R32" s="38">
        <f>P32-L32</f>
        <v>735502.23791622743</v>
      </c>
      <c r="S32" s="46">
        <f t="shared" si="5"/>
        <v>4.0781640955231506E-2</v>
      </c>
      <c r="U32" s="210">
        <v>720575</v>
      </c>
      <c r="V32" s="453">
        <v>330979</v>
      </c>
      <c r="W32" s="407"/>
    </row>
    <row r="33" spans="1:23" x14ac:dyDescent="0.2">
      <c r="A33">
        <v>1</v>
      </c>
      <c r="B33" s="37" t="s">
        <v>43</v>
      </c>
      <c r="C33" s="3" t="s">
        <v>44</v>
      </c>
      <c r="D33" s="181">
        <v>9547</v>
      </c>
      <c r="E33" s="92">
        <f>Instruction!M35</f>
        <v>34396410.5</v>
      </c>
      <c r="F33" s="92">
        <f>'Student&amp;Institutional Support'!S36</f>
        <v>19011744.416343346</v>
      </c>
      <c r="G33" s="92">
        <f>Facilities!H36</f>
        <v>4462626.3015699117</v>
      </c>
      <c r="H33" s="92">
        <f>'Student Success'!E34</f>
        <v>0</v>
      </c>
      <c r="I33" s="92">
        <f>Research!H36</f>
        <v>989425.7471104759</v>
      </c>
      <c r="J33" s="8">
        <f t="shared" si="0"/>
        <v>58860206.965023734</v>
      </c>
      <c r="K33" s="9">
        <f t="shared" si="1"/>
        <v>8.2021931263025802E-2</v>
      </c>
      <c r="L33" s="69">
        <v>50680611.549550727</v>
      </c>
      <c r="M33" s="50">
        <v>8.8123811705993108E-2</v>
      </c>
      <c r="N33" s="18">
        <f t="shared" si="2"/>
        <v>26389985.023325399</v>
      </c>
      <c r="O33" s="53">
        <f t="shared" si="3"/>
        <v>24562686.244633578</v>
      </c>
      <c r="P33" s="63">
        <f t="shared" si="6"/>
        <v>50952671.267958976</v>
      </c>
      <c r="Q33" s="42">
        <f t="shared" si="4"/>
        <v>8.5072871484509455E-2</v>
      </c>
      <c r="R33" s="38">
        <f t="shared" si="7"/>
        <v>272059.71840824932</v>
      </c>
      <c r="S33" s="46">
        <f t="shared" si="5"/>
        <v>5.3681222481353633E-3</v>
      </c>
      <c r="U33" s="210">
        <v>3102798</v>
      </c>
      <c r="V33" s="453">
        <v>560346</v>
      </c>
      <c r="W33" s="407"/>
    </row>
    <row r="34" spans="1:23" x14ac:dyDescent="0.2">
      <c r="A34">
        <v>1</v>
      </c>
      <c r="B34" s="37" t="s">
        <v>45</v>
      </c>
      <c r="C34" s="3" t="s">
        <v>136</v>
      </c>
      <c r="D34" s="181">
        <v>3065</v>
      </c>
      <c r="E34" s="92">
        <f>Instruction!M36</f>
        <v>10226981.5</v>
      </c>
      <c r="F34" s="92">
        <f>'Student&amp;Institutional Support'!S37</f>
        <v>5707618.6922613699</v>
      </c>
      <c r="G34" s="92">
        <f>Facilities!H37</f>
        <v>1214215.3033331404</v>
      </c>
      <c r="H34" s="92">
        <f>'Student Success'!E35</f>
        <v>60000</v>
      </c>
      <c r="I34" s="92">
        <f>Research!H37</f>
        <v>14760.609274566277</v>
      </c>
      <c r="J34" s="8">
        <f t="shared" si="0"/>
        <v>17223576.104869075</v>
      </c>
      <c r="K34" s="9">
        <f t="shared" si="1"/>
        <v>2.4001121440441663E-2</v>
      </c>
      <c r="L34" s="69">
        <v>13232760.005791504</v>
      </c>
      <c r="M34" s="50">
        <v>2.3009218228569387E-2</v>
      </c>
      <c r="N34" s="18">
        <f t="shared" si="2"/>
        <v>6890452.3385371976</v>
      </c>
      <c r="O34" s="53">
        <f t="shared" si="3"/>
        <v>7187492.4960059822</v>
      </c>
      <c r="P34" s="63">
        <f>N34+O34</f>
        <v>14077944.83454318</v>
      </c>
      <c r="Q34" s="42">
        <f t="shared" si="4"/>
        <v>2.3505169834505523E-2</v>
      </c>
      <c r="R34" s="38">
        <f t="shared" si="7"/>
        <v>845184.82875167578</v>
      </c>
      <c r="S34" s="46">
        <f t="shared" si="5"/>
        <v>6.3870638353734882E-2</v>
      </c>
      <c r="U34" s="210">
        <v>1986260</v>
      </c>
      <c r="V34" s="453">
        <v>266931</v>
      </c>
      <c r="W34" s="407">
        <f>158333</f>
        <v>158333</v>
      </c>
    </row>
    <row r="35" spans="1:23" x14ac:dyDescent="0.2">
      <c r="A35">
        <v>4</v>
      </c>
      <c r="B35" s="37" t="s">
        <v>47</v>
      </c>
      <c r="C35" s="3" t="s">
        <v>48</v>
      </c>
      <c r="D35" s="181">
        <v>7049</v>
      </c>
      <c r="E35" s="92">
        <f>Instruction!M37</f>
        <v>24460186.5</v>
      </c>
      <c r="F35" s="92">
        <f>'Student&amp;Institutional Support'!S38</f>
        <v>12548225.036900127</v>
      </c>
      <c r="G35" s="92">
        <f>Facilities!H38</f>
        <v>2473956.8746458506</v>
      </c>
      <c r="H35" s="92">
        <f>'Student Success'!E36</f>
        <v>0</v>
      </c>
      <c r="I35" s="92">
        <f>Research!H38</f>
        <v>100515.37696747371</v>
      </c>
      <c r="J35" s="8">
        <f t="shared" si="0"/>
        <v>39582883.788513452</v>
      </c>
      <c r="K35" s="9">
        <f t="shared" si="1"/>
        <v>5.5158905153409349E-2</v>
      </c>
      <c r="L35" s="69">
        <v>32155636.40205083</v>
      </c>
      <c r="M35" s="50">
        <v>5.5912451743211557E-2</v>
      </c>
      <c r="N35" s="18">
        <f>M35*$O$39</f>
        <v>16743814.589450056</v>
      </c>
      <c r="O35" s="53">
        <f>K35*$O$39</f>
        <v>16518153.864677913</v>
      </c>
      <c r="P35" s="63">
        <f>N35+O35</f>
        <v>33261968.454127967</v>
      </c>
      <c r="Q35" s="42">
        <f t="shared" si="4"/>
        <v>5.5535678448310449E-2</v>
      </c>
      <c r="R35" s="38">
        <f t="shared" si="7"/>
        <v>1106332.0520771369</v>
      </c>
      <c r="S35" s="46">
        <f t="shared" si="5"/>
        <v>3.4405540547988563E-2</v>
      </c>
      <c r="U35" s="210">
        <v>2678735</v>
      </c>
      <c r="V35" s="453">
        <v>331955</v>
      </c>
      <c r="W35" s="407"/>
    </row>
    <row r="36" spans="1:23" x14ac:dyDescent="0.2">
      <c r="N36" s="17"/>
      <c r="O36" s="52"/>
      <c r="P36" s="55"/>
      <c r="R36" s="11"/>
      <c r="W36" s="176"/>
    </row>
    <row r="37" spans="1:23" x14ac:dyDescent="0.2">
      <c r="B37" s="4"/>
      <c r="C37" s="87" t="s">
        <v>49</v>
      </c>
      <c r="D37" s="183">
        <f>SUM(D6:D36)</f>
        <v>122484</v>
      </c>
      <c r="E37" s="183">
        <f t="shared" ref="E37:M37" si="8">SUM(E6:E36)</f>
        <v>404350751</v>
      </c>
      <c r="F37" s="183">
        <f t="shared" si="8"/>
        <v>251526360.61373401</v>
      </c>
      <c r="G37" s="183">
        <f t="shared" si="8"/>
        <v>53018969.955209792</v>
      </c>
      <c r="H37" s="183">
        <f t="shared" si="8"/>
        <v>5378000</v>
      </c>
      <c r="I37" s="183">
        <f t="shared" si="8"/>
        <v>3341391.0084130517</v>
      </c>
      <c r="J37" s="12">
        <f t="shared" si="8"/>
        <v>717615472.57735682</v>
      </c>
      <c r="K37" s="7">
        <f t="shared" si="8"/>
        <v>1.0000000000000002</v>
      </c>
      <c r="L37" s="65">
        <f t="shared" si="8"/>
        <v>575106893</v>
      </c>
      <c r="M37" s="51">
        <f t="shared" si="8"/>
        <v>1</v>
      </c>
      <c r="N37" s="5">
        <f t="shared" ref="N37:R37" si="9">SUM(N6:N36)</f>
        <v>299464861.00000006</v>
      </c>
      <c r="O37" s="56">
        <f t="shared" si="9"/>
        <v>299464861</v>
      </c>
      <c r="P37" s="56">
        <f>SUM(P6:P36)</f>
        <v>598929722</v>
      </c>
      <c r="Q37" s="7">
        <f>SUM(Q6:Q36)</f>
        <v>1</v>
      </c>
      <c r="R37" s="5">
        <f t="shared" si="9"/>
        <v>23822829.000000004</v>
      </c>
      <c r="S37" s="209">
        <f>R37/L37</f>
        <v>4.1423306327855132E-2</v>
      </c>
      <c r="U37" s="208">
        <f t="shared" ref="U37:W37" si="10">SUM(U6:U36)</f>
        <v>62082249</v>
      </c>
      <c r="V37" s="208">
        <f>SUM(V6:V36)</f>
        <v>9601007</v>
      </c>
      <c r="W37" s="208">
        <f t="shared" si="10"/>
        <v>5699988</v>
      </c>
    </row>
    <row r="38" spans="1:23" ht="18.75" customHeight="1" x14ac:dyDescent="0.2">
      <c r="B38" s="16" t="s">
        <v>336</v>
      </c>
      <c r="C38" s="87"/>
      <c r="D38" s="183"/>
      <c r="E38" s="183"/>
      <c r="F38" s="183"/>
      <c r="G38" s="183"/>
      <c r="H38" s="183"/>
      <c r="I38" s="183"/>
      <c r="J38" s="12"/>
      <c r="K38" s="7"/>
      <c r="L38" s="70"/>
      <c r="M38" s="51"/>
      <c r="N38" s="5"/>
      <c r="O38" s="56"/>
      <c r="P38" s="56"/>
      <c r="Q38" s="7"/>
      <c r="R38" s="5"/>
    </row>
    <row r="39" spans="1:23" ht="21" hidden="1" customHeight="1" x14ac:dyDescent="0.2">
      <c r="B39" s="16"/>
      <c r="E39" s="212"/>
      <c r="F39" s="212"/>
      <c r="G39" s="212"/>
      <c r="H39" s="212"/>
      <c r="I39" s="212"/>
      <c r="N39" s="24"/>
      <c r="O39" s="104">
        <f>(O41)/2</f>
        <v>299464861</v>
      </c>
      <c r="P39" s="43"/>
      <c r="Q39" s="57"/>
      <c r="R39" s="24"/>
    </row>
    <row r="40" spans="1:23" ht="12" customHeight="1" x14ac:dyDescent="0.2">
      <c r="B40" s="494"/>
      <c r="C40" s="495"/>
      <c r="L40" s="87"/>
      <c r="N40" s="15"/>
      <c r="P40" s="43"/>
      <c r="Q40" s="54"/>
      <c r="R40" s="295"/>
      <c r="S40" s="403"/>
      <c r="W40" s="176"/>
    </row>
    <row r="41" spans="1:23" x14ac:dyDescent="0.2">
      <c r="J41" s="194"/>
      <c r="N41" s="172" t="s">
        <v>127</v>
      </c>
      <c r="O41" s="484">
        <v>598929722</v>
      </c>
      <c r="R41" s="11"/>
    </row>
    <row r="42" spans="1:23" x14ac:dyDescent="0.2">
      <c r="M42" s="302"/>
      <c r="Q42" s="302"/>
      <c r="R42" s="11"/>
      <c r="S42" s="483"/>
    </row>
    <row r="43" spans="1:23" x14ac:dyDescent="0.2">
      <c r="J43" s="176"/>
      <c r="M43" s="302"/>
      <c r="N43" s="207"/>
      <c r="O43" s="57"/>
      <c r="Q43" s="302"/>
      <c r="R43" s="11"/>
      <c r="S43" s="483"/>
    </row>
    <row r="44" spans="1:23" x14ac:dyDescent="0.2">
      <c r="O44" s="166"/>
      <c r="P44" s="134"/>
      <c r="Q44" s="24"/>
      <c r="R44" s="11"/>
      <c r="S44" s="302"/>
    </row>
    <row r="45" spans="1:23" x14ac:dyDescent="0.2">
      <c r="M45" s="302"/>
      <c r="P45" s="134"/>
      <c r="Q45" s="302"/>
      <c r="R45" s="11"/>
      <c r="S45" s="483"/>
    </row>
    <row r="46" spans="1:23" x14ac:dyDescent="0.2">
      <c r="M46" s="302"/>
      <c r="O46" s="55"/>
      <c r="P46" s="134"/>
      <c r="Q46" s="302"/>
      <c r="R46" s="11"/>
      <c r="S46" s="483"/>
    </row>
    <row r="47" spans="1:23" x14ac:dyDescent="0.2">
      <c r="R47" s="11"/>
      <c r="S47" s="302"/>
    </row>
    <row r="48" spans="1:23" x14ac:dyDescent="0.2">
      <c r="P48" s="57"/>
    </row>
    <row r="49" spans="13:23" x14ac:dyDescent="0.2">
      <c r="M49" s="302"/>
      <c r="Q49" s="302"/>
      <c r="R49" s="11"/>
      <c r="S49" s="483"/>
    </row>
    <row r="50" spans="13:23" x14ac:dyDescent="0.2">
      <c r="M50" s="302"/>
      <c r="Q50" s="302"/>
      <c r="R50" s="11"/>
      <c r="S50" s="483"/>
    </row>
    <row r="51" spans="13:23" x14ac:dyDescent="0.2">
      <c r="P51" s="153"/>
    </row>
    <row r="52" spans="13:23" x14ac:dyDescent="0.2">
      <c r="S52" s="6"/>
    </row>
    <row r="53" spans="13:23" x14ac:dyDescent="0.2">
      <c r="M53" s="41"/>
      <c r="Q53" s="41"/>
      <c r="S53" s="6"/>
    </row>
    <row r="58" spans="13:23" x14ac:dyDescent="0.2">
      <c r="P58" s="57"/>
      <c r="Q58" s="24"/>
      <c r="R58" s="24"/>
      <c r="U58" s="176"/>
      <c r="W58" s="176"/>
    </row>
  </sheetData>
  <mergeCells count="1">
    <mergeCell ref="B40:C40"/>
  </mergeCells>
  <pageMargins left="0.3" right="0.08" top="0.82" bottom="0.13" header="0.18" footer="0.13"/>
  <pageSetup scale="80" orientation="landscape" copies="4" r:id="rId1"/>
  <headerFooter alignWithMargins="0">
    <oddHeader>&amp;C&amp;"Arial,Bold"Minnesota State
FY2022 COLLEGE/UNIVERSITY ALLOCATION
(BASED ON FY2020 DATA)
&amp;RSP-6</oddHeader>
  </headerFooter>
  <colBreaks count="2" manualBreakCount="2">
    <brk id="11" max="1048575" man="1"/>
    <brk id="19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9"/>
  <sheetViews>
    <sheetView zoomScale="90" zoomScaleNormal="90" workbookViewId="0">
      <selection activeCell="C10" sqref="C10"/>
    </sheetView>
  </sheetViews>
  <sheetFormatPr defaultColWidth="9.140625" defaultRowHeight="15" customHeight="1" x14ac:dyDescent="0.2"/>
  <cols>
    <col min="1" max="1" width="7.28515625" style="64" customWidth="1"/>
    <col min="2" max="2" width="31.7109375" style="64" customWidth="1"/>
    <col min="3" max="3" width="16.140625" style="54" customWidth="1"/>
    <col min="4" max="5" width="12.7109375" style="55" customWidth="1"/>
    <col min="6" max="6" width="12.5703125" style="55" customWidth="1"/>
    <col min="7" max="7" width="13" style="55" customWidth="1"/>
    <col min="8" max="8" width="11" style="55" customWidth="1"/>
    <col min="9" max="9" width="10.42578125" style="55" customWidth="1"/>
    <col min="10" max="10" width="12.85546875" style="72" customWidth="1"/>
    <col min="11" max="12" width="15.85546875" style="54" customWidth="1"/>
    <col min="13" max="13" width="13.7109375" style="54" customWidth="1"/>
    <col min="14" max="16384" width="9.140625" style="64"/>
  </cols>
  <sheetData>
    <row r="1" spans="1:13" ht="15" customHeight="1" x14ac:dyDescent="0.25">
      <c r="A1" s="71" t="s">
        <v>72</v>
      </c>
      <c r="M1" s="87" t="s">
        <v>280</v>
      </c>
    </row>
    <row r="2" spans="1:13" ht="15" customHeight="1" x14ac:dyDescent="0.2">
      <c r="A2" s="73" t="s">
        <v>73</v>
      </c>
      <c r="H2" s="56"/>
    </row>
    <row r="3" spans="1:13" ht="15" customHeight="1" x14ac:dyDescent="0.2">
      <c r="A3" s="74" t="s">
        <v>309</v>
      </c>
    </row>
    <row r="4" spans="1:13" s="75" customFormat="1" ht="15" customHeight="1" x14ac:dyDescent="0.2">
      <c r="C4" s="103"/>
      <c r="D4" s="89" t="s">
        <v>74</v>
      </c>
      <c r="E4" s="89" t="s">
        <v>75</v>
      </c>
      <c r="F4" s="89" t="s">
        <v>76</v>
      </c>
      <c r="G4" s="89" t="s">
        <v>77</v>
      </c>
      <c r="H4" s="89" t="s">
        <v>78</v>
      </c>
      <c r="I4" s="89" t="s">
        <v>81</v>
      </c>
      <c r="J4" s="76" t="s">
        <v>297</v>
      </c>
      <c r="K4" s="103" t="s">
        <v>298</v>
      </c>
      <c r="L4" s="103"/>
      <c r="M4" s="103" t="s">
        <v>299</v>
      </c>
    </row>
    <row r="5" spans="1:13" ht="27.75" customHeight="1" x14ac:dyDescent="0.2">
      <c r="B5" s="77"/>
      <c r="C5" s="103" t="s">
        <v>79</v>
      </c>
      <c r="D5" s="464"/>
      <c r="E5" s="463" t="s">
        <v>121</v>
      </c>
      <c r="F5" s="184"/>
      <c r="G5" s="185" t="s">
        <v>80</v>
      </c>
      <c r="H5" s="184" t="s">
        <v>121</v>
      </c>
      <c r="I5" s="186" t="s">
        <v>121</v>
      </c>
      <c r="J5" s="76" t="s">
        <v>82</v>
      </c>
      <c r="K5" s="103" t="s">
        <v>111</v>
      </c>
      <c r="L5" s="103" t="s">
        <v>123</v>
      </c>
      <c r="M5" s="103" t="s">
        <v>99</v>
      </c>
    </row>
    <row r="6" spans="1:13" s="81" customFormat="1" ht="90" customHeight="1" x14ac:dyDescent="0.2">
      <c r="A6" s="78" t="s">
        <v>0</v>
      </c>
      <c r="B6" s="79" t="s">
        <v>83</v>
      </c>
      <c r="C6" s="136" t="s">
        <v>292</v>
      </c>
      <c r="D6" s="465" t="s">
        <v>293</v>
      </c>
      <c r="E6" s="105" t="s">
        <v>294</v>
      </c>
      <c r="F6" s="187" t="s">
        <v>84</v>
      </c>
      <c r="G6" s="187" t="s">
        <v>85</v>
      </c>
      <c r="H6" s="105" t="s">
        <v>295</v>
      </c>
      <c r="I6" s="105" t="s">
        <v>296</v>
      </c>
      <c r="J6" s="80" t="s">
        <v>86</v>
      </c>
      <c r="K6" s="390" t="s">
        <v>315</v>
      </c>
      <c r="L6" s="390" t="s">
        <v>304</v>
      </c>
      <c r="M6" s="390" t="s">
        <v>142</v>
      </c>
    </row>
    <row r="7" spans="1:13" ht="15" customHeight="1" x14ac:dyDescent="0.2">
      <c r="B7" s="82"/>
      <c r="C7" s="132"/>
      <c r="D7" s="466"/>
      <c r="E7" s="188"/>
      <c r="F7" s="189"/>
      <c r="G7" s="189"/>
    </row>
    <row r="8" spans="1:13" ht="15" customHeight="1" x14ac:dyDescent="0.2">
      <c r="A8" s="83" t="s">
        <v>2</v>
      </c>
      <c r="B8" s="3" t="s">
        <v>128</v>
      </c>
      <c r="C8" s="133">
        <f>137032+6717014</f>
        <v>6854046</v>
      </c>
      <c r="D8" s="462">
        <v>8098</v>
      </c>
      <c r="E8" s="92">
        <v>-473688</v>
      </c>
      <c r="F8" s="441"/>
      <c r="G8" s="131"/>
      <c r="H8" s="92"/>
      <c r="I8" s="92"/>
      <c r="J8" s="69">
        <f t="shared" ref="J8:J13" si="0">SUM(D8:I8)</f>
        <v>-465590</v>
      </c>
      <c r="K8" s="301">
        <f t="shared" ref="K8:K12" si="1">+C8+J8</f>
        <v>6388456</v>
      </c>
      <c r="L8" s="301">
        <v>6242751</v>
      </c>
      <c r="M8" s="301">
        <f>AVERAGE(K8:L8)</f>
        <v>6315603.5</v>
      </c>
    </row>
    <row r="9" spans="1:13" s="54" customFormat="1" ht="15" customHeight="1" x14ac:dyDescent="0.2">
      <c r="A9" s="10" t="s">
        <v>4</v>
      </c>
      <c r="B9" s="3" t="s">
        <v>124</v>
      </c>
      <c r="C9" s="133">
        <f>498888+19447370</f>
        <v>19946258</v>
      </c>
      <c r="D9" s="462">
        <v>83062</v>
      </c>
      <c r="E9" s="92">
        <v>106613</v>
      </c>
      <c r="F9" s="441"/>
      <c r="G9" s="131"/>
      <c r="H9" s="131"/>
      <c r="I9" s="131"/>
      <c r="J9" s="69">
        <f t="shared" si="0"/>
        <v>189675</v>
      </c>
      <c r="K9" s="301">
        <f t="shared" si="1"/>
        <v>20135933</v>
      </c>
      <c r="L9" s="301">
        <v>18898051</v>
      </c>
      <c r="M9" s="301">
        <f t="shared" ref="M9:M37" si="2">AVERAGE(K9:L9)</f>
        <v>19516992</v>
      </c>
    </row>
    <row r="10" spans="1:13" ht="15" customHeight="1" x14ac:dyDescent="0.2">
      <c r="A10" s="83" t="s">
        <v>5</v>
      </c>
      <c r="B10" s="121" t="s">
        <v>113</v>
      </c>
      <c r="C10" s="133">
        <f>119671+5768121+7157846+883700</f>
        <v>13929338</v>
      </c>
      <c r="D10" s="462">
        <v>-331</v>
      </c>
      <c r="E10" s="92">
        <v>655387</v>
      </c>
      <c r="F10" s="441"/>
      <c r="G10" s="190">
        <v>291645</v>
      </c>
      <c r="H10" s="190">
        <v>198522</v>
      </c>
      <c r="I10" s="190">
        <v>1954</v>
      </c>
      <c r="J10" s="69">
        <f t="shared" si="0"/>
        <v>1147177</v>
      </c>
      <c r="K10" s="301">
        <f>+C10+J10</f>
        <v>15076515</v>
      </c>
      <c r="L10" s="301">
        <v>14755859</v>
      </c>
      <c r="M10" s="301">
        <f t="shared" si="2"/>
        <v>14916187</v>
      </c>
    </row>
    <row r="11" spans="1:13" ht="15" customHeight="1" x14ac:dyDescent="0.2">
      <c r="A11" s="83" t="s">
        <v>6</v>
      </c>
      <c r="B11" s="3" t="s">
        <v>7</v>
      </c>
      <c r="C11" s="133">
        <f>967152+8252816</f>
        <v>9219968</v>
      </c>
      <c r="D11" s="462">
        <v>-16526</v>
      </c>
      <c r="E11" s="92">
        <v>-691359</v>
      </c>
      <c r="F11" s="468">
        <v>48120</v>
      </c>
      <c r="G11" s="131"/>
      <c r="H11" s="92"/>
      <c r="I11" s="92"/>
      <c r="J11" s="69">
        <f t="shared" si="0"/>
        <v>-659765</v>
      </c>
      <c r="K11" s="301">
        <f t="shared" si="1"/>
        <v>8560203</v>
      </c>
      <c r="L11" s="301">
        <v>8052539</v>
      </c>
      <c r="M11" s="301">
        <f t="shared" si="2"/>
        <v>8306371</v>
      </c>
    </row>
    <row r="12" spans="1:13" ht="15" customHeight="1" x14ac:dyDescent="0.2">
      <c r="A12" s="83" t="s">
        <v>8</v>
      </c>
      <c r="B12" s="3" t="s">
        <v>9</v>
      </c>
      <c r="C12" s="133">
        <f>67852+16778390</f>
        <v>16846242</v>
      </c>
      <c r="D12" s="462">
        <v>27236</v>
      </c>
      <c r="E12" s="92">
        <v>1161144</v>
      </c>
      <c r="F12" s="441"/>
      <c r="G12" s="131"/>
      <c r="H12" s="92"/>
      <c r="I12" s="92"/>
      <c r="J12" s="69">
        <f t="shared" si="0"/>
        <v>1188380</v>
      </c>
      <c r="K12" s="301">
        <f t="shared" si="1"/>
        <v>18034622</v>
      </c>
      <c r="L12" s="301">
        <v>17581128</v>
      </c>
      <c r="M12" s="301">
        <f t="shared" si="2"/>
        <v>17807875</v>
      </c>
    </row>
    <row r="13" spans="1:13" ht="15" customHeight="1" x14ac:dyDescent="0.2">
      <c r="A13" s="83" t="s">
        <v>10</v>
      </c>
      <c r="B13" s="3" t="s">
        <v>146</v>
      </c>
      <c r="C13" s="133">
        <f>112938+16014202</f>
        <v>16127140</v>
      </c>
      <c r="D13" s="462">
        <v>1914</v>
      </c>
      <c r="E13" s="92">
        <v>-269345</v>
      </c>
      <c r="F13" s="441"/>
      <c r="G13" s="131"/>
      <c r="H13" s="92"/>
      <c r="I13" s="92"/>
      <c r="J13" s="69">
        <f t="shared" si="0"/>
        <v>-267431</v>
      </c>
      <c r="K13" s="301">
        <f t="shared" ref="K13:K37" si="3">+C13+J13</f>
        <v>15859709</v>
      </c>
      <c r="L13" s="301">
        <v>15851249</v>
      </c>
      <c r="M13" s="301">
        <f t="shared" si="2"/>
        <v>15855479</v>
      </c>
    </row>
    <row r="14" spans="1:13" ht="15" customHeight="1" x14ac:dyDescent="0.2">
      <c r="A14" s="83" t="s">
        <v>12</v>
      </c>
      <c r="B14" s="3" t="s">
        <v>13</v>
      </c>
      <c r="C14" s="133">
        <f>381903+2843016</f>
        <v>3224919</v>
      </c>
      <c r="D14" s="462">
        <v>13609</v>
      </c>
      <c r="E14" s="92">
        <v>-1020771</v>
      </c>
      <c r="F14" s="441"/>
      <c r="G14" s="131"/>
      <c r="H14" s="92"/>
      <c r="I14" s="92"/>
      <c r="J14" s="69">
        <f t="shared" ref="J14:J37" si="4">SUM(D14:I14)</f>
        <v>-1007162</v>
      </c>
      <c r="K14" s="301">
        <f t="shared" si="3"/>
        <v>2217757</v>
      </c>
      <c r="L14" s="301">
        <v>2398201</v>
      </c>
      <c r="M14" s="301">
        <f t="shared" si="2"/>
        <v>2307979</v>
      </c>
    </row>
    <row r="15" spans="1:13" ht="15" customHeight="1" x14ac:dyDescent="0.2">
      <c r="A15" s="83" t="s">
        <v>14</v>
      </c>
      <c r="B15" s="3" t="s">
        <v>139</v>
      </c>
      <c r="C15" s="133">
        <f>257021+13363140</f>
        <v>13620161</v>
      </c>
      <c r="D15" s="462">
        <v>-101521</v>
      </c>
      <c r="E15" s="92">
        <v>-1048911</v>
      </c>
      <c r="F15" s="441"/>
      <c r="G15" s="131"/>
      <c r="H15" s="92"/>
      <c r="I15" s="92"/>
      <c r="J15" s="69">
        <f>SUM(D15:I15)</f>
        <v>-1150432</v>
      </c>
      <c r="K15" s="301">
        <f t="shared" si="3"/>
        <v>12469729</v>
      </c>
      <c r="L15" s="301">
        <v>12468801</v>
      </c>
      <c r="M15" s="301">
        <f t="shared" si="2"/>
        <v>12469265</v>
      </c>
    </row>
    <row r="16" spans="1:13" ht="15" customHeight="1" x14ac:dyDescent="0.2">
      <c r="A16" s="83" t="s">
        <v>16</v>
      </c>
      <c r="B16" s="3" t="s">
        <v>17</v>
      </c>
      <c r="C16" s="133">
        <f>304748+9450892</f>
        <v>9755640</v>
      </c>
      <c r="D16" s="462">
        <v>63493</v>
      </c>
      <c r="E16" s="92">
        <v>340830</v>
      </c>
      <c r="F16" s="441"/>
      <c r="G16" s="131"/>
      <c r="H16" s="92"/>
      <c r="I16" s="92"/>
      <c r="J16" s="69">
        <f>SUM(D16:I16)</f>
        <v>404323</v>
      </c>
      <c r="K16" s="301">
        <f t="shared" si="3"/>
        <v>10159963</v>
      </c>
      <c r="L16" s="301">
        <v>10074681</v>
      </c>
      <c r="M16" s="301">
        <f t="shared" si="2"/>
        <v>10117322</v>
      </c>
    </row>
    <row r="17" spans="1:13" ht="15" customHeight="1" x14ac:dyDescent="0.2">
      <c r="A17" s="83" t="s">
        <v>18</v>
      </c>
      <c r="B17" s="3" t="s">
        <v>140</v>
      </c>
      <c r="C17" s="133">
        <f>4521295+13564191+2166077+281552</f>
        <v>20533115</v>
      </c>
      <c r="D17" s="462"/>
      <c r="E17" s="92">
        <v>-93123</v>
      </c>
      <c r="F17" s="441"/>
      <c r="G17" s="190">
        <v>257134</v>
      </c>
      <c r="H17" s="190">
        <v>175243</v>
      </c>
      <c r="I17" s="190">
        <v>-4179</v>
      </c>
      <c r="J17" s="69">
        <f>SUM(D17:I17)</f>
        <v>335075</v>
      </c>
      <c r="K17" s="301">
        <f t="shared" si="3"/>
        <v>20868190</v>
      </c>
      <c r="L17" s="301">
        <v>20026893</v>
      </c>
      <c r="M17" s="301">
        <f t="shared" si="2"/>
        <v>20447541.5</v>
      </c>
    </row>
    <row r="18" spans="1:13" ht="15" customHeight="1" x14ac:dyDescent="0.2">
      <c r="A18" s="83" t="s">
        <v>19</v>
      </c>
      <c r="B18" s="3" t="s">
        <v>129</v>
      </c>
      <c r="C18" s="133">
        <f>118682+14049564</f>
        <v>14168246</v>
      </c>
      <c r="D18" s="462">
        <v>-39456</v>
      </c>
      <c r="E18" s="92">
        <v>116703</v>
      </c>
      <c r="F18" s="441"/>
      <c r="G18" s="131"/>
      <c r="H18" s="131"/>
      <c r="I18" s="92"/>
      <c r="J18" s="69">
        <f>SUM(D18:I18)</f>
        <v>77247</v>
      </c>
      <c r="K18" s="301">
        <f t="shared" si="3"/>
        <v>14245493</v>
      </c>
      <c r="L18" s="301">
        <v>13959691</v>
      </c>
      <c r="M18" s="301">
        <f t="shared" si="2"/>
        <v>14102592</v>
      </c>
    </row>
    <row r="19" spans="1:13" ht="15" customHeight="1" x14ac:dyDescent="0.2">
      <c r="A19" s="83" t="s">
        <v>21</v>
      </c>
      <c r="B19" s="121" t="s">
        <v>177</v>
      </c>
      <c r="C19" s="135">
        <f>200723+5204195</f>
        <v>5404918</v>
      </c>
      <c r="D19" s="462">
        <v>-114949</v>
      </c>
      <c r="E19" s="92">
        <v>-681387</v>
      </c>
      <c r="F19" s="441"/>
      <c r="G19" s="131"/>
      <c r="H19" s="92"/>
      <c r="I19" s="92"/>
      <c r="J19" s="69">
        <f>SUM(D19:I19)</f>
        <v>-796336</v>
      </c>
      <c r="K19" s="301">
        <f t="shared" si="3"/>
        <v>4608582</v>
      </c>
      <c r="L19" s="301">
        <v>4290323</v>
      </c>
      <c r="M19" s="301">
        <f t="shared" si="2"/>
        <v>4449452.5</v>
      </c>
    </row>
    <row r="20" spans="1:13" ht="15" customHeight="1" x14ac:dyDescent="0.2">
      <c r="A20" s="84" t="s">
        <v>109</v>
      </c>
      <c r="B20" s="3" t="s">
        <v>141</v>
      </c>
      <c r="C20" s="133">
        <f>657704+12002637</f>
        <v>12660341</v>
      </c>
      <c r="D20" s="462">
        <v>-5994</v>
      </c>
      <c r="E20" s="92">
        <v>-417300</v>
      </c>
      <c r="F20" s="441"/>
      <c r="G20" s="131"/>
      <c r="H20" s="92"/>
      <c r="I20" s="92"/>
      <c r="J20" s="69">
        <f t="shared" si="4"/>
        <v>-423294</v>
      </c>
      <c r="K20" s="301">
        <f t="shared" si="3"/>
        <v>12237047</v>
      </c>
      <c r="L20" s="301">
        <v>12515167</v>
      </c>
      <c r="M20" s="301">
        <f t="shared" si="2"/>
        <v>12376107</v>
      </c>
    </row>
    <row r="21" spans="1:13" ht="15" customHeight="1" x14ac:dyDescent="0.2">
      <c r="A21" s="83" t="s">
        <v>26</v>
      </c>
      <c r="B21" s="3" t="s">
        <v>62</v>
      </c>
      <c r="C21" s="133">
        <f>5954310+9006081+3111177+169096</f>
        <v>18240664</v>
      </c>
      <c r="D21" s="462"/>
      <c r="E21" s="92">
        <v>116703</v>
      </c>
      <c r="F21" s="441"/>
      <c r="G21" s="190">
        <v>444548</v>
      </c>
      <c r="H21" s="190">
        <v>-143005</v>
      </c>
      <c r="I21" s="190">
        <f>-124051+2136</f>
        <v>-121915</v>
      </c>
      <c r="J21" s="69">
        <f t="shared" si="4"/>
        <v>296331</v>
      </c>
      <c r="K21" s="301">
        <f t="shared" si="3"/>
        <v>18536995</v>
      </c>
      <c r="L21" s="301">
        <v>18311337</v>
      </c>
      <c r="M21" s="301">
        <f t="shared" si="2"/>
        <v>18424166</v>
      </c>
    </row>
    <row r="22" spans="1:13" ht="15" customHeight="1" x14ac:dyDescent="0.2">
      <c r="A22" s="83" t="s">
        <v>22</v>
      </c>
      <c r="B22" s="3" t="s">
        <v>23</v>
      </c>
      <c r="C22" s="133">
        <f>189727+14538116+15789804+5693978+332263</f>
        <v>36543888</v>
      </c>
      <c r="D22" s="462">
        <v>43381</v>
      </c>
      <c r="E22" s="92">
        <v>4132125</v>
      </c>
      <c r="F22" s="441"/>
      <c r="G22" s="190">
        <v>1014521</v>
      </c>
      <c r="H22" s="190">
        <v>486310</v>
      </c>
      <c r="I22" s="190">
        <f>-65671+9138</f>
        <v>-56533</v>
      </c>
      <c r="J22" s="69">
        <f t="shared" si="4"/>
        <v>5619804</v>
      </c>
      <c r="K22" s="301">
        <f t="shared" si="3"/>
        <v>42163692</v>
      </c>
      <c r="L22" s="301">
        <v>40483531</v>
      </c>
      <c r="M22" s="301">
        <f t="shared" si="2"/>
        <v>41323611.5</v>
      </c>
    </row>
    <row r="23" spans="1:13" ht="15" customHeight="1" x14ac:dyDescent="0.2">
      <c r="A23" s="83" t="s">
        <v>24</v>
      </c>
      <c r="B23" s="3" t="s">
        <v>137</v>
      </c>
      <c r="C23" s="133">
        <f>201154+7397190</f>
        <v>7598344</v>
      </c>
      <c r="D23" s="462">
        <v>-25441</v>
      </c>
      <c r="E23" s="92">
        <v>77951</v>
      </c>
      <c r="F23" s="442">
        <v>71540</v>
      </c>
      <c r="G23" s="131"/>
      <c r="H23" s="92"/>
      <c r="I23" s="92"/>
      <c r="J23" s="69">
        <f t="shared" si="4"/>
        <v>124050</v>
      </c>
      <c r="K23" s="301">
        <f t="shared" si="3"/>
        <v>7722394</v>
      </c>
      <c r="L23" s="301">
        <v>7592449</v>
      </c>
      <c r="M23" s="301">
        <f t="shared" si="2"/>
        <v>7657421.5</v>
      </c>
    </row>
    <row r="24" spans="1:13" ht="15" customHeight="1" x14ac:dyDescent="0.2">
      <c r="A24" s="83" t="s">
        <v>27</v>
      </c>
      <c r="B24" s="3" t="s">
        <v>132</v>
      </c>
      <c r="C24" s="133">
        <f>231103+17166738</f>
        <v>17397841</v>
      </c>
      <c r="D24" s="462">
        <v>26966</v>
      </c>
      <c r="E24" s="92">
        <v>995554</v>
      </c>
      <c r="F24" s="441"/>
      <c r="G24" s="131"/>
      <c r="H24" s="131"/>
      <c r="I24" s="92"/>
      <c r="J24" s="69">
        <f t="shared" si="4"/>
        <v>1022520</v>
      </c>
      <c r="K24" s="301">
        <f t="shared" si="3"/>
        <v>18420361</v>
      </c>
      <c r="L24" s="301">
        <v>17852820</v>
      </c>
      <c r="M24" s="301">
        <f t="shared" si="2"/>
        <v>18136590.5</v>
      </c>
    </row>
    <row r="25" spans="1:13" ht="15" customHeight="1" x14ac:dyDescent="0.2">
      <c r="A25" s="83" t="s">
        <v>29</v>
      </c>
      <c r="B25" s="470" t="s">
        <v>133</v>
      </c>
      <c r="C25" s="133">
        <f>113532+12685166</f>
        <v>12798698</v>
      </c>
      <c r="D25" s="462">
        <v>8083</v>
      </c>
      <c r="E25" s="92">
        <v>-813088</v>
      </c>
      <c r="F25" s="441"/>
      <c r="G25" s="131"/>
      <c r="H25" s="92"/>
      <c r="I25" s="92"/>
      <c r="J25" s="69">
        <f t="shared" si="4"/>
        <v>-805005</v>
      </c>
      <c r="K25" s="301">
        <f t="shared" si="3"/>
        <v>11993693</v>
      </c>
      <c r="L25" s="301">
        <v>11571211</v>
      </c>
      <c r="M25" s="301">
        <f t="shared" si="2"/>
        <v>11782452</v>
      </c>
    </row>
    <row r="26" spans="1:13" ht="15" customHeight="1" x14ac:dyDescent="0.2">
      <c r="A26" s="84" t="s">
        <v>118</v>
      </c>
      <c r="B26" s="3" t="s">
        <v>63</v>
      </c>
      <c r="C26" s="133">
        <f>265113+10725666</f>
        <v>10990779</v>
      </c>
      <c r="D26" s="462">
        <v>-17973</v>
      </c>
      <c r="E26" s="92">
        <v>-693691</v>
      </c>
      <c r="F26" s="441"/>
      <c r="G26" s="131"/>
      <c r="H26" s="92"/>
      <c r="I26" s="92"/>
      <c r="J26" s="69">
        <f t="shared" si="4"/>
        <v>-711664</v>
      </c>
      <c r="K26" s="301">
        <f t="shared" si="3"/>
        <v>10279115</v>
      </c>
      <c r="L26" s="301">
        <v>10129076</v>
      </c>
      <c r="M26" s="301">
        <f t="shared" si="2"/>
        <v>10204095.5</v>
      </c>
    </row>
    <row r="27" spans="1:13" ht="15" customHeight="1" x14ac:dyDescent="0.2">
      <c r="A27" s="83" t="s">
        <v>31</v>
      </c>
      <c r="B27" s="3" t="s">
        <v>134</v>
      </c>
      <c r="C27" s="133">
        <f>184794+7721978</f>
        <v>7906772</v>
      </c>
      <c r="D27" s="462">
        <v>-57066</v>
      </c>
      <c r="E27" s="92">
        <v>-1030953</v>
      </c>
      <c r="F27" s="442">
        <v>34190</v>
      </c>
      <c r="G27" s="131"/>
      <c r="H27" s="92"/>
      <c r="I27" s="92"/>
      <c r="J27" s="69">
        <f>SUM(D27:I27)</f>
        <v>-1053829</v>
      </c>
      <c r="K27" s="301">
        <f>+C27+J27</f>
        <v>6852943</v>
      </c>
      <c r="L27" s="301">
        <v>7096923</v>
      </c>
      <c r="M27" s="301">
        <f t="shared" si="2"/>
        <v>6974933</v>
      </c>
    </row>
    <row r="28" spans="1:13" ht="15" customHeight="1" x14ac:dyDescent="0.2">
      <c r="A28" s="83" t="s">
        <v>33</v>
      </c>
      <c r="B28" s="3" t="s">
        <v>130</v>
      </c>
      <c r="C28" s="133">
        <f>245147+2688492</f>
        <v>2933639</v>
      </c>
      <c r="D28" s="462">
        <v>20579</v>
      </c>
      <c r="E28" s="92">
        <v>-347034</v>
      </c>
      <c r="F28" s="441"/>
      <c r="G28" s="131"/>
      <c r="H28" s="92"/>
      <c r="I28" s="92"/>
      <c r="J28" s="69">
        <f>SUM(D28:I28)</f>
        <v>-326455</v>
      </c>
      <c r="K28" s="301">
        <f t="shared" si="3"/>
        <v>2607184</v>
      </c>
      <c r="L28" s="301">
        <v>2524053</v>
      </c>
      <c r="M28" s="301">
        <f t="shared" si="2"/>
        <v>2565618.5</v>
      </c>
    </row>
    <row r="29" spans="1:13" ht="15" customHeight="1" x14ac:dyDescent="0.2">
      <c r="A29" s="83" t="s">
        <v>35</v>
      </c>
      <c r="B29" s="3" t="s">
        <v>36</v>
      </c>
      <c r="C29" s="133">
        <f>26572+10145774</f>
        <v>10172346</v>
      </c>
      <c r="D29" s="462">
        <v>28</v>
      </c>
      <c r="E29" s="92">
        <v>-312162</v>
      </c>
      <c r="F29" s="442"/>
      <c r="G29" s="131"/>
      <c r="H29" s="92"/>
      <c r="I29" s="92"/>
      <c r="J29" s="69">
        <f t="shared" si="4"/>
        <v>-312134</v>
      </c>
      <c r="K29" s="301">
        <f t="shared" si="3"/>
        <v>9860212</v>
      </c>
      <c r="L29" s="301">
        <v>9604933</v>
      </c>
      <c r="M29" s="301">
        <f t="shared" si="2"/>
        <v>9732572.5</v>
      </c>
    </row>
    <row r="30" spans="1:13" ht="15" customHeight="1" x14ac:dyDescent="0.2">
      <c r="A30" s="83" t="s">
        <v>37</v>
      </c>
      <c r="B30" s="3" t="s">
        <v>131</v>
      </c>
      <c r="C30" s="133">
        <f>284478+6743225</f>
        <v>7027703</v>
      </c>
      <c r="D30" s="462">
        <v>34656</v>
      </c>
      <c r="E30" s="92">
        <v>671</v>
      </c>
      <c r="F30" s="443">
        <v>69256</v>
      </c>
      <c r="G30" s="131"/>
      <c r="H30" s="92"/>
      <c r="I30" s="92"/>
      <c r="J30" s="69">
        <f t="shared" si="4"/>
        <v>104583</v>
      </c>
      <c r="K30" s="301">
        <f t="shared" si="3"/>
        <v>7132286</v>
      </c>
      <c r="L30" s="301">
        <v>6786851</v>
      </c>
      <c r="M30" s="301">
        <f t="shared" si="2"/>
        <v>6959568.5</v>
      </c>
    </row>
    <row r="31" spans="1:13" ht="15" customHeight="1" x14ac:dyDescent="0.2">
      <c r="A31" s="83" t="s">
        <v>39</v>
      </c>
      <c r="B31" s="3" t="s">
        <v>135</v>
      </c>
      <c r="C31" s="133">
        <f>128785+11341896</f>
        <v>11470681</v>
      </c>
      <c r="D31" s="462">
        <v>-60256</v>
      </c>
      <c r="E31" s="92">
        <v>-300303</v>
      </c>
      <c r="F31" s="166"/>
      <c r="G31" s="131"/>
      <c r="H31" s="92"/>
      <c r="I31" s="92"/>
      <c r="J31" s="69">
        <f t="shared" si="4"/>
        <v>-360559</v>
      </c>
      <c r="K31" s="301">
        <f t="shared" si="3"/>
        <v>11110122</v>
      </c>
      <c r="L31" s="301">
        <v>11481079</v>
      </c>
      <c r="M31" s="301">
        <f t="shared" si="2"/>
        <v>11295600.5</v>
      </c>
    </row>
    <row r="32" spans="1:13" ht="15" customHeight="1" x14ac:dyDescent="0.2">
      <c r="A32" s="83" t="s">
        <v>46</v>
      </c>
      <c r="B32" s="3" t="s">
        <v>70</v>
      </c>
      <c r="C32" s="133">
        <f>87783+12355098</f>
        <v>12442881</v>
      </c>
      <c r="D32" s="462">
        <v>30656</v>
      </c>
      <c r="E32" s="92">
        <v>730980</v>
      </c>
      <c r="F32" s="443"/>
      <c r="G32" s="131"/>
      <c r="H32" s="131"/>
      <c r="I32" s="92"/>
      <c r="J32" s="69">
        <f t="shared" si="4"/>
        <v>761636</v>
      </c>
      <c r="K32" s="301">
        <f t="shared" si="3"/>
        <v>13204517</v>
      </c>
      <c r="L32" s="301">
        <v>13242964</v>
      </c>
      <c r="M32" s="301">
        <f t="shared" si="2"/>
        <v>13223740.5</v>
      </c>
    </row>
    <row r="33" spans="1:13" ht="15" customHeight="1" x14ac:dyDescent="0.2">
      <c r="A33" s="83" t="s">
        <v>41</v>
      </c>
      <c r="B33" s="3" t="s">
        <v>117</v>
      </c>
      <c r="C33" s="133">
        <f>32714+9145676</f>
        <v>9178390</v>
      </c>
      <c r="D33" s="462">
        <v>-1463</v>
      </c>
      <c r="E33" s="92">
        <v>-632258</v>
      </c>
      <c r="F33" s="442">
        <v>68793</v>
      </c>
      <c r="G33" s="131"/>
      <c r="H33" s="92"/>
      <c r="I33" s="92"/>
      <c r="J33" s="69">
        <f t="shared" si="4"/>
        <v>-564928</v>
      </c>
      <c r="K33" s="301">
        <f t="shared" si="3"/>
        <v>8613462</v>
      </c>
      <c r="L33" s="301">
        <v>8310061</v>
      </c>
      <c r="M33" s="301">
        <f t="shared" si="2"/>
        <v>8461761.5</v>
      </c>
    </row>
    <row r="34" spans="1:13" ht="15" customHeight="1" x14ac:dyDescent="0.2">
      <c r="A34" s="83" t="s">
        <v>42</v>
      </c>
      <c r="B34" s="3" t="s">
        <v>69</v>
      </c>
      <c r="C34" s="133">
        <f>1515612+3200416+4135139+1315303</f>
        <v>10166470</v>
      </c>
      <c r="D34" s="462">
        <v>-27752</v>
      </c>
      <c r="E34" s="92">
        <v>-404485</v>
      </c>
      <c r="F34" s="443"/>
      <c r="G34" s="190">
        <v>286149</v>
      </c>
      <c r="H34" s="190">
        <v>-496006</v>
      </c>
      <c r="I34" s="190">
        <f>17786</f>
        <v>17786</v>
      </c>
      <c r="J34" s="69">
        <f t="shared" si="4"/>
        <v>-624308</v>
      </c>
      <c r="K34" s="301">
        <f>+C34+J34</f>
        <v>9542162</v>
      </c>
      <c r="L34" s="301">
        <v>9530386</v>
      </c>
      <c r="M34" s="301">
        <f t="shared" si="2"/>
        <v>9536274</v>
      </c>
    </row>
    <row r="35" spans="1:13" ht="15" customHeight="1" x14ac:dyDescent="0.2">
      <c r="A35" s="83" t="s">
        <v>43</v>
      </c>
      <c r="B35" s="3" t="s">
        <v>44</v>
      </c>
      <c r="C35" s="133">
        <f>731350+15929574+15365976+4932722+309240</f>
        <v>37268862</v>
      </c>
      <c r="D35" s="462">
        <v>-28453</v>
      </c>
      <c r="E35" s="92">
        <v>-3418572</v>
      </c>
      <c r="F35" s="441"/>
      <c r="G35" s="190">
        <v>1375054</v>
      </c>
      <c r="H35" s="190">
        <v>-619048</v>
      </c>
      <c r="I35" s="190">
        <v>14158</v>
      </c>
      <c r="J35" s="69">
        <f t="shared" si="4"/>
        <v>-2676861</v>
      </c>
      <c r="K35" s="301">
        <f t="shared" si="3"/>
        <v>34592001</v>
      </c>
      <c r="L35" s="301">
        <v>34200820</v>
      </c>
      <c r="M35" s="301">
        <f t="shared" si="2"/>
        <v>34396410.5</v>
      </c>
    </row>
    <row r="36" spans="1:13" ht="15" customHeight="1" x14ac:dyDescent="0.2">
      <c r="A36" s="83" t="s">
        <v>45</v>
      </c>
      <c r="B36" s="3" t="s">
        <v>136</v>
      </c>
      <c r="C36" s="133">
        <f>45016+9832386</f>
        <v>9877402</v>
      </c>
      <c r="D36" s="462">
        <v>-14783</v>
      </c>
      <c r="E36" s="92">
        <v>513510</v>
      </c>
      <c r="F36" s="441"/>
      <c r="G36" s="131"/>
      <c r="H36" s="92"/>
      <c r="I36" s="92"/>
      <c r="J36" s="69">
        <f t="shared" si="4"/>
        <v>498727</v>
      </c>
      <c r="K36" s="301">
        <f t="shared" si="3"/>
        <v>10376129</v>
      </c>
      <c r="L36" s="301">
        <v>10077834</v>
      </c>
      <c r="M36" s="301">
        <f t="shared" si="2"/>
        <v>10226981.5</v>
      </c>
    </row>
    <row r="37" spans="1:13" ht="15" customHeight="1" x14ac:dyDescent="0.2">
      <c r="A37" s="83" t="s">
        <v>47</v>
      </c>
      <c r="B37" s="3" t="s">
        <v>48</v>
      </c>
      <c r="C37" s="133">
        <f>8696375+12494952+2085620+283327</f>
        <v>23560274</v>
      </c>
      <c r="D37" s="462"/>
      <c r="E37" s="92">
        <v>628925</v>
      </c>
      <c r="F37" s="441"/>
      <c r="G37" s="190">
        <v>681701</v>
      </c>
      <c r="H37" s="190">
        <v>203046</v>
      </c>
      <c r="I37" s="190">
        <f>-17455-14538</f>
        <v>-31993</v>
      </c>
      <c r="J37" s="69">
        <f t="shared" si="4"/>
        <v>1481679</v>
      </c>
      <c r="K37" s="301">
        <f t="shared" si="3"/>
        <v>25041953</v>
      </c>
      <c r="L37" s="301">
        <v>23878420</v>
      </c>
      <c r="M37" s="301">
        <f t="shared" si="2"/>
        <v>24460186.5</v>
      </c>
    </row>
    <row r="39" spans="1:13" ht="15" customHeight="1" x14ac:dyDescent="0.2">
      <c r="B39" s="64" t="s">
        <v>49</v>
      </c>
      <c r="C39" s="55">
        <f t="shared" ref="C39:M39" si="5">SUM(C8:C38)</f>
        <v>407865966</v>
      </c>
      <c r="D39" s="55">
        <f t="shared" si="5"/>
        <v>-150203</v>
      </c>
      <c r="E39" s="55">
        <f t="shared" si="5"/>
        <v>-3071334</v>
      </c>
      <c r="F39" s="55">
        <f t="shared" si="5"/>
        <v>291899</v>
      </c>
      <c r="G39" s="55">
        <f t="shared" si="5"/>
        <v>4350752</v>
      </c>
      <c r="H39" s="55">
        <f t="shared" si="5"/>
        <v>-194938</v>
      </c>
      <c r="I39" s="55">
        <f t="shared" si="5"/>
        <v>-180722</v>
      </c>
      <c r="J39" s="72">
        <f t="shared" si="5"/>
        <v>1045454</v>
      </c>
      <c r="K39" s="52">
        <f t="shared" si="5"/>
        <v>408911420</v>
      </c>
      <c r="L39" s="52">
        <f t="shared" si="5"/>
        <v>399790082</v>
      </c>
      <c r="M39" s="52">
        <f t="shared" si="5"/>
        <v>404350751</v>
      </c>
    </row>
    <row r="40" spans="1:13" ht="12" customHeight="1" x14ac:dyDescent="0.2">
      <c r="C40" s="55"/>
      <c r="K40" s="52"/>
      <c r="L40" s="52"/>
      <c r="M40" s="52"/>
    </row>
    <row r="41" spans="1:13" ht="12" customHeight="1" x14ac:dyDescent="0.2">
      <c r="A41" s="16" t="s">
        <v>320</v>
      </c>
    </row>
    <row r="42" spans="1:13" ht="12" customHeight="1" x14ac:dyDescent="0.2">
      <c r="A42" s="85" t="str">
        <f>'FY2015 Detail'!B40</f>
        <v>s:\finance\bargain\FY22 allocation\Summary of FY2022 Institutional Allocation Draft</v>
      </c>
      <c r="E42" s="191"/>
      <c r="F42" s="191"/>
      <c r="G42" s="191"/>
      <c r="H42" s="191"/>
    </row>
    <row r="43" spans="1:13" ht="12" customHeight="1" x14ac:dyDescent="0.2">
      <c r="A43" s="85"/>
      <c r="E43" s="191"/>
      <c r="F43" s="191"/>
      <c r="G43" s="191"/>
      <c r="H43" s="191"/>
    </row>
    <row r="44" spans="1:13" ht="15" customHeight="1" x14ac:dyDescent="0.2">
      <c r="C44" s="52"/>
      <c r="E44" s="52"/>
      <c r="H44" s="192"/>
      <c r="K44" s="52"/>
      <c r="L44" s="52"/>
      <c r="M44" s="301"/>
    </row>
    <row r="47" spans="1:13" ht="15" customHeight="1" x14ac:dyDescent="0.2">
      <c r="E47" s="193"/>
      <c r="F47" s="193"/>
      <c r="G47" s="193"/>
    </row>
    <row r="49" spans="8:8" ht="15" customHeight="1" x14ac:dyDescent="0.2">
      <c r="H49" s="193"/>
    </row>
  </sheetData>
  <phoneticPr fontId="11" type="noConversion"/>
  <pageMargins left="0.31" right="0.13" top="0.56000000000000005" bottom="0.24" header="0.5" footer="0.21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  <pageSetUpPr fitToPage="1"/>
  </sheetPr>
  <dimension ref="A1:I44"/>
  <sheetViews>
    <sheetView zoomScale="80" workbookViewId="0">
      <selection activeCell="D28" sqref="D28"/>
    </sheetView>
  </sheetViews>
  <sheetFormatPr defaultColWidth="9.140625" defaultRowHeight="15" customHeight="1" x14ac:dyDescent="0.2"/>
  <cols>
    <col min="1" max="1" width="6.28515625" style="54" customWidth="1"/>
    <col min="2" max="2" width="32.28515625" style="54" customWidth="1"/>
    <col min="3" max="3" width="22.85546875" style="54" customWidth="1"/>
    <col min="4" max="4" width="17.42578125" style="54" customWidth="1"/>
    <col min="5" max="5" width="23.85546875" style="54" customWidth="1"/>
    <col min="6" max="6" width="10.28515625" style="52" customWidth="1"/>
    <col min="7" max="7" width="24.7109375" style="104" customWidth="1"/>
    <col min="8" max="16384" width="9.140625" style="54"/>
  </cols>
  <sheetData>
    <row r="1" spans="1:9" ht="15" customHeight="1" x14ac:dyDescent="0.25">
      <c r="A1" s="106" t="s">
        <v>72</v>
      </c>
      <c r="G1" s="452" t="s">
        <v>281</v>
      </c>
    </row>
    <row r="2" spans="1:9" ht="15" customHeight="1" x14ac:dyDescent="0.2">
      <c r="A2" s="87" t="s">
        <v>87</v>
      </c>
    </row>
    <row r="3" spans="1:9" ht="15" customHeight="1" x14ac:dyDescent="0.2">
      <c r="A3" s="87" t="s">
        <v>321</v>
      </c>
      <c r="I3" s="87"/>
    </row>
    <row r="4" spans="1:9" ht="15" customHeight="1" x14ac:dyDescent="0.2">
      <c r="A4" s="87" t="s">
        <v>176</v>
      </c>
      <c r="E4" s="103" t="s">
        <v>116</v>
      </c>
      <c r="G4" s="140" t="s">
        <v>88</v>
      </c>
    </row>
    <row r="5" spans="1:9" s="103" customFormat="1" ht="15" customHeight="1" x14ac:dyDescent="0.2">
      <c r="C5" s="103" t="s">
        <v>79</v>
      </c>
      <c r="D5" s="103" t="s">
        <v>74</v>
      </c>
      <c r="E5" s="103" t="s">
        <v>75</v>
      </c>
      <c r="F5" s="141" t="s">
        <v>76</v>
      </c>
      <c r="G5" s="140" t="s">
        <v>77</v>
      </c>
    </row>
    <row r="6" spans="1:9" ht="42" customHeight="1" x14ac:dyDescent="0.2">
      <c r="A6" s="142" t="s">
        <v>0</v>
      </c>
      <c r="B6" s="142" t="s">
        <v>1</v>
      </c>
      <c r="C6" s="143" t="s">
        <v>322</v>
      </c>
      <c r="D6" s="144" t="s">
        <v>119</v>
      </c>
      <c r="E6" s="143" t="s">
        <v>323</v>
      </c>
      <c r="F6" s="142" t="s">
        <v>324</v>
      </c>
      <c r="G6" s="145" t="s">
        <v>89</v>
      </c>
    </row>
    <row r="7" spans="1:9" ht="15" customHeight="1" x14ac:dyDescent="0.2">
      <c r="A7" s="146"/>
      <c r="B7" s="146"/>
      <c r="C7" s="147"/>
      <c r="D7" s="148"/>
      <c r="E7" s="148"/>
      <c r="F7" s="149"/>
    </row>
    <row r="8" spans="1:9" ht="15" customHeight="1" x14ac:dyDescent="0.2">
      <c r="A8" s="10" t="s">
        <v>2</v>
      </c>
      <c r="B8" s="3" t="s">
        <v>128</v>
      </c>
      <c r="C8" s="150">
        <v>2232322.44</v>
      </c>
      <c r="D8" s="151">
        <f>'Revenue Offset'!G8</f>
        <v>0.43189398698442066</v>
      </c>
      <c r="E8" s="152">
        <f t="shared" ref="E8:E13" si="0">C8*(1-D8)</f>
        <v>1268195.8011536098</v>
      </c>
      <c r="F8" s="53">
        <f>Summary!D6</f>
        <v>1729</v>
      </c>
      <c r="G8" s="493">
        <f>E8/F8</f>
        <v>733.48513658392699</v>
      </c>
      <c r="H8" s="158"/>
      <c r="I8" s="55"/>
    </row>
    <row r="9" spans="1:9" ht="15" customHeight="1" x14ac:dyDescent="0.2">
      <c r="A9" s="10" t="s">
        <v>4</v>
      </c>
      <c r="B9" s="3" t="s">
        <v>124</v>
      </c>
      <c r="C9" s="150">
        <v>9942935.9499999993</v>
      </c>
      <c r="D9" s="151">
        <f>'Revenue Offset'!G9</f>
        <v>0.52182607272056636</v>
      </c>
      <c r="E9" s="152">
        <f>C9*(1-D9)</f>
        <v>4754452.7318993658</v>
      </c>
      <c r="F9" s="53">
        <f>Summary!D7</f>
        <v>6668</v>
      </c>
      <c r="G9" s="493">
        <f t="shared" ref="G9:G37" si="1">E9/F9</f>
        <v>713.02530472396006</v>
      </c>
      <c r="H9" s="158"/>
      <c r="I9" s="55"/>
    </row>
    <row r="10" spans="1:9" ht="15" customHeight="1" x14ac:dyDescent="0.2">
      <c r="A10" s="10" t="s">
        <v>5</v>
      </c>
      <c r="B10" s="3" t="s">
        <v>113</v>
      </c>
      <c r="C10" s="173">
        <v>9060375.9199999999</v>
      </c>
      <c r="D10" s="151">
        <f>'Revenue Offset'!G10</f>
        <v>0.60331133611509846</v>
      </c>
      <c r="E10" s="152">
        <f t="shared" si="0"/>
        <v>3594148.4179997356</v>
      </c>
      <c r="F10" s="53">
        <f>Summary!D8</f>
        <v>4631</v>
      </c>
      <c r="G10" s="493">
        <f t="shared" si="1"/>
        <v>776.10633081402193</v>
      </c>
      <c r="H10" s="471"/>
      <c r="I10" s="55"/>
    </row>
    <row r="11" spans="1:9" ht="15" customHeight="1" x14ac:dyDescent="0.2">
      <c r="A11" s="10" t="s">
        <v>6</v>
      </c>
      <c r="B11" s="3" t="s">
        <v>7</v>
      </c>
      <c r="C11" s="173">
        <v>3785371.13</v>
      </c>
      <c r="D11" s="151">
        <f>'Revenue Offset'!G11</f>
        <v>0.44707141814254192</v>
      </c>
      <c r="E11" s="152">
        <f t="shared" si="0"/>
        <v>2093039.8907150635</v>
      </c>
      <c r="F11" s="53">
        <f>Summary!D9</f>
        <v>2646</v>
      </c>
      <c r="G11" s="493">
        <f t="shared" si="1"/>
        <v>791.02036686132408</v>
      </c>
      <c r="H11" s="471"/>
      <c r="I11" s="55"/>
    </row>
    <row r="12" spans="1:9" ht="15" customHeight="1" x14ac:dyDescent="0.2">
      <c r="A12" s="10" t="s">
        <v>8</v>
      </c>
      <c r="B12" s="3" t="s">
        <v>9</v>
      </c>
      <c r="C12" s="150">
        <v>6061009.0300000003</v>
      </c>
      <c r="D12" s="151">
        <f>'Revenue Offset'!G12</f>
        <v>0.51803310945854641</v>
      </c>
      <c r="E12" s="152">
        <f t="shared" si="0"/>
        <v>2921205.6757327719</v>
      </c>
      <c r="F12" s="53">
        <f>Summary!D10</f>
        <v>5910</v>
      </c>
      <c r="G12" s="493">
        <f t="shared" si="1"/>
        <v>494.2818402255113</v>
      </c>
      <c r="H12" s="471"/>
      <c r="I12" s="55"/>
    </row>
    <row r="13" spans="1:9" ht="15" customHeight="1" x14ac:dyDescent="0.2">
      <c r="A13" s="10" t="s">
        <v>10</v>
      </c>
      <c r="B13" s="3" t="s">
        <v>146</v>
      </c>
      <c r="C13" s="150">
        <v>6270385.7999999998</v>
      </c>
      <c r="D13" s="151">
        <f>'Revenue Offset'!G13</f>
        <v>0.47498965898592527</v>
      </c>
      <c r="E13" s="152">
        <f t="shared" si="0"/>
        <v>3292017.3871478117</v>
      </c>
      <c r="F13" s="53">
        <f>Summary!D11</f>
        <v>4572</v>
      </c>
      <c r="G13" s="493">
        <f t="shared" si="1"/>
        <v>720.03879858876019</v>
      </c>
      <c r="H13" s="471"/>
      <c r="I13" s="55"/>
    </row>
    <row r="14" spans="1:9" ht="15" customHeight="1" x14ac:dyDescent="0.2">
      <c r="A14" s="10" t="s">
        <v>12</v>
      </c>
      <c r="B14" s="3" t="s">
        <v>13</v>
      </c>
      <c r="C14" s="150">
        <v>1165523.3899999999</v>
      </c>
      <c r="D14" s="151">
        <f>'Revenue Offset'!G14</f>
        <v>0.37137337565983602</v>
      </c>
      <c r="E14" s="152">
        <f t="shared" ref="E14:E37" si="2">C14*(1-D14)</f>
        <v>732679.0342452043</v>
      </c>
      <c r="F14" s="53">
        <f>Summary!D12</f>
        <v>865</v>
      </c>
      <c r="G14" s="493">
        <f t="shared" si="1"/>
        <v>847.02778525457143</v>
      </c>
      <c r="H14" s="471"/>
      <c r="I14" s="55"/>
    </row>
    <row r="15" spans="1:9" ht="15" customHeight="1" x14ac:dyDescent="0.2">
      <c r="A15" s="10" t="s">
        <v>14</v>
      </c>
      <c r="B15" s="3" t="s">
        <v>139</v>
      </c>
      <c r="C15" s="150">
        <v>4843232.04</v>
      </c>
      <c r="D15" s="151">
        <f>'Revenue Offset'!G15</f>
        <v>0.41562532518913137</v>
      </c>
      <c r="E15" s="152">
        <f t="shared" si="2"/>
        <v>2830262.1484085801</v>
      </c>
      <c r="F15" s="53">
        <f>Summary!D13</f>
        <v>2946</v>
      </c>
      <c r="G15" s="493">
        <f t="shared" si="1"/>
        <v>960.71356022015618</v>
      </c>
      <c r="H15" s="471"/>
      <c r="I15" s="55"/>
    </row>
    <row r="16" spans="1:9" ht="15" customHeight="1" x14ac:dyDescent="0.2">
      <c r="A16" s="10" t="s">
        <v>16</v>
      </c>
      <c r="B16" s="3" t="s">
        <v>17</v>
      </c>
      <c r="C16" s="150">
        <v>3216860.72</v>
      </c>
      <c r="D16" s="151">
        <f>'Revenue Offset'!G16</f>
        <v>0.4746504215469754</v>
      </c>
      <c r="E16" s="152">
        <f t="shared" si="2"/>
        <v>1689976.4231940934</v>
      </c>
      <c r="F16" s="53">
        <f>Summary!D14</f>
        <v>3096</v>
      </c>
      <c r="G16" s="493">
        <f t="shared" si="1"/>
        <v>545.85801782754959</v>
      </c>
      <c r="H16" s="471"/>
      <c r="I16" s="55"/>
    </row>
    <row r="17" spans="1:9" ht="15" customHeight="1" x14ac:dyDescent="0.2">
      <c r="A17" s="10" t="s">
        <v>18</v>
      </c>
      <c r="B17" s="3" t="s">
        <v>140</v>
      </c>
      <c r="C17" s="150">
        <v>22776582.18</v>
      </c>
      <c r="D17" s="151">
        <f>'Revenue Offset'!G17</f>
        <v>0.60477428435049685</v>
      </c>
      <c r="E17" s="152">
        <f t="shared" si="2"/>
        <v>9001890.9921402205</v>
      </c>
      <c r="F17" s="53">
        <f>Summary!D15</f>
        <v>5827</v>
      </c>
      <c r="G17" s="493">
        <f t="shared" si="1"/>
        <v>1544.8585879766981</v>
      </c>
      <c r="H17" s="471"/>
      <c r="I17" s="55"/>
    </row>
    <row r="18" spans="1:9" ht="15" customHeight="1" x14ac:dyDescent="0.2">
      <c r="A18" s="10" t="s">
        <v>19</v>
      </c>
      <c r="B18" s="3" t="s">
        <v>129</v>
      </c>
      <c r="C18" s="173">
        <v>7605469.4800000004</v>
      </c>
      <c r="D18" s="151">
        <f>'Revenue Offset'!G18</f>
        <v>0.49407290039051827</v>
      </c>
      <c r="E18" s="152">
        <f t="shared" si="2"/>
        <v>3847813.1151848338</v>
      </c>
      <c r="F18" s="53">
        <f>Summary!D16</f>
        <v>4536</v>
      </c>
      <c r="G18" s="493">
        <f t="shared" si="1"/>
        <v>848.28331463510449</v>
      </c>
      <c r="H18" s="471"/>
      <c r="I18" s="55"/>
    </row>
    <row r="19" spans="1:9" ht="15" customHeight="1" x14ac:dyDescent="0.2">
      <c r="A19" s="10" t="s">
        <v>21</v>
      </c>
      <c r="B19" s="121" t="s">
        <v>177</v>
      </c>
      <c r="C19" s="150">
        <v>2156759.75</v>
      </c>
      <c r="D19" s="151">
        <f>'Revenue Offset'!G19</f>
        <v>0.41295315778383335</v>
      </c>
      <c r="E19" s="152">
        <f t="shared" si="2"/>
        <v>1266119.000656429</v>
      </c>
      <c r="F19" s="53">
        <f>Summary!D17</f>
        <v>1157</v>
      </c>
      <c r="G19" s="493">
        <f t="shared" si="1"/>
        <v>1094.3120143962221</v>
      </c>
      <c r="H19" s="471"/>
      <c r="I19" s="55"/>
    </row>
    <row r="20" spans="1:9" ht="15" customHeight="1" x14ac:dyDescent="0.2">
      <c r="A20" s="37" t="s">
        <v>109</v>
      </c>
      <c r="B20" s="3" t="s">
        <v>141</v>
      </c>
      <c r="C20" s="150">
        <v>4586786.78</v>
      </c>
      <c r="D20" s="151">
        <f>'Revenue Offset'!G20</f>
        <v>0.46566472165938799</v>
      </c>
      <c r="E20" s="152">
        <f t="shared" si="2"/>
        <v>2450881.9907803396</v>
      </c>
      <c r="F20" s="53">
        <f>Summary!D18</f>
        <v>3714</v>
      </c>
      <c r="G20" s="493">
        <f t="shared" si="1"/>
        <v>659.90360548743661</v>
      </c>
      <c r="H20" s="471"/>
      <c r="I20" s="55"/>
    </row>
    <row r="21" spans="1:9" ht="15" customHeight="1" x14ac:dyDescent="0.2">
      <c r="A21" s="10" t="s">
        <v>26</v>
      </c>
      <c r="B21" s="3" t="s">
        <v>62</v>
      </c>
      <c r="C21" s="150">
        <v>12631375.140000001</v>
      </c>
      <c r="D21" s="151">
        <f>'Revenue Offset'!G21</f>
        <v>0.60106540911517325</v>
      </c>
      <c r="E21" s="152">
        <f t="shared" si="2"/>
        <v>5039092.4737886712</v>
      </c>
      <c r="F21" s="53">
        <f>Summary!D19</f>
        <v>5166</v>
      </c>
      <c r="G21" s="493">
        <f t="shared" si="1"/>
        <v>975.434083195639</v>
      </c>
      <c r="H21" s="471"/>
      <c r="I21" s="55"/>
    </row>
    <row r="22" spans="1:9" ht="15" customHeight="1" x14ac:dyDescent="0.2">
      <c r="A22" s="10" t="s">
        <v>22</v>
      </c>
      <c r="B22" s="3" t="s">
        <v>23</v>
      </c>
      <c r="C22" s="150">
        <v>30022913.489999998</v>
      </c>
      <c r="D22" s="151">
        <f>'Revenue Offset'!G22</f>
        <v>0.65840774997756768</v>
      </c>
      <c r="E22" s="152">
        <f t="shared" si="2"/>
        <v>10255594.571277935</v>
      </c>
      <c r="F22" s="53">
        <f>Summary!D20</f>
        <v>13202</v>
      </c>
      <c r="G22" s="493">
        <f t="shared" si="1"/>
        <v>776.82128247825597</v>
      </c>
      <c r="H22" s="471"/>
      <c r="I22" s="55"/>
    </row>
    <row r="23" spans="1:9" ht="15" customHeight="1" x14ac:dyDescent="0.2">
      <c r="A23" s="10" t="s">
        <v>24</v>
      </c>
      <c r="B23" s="3" t="s">
        <v>137</v>
      </c>
      <c r="C23" s="150">
        <v>2583367.96</v>
      </c>
      <c r="D23" s="151">
        <f>'Revenue Offset'!G23</f>
        <v>0.45130534250595672</v>
      </c>
      <c r="E23" s="152">
        <f t="shared" si="2"/>
        <v>1417480.197993285</v>
      </c>
      <c r="F23" s="53">
        <f>Summary!D21</f>
        <v>1975</v>
      </c>
      <c r="G23" s="493">
        <f t="shared" si="1"/>
        <v>717.71149265482791</v>
      </c>
      <c r="H23" s="471"/>
      <c r="I23" s="55"/>
    </row>
    <row r="24" spans="1:9" ht="15" customHeight="1" x14ac:dyDescent="0.2">
      <c r="A24" s="10" t="s">
        <v>27</v>
      </c>
      <c r="B24" s="3" t="s">
        <v>132</v>
      </c>
      <c r="C24" s="150">
        <v>10538585.859999999</v>
      </c>
      <c r="D24" s="151">
        <f>'Revenue Offset'!G24</f>
        <v>0.56288057914139755</v>
      </c>
      <c r="E24" s="152">
        <f t="shared" si="2"/>
        <v>4606620.5477918563</v>
      </c>
      <c r="F24" s="53">
        <f>Summary!D22</f>
        <v>6776</v>
      </c>
      <c r="G24" s="493">
        <f t="shared" si="1"/>
        <v>679.84364636833766</v>
      </c>
      <c r="H24" s="471"/>
      <c r="I24" s="55"/>
    </row>
    <row r="25" spans="1:9" ht="15" customHeight="1" x14ac:dyDescent="0.2">
      <c r="A25" s="10" t="s">
        <v>29</v>
      </c>
      <c r="B25" s="3" t="s">
        <v>133</v>
      </c>
      <c r="C25" s="150">
        <v>7348458.2999999998</v>
      </c>
      <c r="D25" s="151">
        <f>'Revenue Offset'!G25</f>
        <v>0.50318294909194183</v>
      </c>
      <c r="E25" s="152">
        <f t="shared" si="2"/>
        <v>3650839.3813268426</v>
      </c>
      <c r="F25" s="53">
        <f>Summary!D23</f>
        <v>3830</v>
      </c>
      <c r="G25" s="493">
        <f t="shared" si="1"/>
        <v>953.22177058142108</v>
      </c>
      <c r="H25" s="471"/>
      <c r="I25" s="55"/>
    </row>
    <row r="26" spans="1:9" ht="15" customHeight="1" x14ac:dyDescent="0.2">
      <c r="A26" s="37" t="s">
        <v>118</v>
      </c>
      <c r="B26" s="3" t="s">
        <v>63</v>
      </c>
      <c r="C26" s="173">
        <v>3437781.61</v>
      </c>
      <c r="D26" s="151">
        <f>'Revenue Offset'!G26</f>
        <v>0.44045886889908031</v>
      </c>
      <c r="E26" s="152">
        <f t="shared" si="2"/>
        <v>1923580.210537341</v>
      </c>
      <c r="F26" s="53">
        <f>Summary!D24</f>
        <v>3085</v>
      </c>
      <c r="G26" s="493">
        <f t="shared" si="1"/>
        <v>623.52681054695006</v>
      </c>
      <c r="H26" s="471"/>
      <c r="I26" s="55"/>
    </row>
    <row r="27" spans="1:9" ht="15" customHeight="1" x14ac:dyDescent="0.2">
      <c r="A27" s="10" t="s">
        <v>31</v>
      </c>
      <c r="B27" s="3" t="s">
        <v>134</v>
      </c>
      <c r="C27" s="150">
        <v>3438288.06</v>
      </c>
      <c r="D27" s="151">
        <f>'Revenue Offset'!G27</f>
        <v>0.44348139651553148</v>
      </c>
      <c r="E27" s="152">
        <f t="shared" si="2"/>
        <v>1913471.2695285224</v>
      </c>
      <c r="F27" s="53">
        <f>Summary!D25</f>
        <v>1968</v>
      </c>
      <c r="G27" s="493">
        <f t="shared" si="1"/>
        <v>972.29231175229791</v>
      </c>
      <c r="H27" s="471"/>
      <c r="I27" s="55"/>
    </row>
    <row r="28" spans="1:9" ht="15" customHeight="1" x14ac:dyDescent="0.2">
      <c r="A28" s="10" t="s">
        <v>33</v>
      </c>
      <c r="B28" s="3" t="s">
        <v>130</v>
      </c>
      <c r="C28" s="150">
        <v>908866.86</v>
      </c>
      <c r="D28" s="151">
        <f>'Revenue Offset'!G28</f>
        <v>0.380324902041413</v>
      </c>
      <c r="E28" s="152">
        <f t="shared" si="2"/>
        <v>563202.1605018134</v>
      </c>
      <c r="F28" s="53">
        <f>Summary!D26</f>
        <v>798</v>
      </c>
      <c r="G28" s="493">
        <f t="shared" si="1"/>
        <v>705.76711842332509</v>
      </c>
      <c r="H28" s="471"/>
      <c r="I28" s="55"/>
    </row>
    <row r="29" spans="1:9" ht="15" customHeight="1" x14ac:dyDescent="0.2">
      <c r="A29" s="10" t="s">
        <v>35</v>
      </c>
      <c r="B29" s="3" t="s">
        <v>36</v>
      </c>
      <c r="C29" s="150">
        <v>2913156.2</v>
      </c>
      <c r="D29" s="151">
        <f>'Revenue Offset'!G29</f>
        <v>0.46032326616888825</v>
      </c>
      <c r="E29" s="152">
        <f>C29*(1-D29)</f>
        <v>1572162.623155853</v>
      </c>
      <c r="F29" s="53">
        <f>Summary!D27</f>
        <v>2484</v>
      </c>
      <c r="G29" s="493">
        <f t="shared" si="1"/>
        <v>632.9157098050938</v>
      </c>
      <c r="H29" s="471"/>
      <c r="I29" s="55"/>
    </row>
    <row r="30" spans="1:9" ht="15" customHeight="1" x14ac:dyDescent="0.2">
      <c r="A30" s="10" t="s">
        <v>37</v>
      </c>
      <c r="B30" s="3" t="s">
        <v>131</v>
      </c>
      <c r="C30" s="150">
        <v>2830406.57</v>
      </c>
      <c r="D30" s="151">
        <f>'Revenue Offset'!G30</f>
        <v>0.49130897549732494</v>
      </c>
      <c r="E30" s="152">
        <f>C30*(1-D30)</f>
        <v>1439802.4178524022</v>
      </c>
      <c r="F30" s="53">
        <f>Summary!D28</f>
        <v>2164</v>
      </c>
      <c r="G30" s="493">
        <f t="shared" si="1"/>
        <v>665.34307664159064</v>
      </c>
      <c r="H30" s="471"/>
      <c r="I30" s="55"/>
    </row>
    <row r="31" spans="1:9" ht="15" customHeight="1" x14ac:dyDescent="0.2">
      <c r="A31" s="10" t="s">
        <v>39</v>
      </c>
      <c r="B31" s="3" t="s">
        <v>135</v>
      </c>
      <c r="C31" s="150">
        <v>5645746.1399999997</v>
      </c>
      <c r="D31" s="151">
        <f>'Revenue Offset'!G31</f>
        <v>0.52140415580283517</v>
      </c>
      <c r="E31" s="152">
        <f t="shared" si="2"/>
        <v>2702030.6399961845</v>
      </c>
      <c r="F31" s="53">
        <f>Summary!D29</f>
        <v>3363</v>
      </c>
      <c r="G31" s="493">
        <f t="shared" si="1"/>
        <v>803.45841213089045</v>
      </c>
      <c r="H31" s="471"/>
      <c r="I31" s="55"/>
    </row>
    <row r="32" spans="1:9" ht="15" customHeight="1" x14ac:dyDescent="0.2">
      <c r="A32" s="10" t="s">
        <v>46</v>
      </c>
      <c r="B32" s="3" t="s">
        <v>70</v>
      </c>
      <c r="C32" s="150">
        <v>5029697.28</v>
      </c>
      <c r="D32" s="151">
        <f>'Revenue Offset'!G32</f>
        <v>0.51643028773127342</v>
      </c>
      <c r="E32" s="152">
        <f t="shared" si="2"/>
        <v>2432209.266488397</v>
      </c>
      <c r="F32" s="53">
        <f>Summary!D30</f>
        <v>4255</v>
      </c>
      <c r="G32" s="493">
        <f t="shared" si="1"/>
        <v>571.61204852841297</v>
      </c>
      <c r="H32" s="471"/>
      <c r="I32" s="55"/>
    </row>
    <row r="33" spans="1:9" ht="15" customHeight="1" x14ac:dyDescent="0.2">
      <c r="A33" s="10" t="s">
        <v>41</v>
      </c>
      <c r="B33" s="3" t="s">
        <v>117</v>
      </c>
      <c r="C33" s="150">
        <v>3711596.12</v>
      </c>
      <c r="D33" s="151">
        <f>'Revenue Offset'!G33</f>
        <v>0.45304319568106771</v>
      </c>
      <c r="E33" s="152">
        <f>C33*(1-D33)</f>
        <v>2030082.7527177485</v>
      </c>
      <c r="F33" s="53">
        <f>Summary!D31</f>
        <v>2095</v>
      </c>
      <c r="G33" s="493">
        <f>E33/F33</f>
        <v>969.01324712064365</v>
      </c>
      <c r="H33" s="471"/>
      <c r="I33" s="55"/>
    </row>
    <row r="34" spans="1:9" ht="15" customHeight="1" x14ac:dyDescent="0.2">
      <c r="A34" s="10" t="s">
        <v>42</v>
      </c>
      <c r="B34" s="3" t="s">
        <v>69</v>
      </c>
      <c r="C34" s="150">
        <v>4953918.7699999996</v>
      </c>
      <c r="D34" s="151">
        <f>'Revenue Offset'!G34</f>
        <v>0.51707333893728968</v>
      </c>
      <c r="E34" s="152">
        <f t="shared" si="2"/>
        <v>2392379.4507719884</v>
      </c>
      <c r="F34" s="53">
        <f>Summary!D32</f>
        <v>3365</v>
      </c>
      <c r="G34" s="493">
        <f t="shared" si="1"/>
        <v>710.95971791143791</v>
      </c>
      <c r="H34" s="471"/>
      <c r="I34" s="55"/>
    </row>
    <row r="35" spans="1:9" ht="15" customHeight="1" x14ac:dyDescent="0.2">
      <c r="A35" s="10" t="s">
        <v>43</v>
      </c>
      <c r="B35" s="3" t="s">
        <v>44</v>
      </c>
      <c r="C35" s="150">
        <v>20180119.760000002</v>
      </c>
      <c r="D35" s="151">
        <f>'Revenue Offset'!G35</f>
        <v>0.57438643744397688</v>
      </c>
      <c r="E35" s="152">
        <f t="shared" si="2"/>
        <v>8588932.6638607997</v>
      </c>
      <c r="F35" s="53">
        <f>Summary!D33</f>
        <v>9547</v>
      </c>
      <c r="G35" s="493">
        <f t="shared" si="1"/>
        <v>899.64728855774581</v>
      </c>
      <c r="H35" s="471"/>
      <c r="I35" s="55"/>
    </row>
    <row r="36" spans="1:9" ht="15" customHeight="1" x14ac:dyDescent="0.2">
      <c r="A36" s="10" t="s">
        <v>45</v>
      </c>
      <c r="B36" s="3" t="s">
        <v>136</v>
      </c>
      <c r="C36" s="150">
        <v>3881205.53</v>
      </c>
      <c r="D36" s="151">
        <f>'Revenue Offset'!G36</f>
        <v>0.51691673131840032</v>
      </c>
      <c r="E36" s="152">
        <f t="shared" si="2"/>
        <v>1874945.4538575003</v>
      </c>
      <c r="F36" s="53">
        <f>Summary!D34</f>
        <v>3065</v>
      </c>
      <c r="G36" s="493">
        <f t="shared" si="1"/>
        <v>611.72771740864607</v>
      </c>
      <c r="H36" s="471"/>
      <c r="I36" s="55"/>
    </row>
    <row r="37" spans="1:9" ht="15" customHeight="1" x14ac:dyDescent="0.2">
      <c r="A37" s="10" t="s">
        <v>47</v>
      </c>
      <c r="B37" s="3" t="s">
        <v>48</v>
      </c>
      <c r="C37" s="150">
        <v>13905545.01</v>
      </c>
      <c r="D37" s="151">
        <f>'Revenue Offset'!G37</f>
        <v>0.60938273428233869</v>
      </c>
      <c r="E37" s="152">
        <f t="shared" si="2"/>
        <v>5431745.9701200696</v>
      </c>
      <c r="F37" s="53">
        <f>Summary!D35</f>
        <v>7049</v>
      </c>
      <c r="G37" s="493">
        <f t="shared" si="1"/>
        <v>770.56972196340894</v>
      </c>
      <c r="H37" s="471"/>
      <c r="I37" s="55"/>
    </row>
    <row r="38" spans="1:9" ht="15" customHeight="1" x14ac:dyDescent="0.2">
      <c r="G38" s="471"/>
      <c r="H38" s="158"/>
    </row>
    <row r="39" spans="1:9" ht="15" customHeight="1" x14ac:dyDescent="0.2">
      <c r="B39" s="54" t="s">
        <v>49</v>
      </c>
      <c r="C39" s="52">
        <f>SUM(C8:C38)</f>
        <v>217664643.27000001</v>
      </c>
      <c r="D39" s="153">
        <f>'Revenue Offset'!G39</f>
        <v>0.54077118802727586</v>
      </c>
      <c r="E39" s="52">
        <f>SUM(E8:E38)</f>
        <v>97576854.660825253</v>
      </c>
      <c r="F39" s="52">
        <f>SUM(F8:F38)</f>
        <v>122484</v>
      </c>
      <c r="G39" s="471">
        <f>+E39/F39</f>
        <v>796.64980455263753</v>
      </c>
      <c r="H39" s="158"/>
    </row>
    <row r="40" spans="1:9" ht="12" customHeight="1" x14ac:dyDescent="0.2">
      <c r="C40" s="154"/>
    </row>
    <row r="41" spans="1:9" ht="15" customHeight="1" x14ac:dyDescent="0.2">
      <c r="A41" s="16" t="s">
        <v>320</v>
      </c>
      <c r="E41" s="155"/>
    </row>
    <row r="42" spans="1:9" ht="15" customHeight="1" x14ac:dyDescent="0.2">
      <c r="A42" s="129" t="str">
        <f>'FY2015 Detail'!B40</f>
        <v>s:\finance\bargain\FY22 allocation\Summary of FY2022 Institutional Allocation Draft</v>
      </c>
    </row>
    <row r="43" spans="1:9" ht="15" customHeight="1" x14ac:dyDescent="0.2">
      <c r="A43" s="129"/>
    </row>
    <row r="44" spans="1:9" ht="15" customHeight="1" x14ac:dyDescent="0.2">
      <c r="C44" s="55"/>
      <c r="D44" s="134"/>
      <c r="E44" s="55"/>
      <c r="F44" s="55"/>
    </row>
  </sheetData>
  <phoneticPr fontId="11" type="noConversion"/>
  <pageMargins left="0.75" right="0.4" top="0.64" bottom="0.28000000000000003" header="0.5" footer="0.24"/>
  <pageSetup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39997558519241921"/>
    <pageSetUpPr fitToPage="1"/>
  </sheetPr>
  <dimension ref="A1:S47"/>
  <sheetViews>
    <sheetView zoomScale="80" zoomScaleNormal="80" workbookViewId="0">
      <selection activeCell="C21" sqref="C21"/>
    </sheetView>
  </sheetViews>
  <sheetFormatPr defaultColWidth="9.140625" defaultRowHeight="12.75" x14ac:dyDescent="0.2"/>
  <cols>
    <col min="1" max="1" width="7.7109375" style="54" customWidth="1"/>
    <col min="2" max="2" width="30.7109375" style="157" customWidth="1"/>
    <col min="3" max="3" width="8.5703125" style="55" customWidth="1"/>
    <col min="4" max="4" width="12.7109375" style="55" customWidth="1"/>
    <col min="5" max="5" width="9.28515625" style="55" customWidth="1"/>
    <col min="6" max="6" width="12.7109375" style="55" bestFit="1" customWidth="1"/>
    <col min="7" max="7" width="11.42578125" style="55" customWidth="1"/>
    <col min="8" max="9" width="12" style="55" customWidth="1"/>
    <col min="10" max="10" width="16.140625" style="55" customWidth="1"/>
    <col min="11" max="11" width="12.28515625" style="55" customWidth="1"/>
    <col min="12" max="12" width="10.5703125" style="87" customWidth="1"/>
    <col min="13" max="13" width="14" style="158" customWidth="1"/>
    <col min="14" max="14" width="7.7109375" style="54" customWidth="1"/>
    <col min="15" max="15" width="30.7109375" style="157" customWidth="1"/>
    <col min="16" max="16" width="12.28515625" style="52" customWidth="1"/>
    <col min="17" max="18" width="16.42578125" style="87" customWidth="1"/>
    <col min="19" max="19" width="16.28515625" style="54" bestFit="1" customWidth="1"/>
    <col min="20" max="20" width="3.42578125" style="54" customWidth="1"/>
    <col min="21" max="16384" width="9.140625" style="54"/>
  </cols>
  <sheetData>
    <row r="1" spans="1:19" ht="15.75" x14ac:dyDescent="0.25">
      <c r="A1" s="156" t="s">
        <v>72</v>
      </c>
      <c r="M1" s="87"/>
      <c r="N1" s="156" t="s">
        <v>72</v>
      </c>
      <c r="R1" s="266"/>
      <c r="S1" s="87" t="s">
        <v>282</v>
      </c>
    </row>
    <row r="2" spans="1:19" x14ac:dyDescent="0.2">
      <c r="A2" s="108" t="s">
        <v>126</v>
      </c>
      <c r="N2" s="108" t="s">
        <v>126</v>
      </c>
      <c r="R2" s="171"/>
    </row>
    <row r="3" spans="1:19" x14ac:dyDescent="0.2">
      <c r="A3" s="87" t="s">
        <v>328</v>
      </c>
      <c r="G3" s="471"/>
      <c r="K3" s="87" t="s">
        <v>282</v>
      </c>
      <c r="N3" s="87" t="s">
        <v>305</v>
      </c>
      <c r="R3" s="266"/>
    </row>
    <row r="4" spans="1:19" s="159" customFormat="1" ht="13.5" x14ac:dyDescent="0.25">
      <c r="A4" s="267" t="s">
        <v>161</v>
      </c>
      <c r="B4" s="160"/>
      <c r="N4" s="267" t="s">
        <v>162</v>
      </c>
      <c r="O4" s="160"/>
    </row>
    <row r="5" spans="1:19" s="268" customFormat="1" ht="12.75" customHeight="1" x14ac:dyDescent="0.2">
      <c r="B5" s="269"/>
      <c r="C5" s="161"/>
      <c r="D5" s="161"/>
      <c r="E5" s="161"/>
      <c r="F5" s="90" t="s">
        <v>97</v>
      </c>
      <c r="G5" s="161"/>
      <c r="H5" s="161"/>
      <c r="I5" s="161"/>
      <c r="J5" s="90" t="s">
        <v>163</v>
      </c>
      <c r="K5" s="90" t="s">
        <v>164</v>
      </c>
      <c r="L5" s="91"/>
      <c r="M5" s="162" t="s">
        <v>165</v>
      </c>
      <c r="O5" s="269"/>
      <c r="P5" s="162" t="s">
        <v>98</v>
      </c>
      <c r="Q5" s="91" t="s">
        <v>166</v>
      </c>
      <c r="R5" s="91"/>
    </row>
    <row r="6" spans="1:19" s="103" customFormat="1" x14ac:dyDescent="0.2">
      <c r="B6" s="91"/>
      <c r="C6" s="90" t="s">
        <v>79</v>
      </c>
      <c r="D6" s="90" t="s">
        <v>74</v>
      </c>
      <c r="E6" s="90" t="s">
        <v>75</v>
      </c>
      <c r="F6" s="90" t="s">
        <v>76</v>
      </c>
      <c r="G6" s="90" t="s">
        <v>77</v>
      </c>
      <c r="H6" s="90" t="s">
        <v>78</v>
      </c>
      <c r="I6" s="90" t="s">
        <v>81</v>
      </c>
      <c r="J6" s="90" t="s">
        <v>82</v>
      </c>
      <c r="K6" s="91" t="s">
        <v>111</v>
      </c>
      <c r="L6" s="91" t="s">
        <v>123</v>
      </c>
      <c r="M6" s="91" t="s">
        <v>99</v>
      </c>
      <c r="O6" s="91"/>
      <c r="P6" s="91" t="s">
        <v>167</v>
      </c>
      <c r="Q6" s="91" t="s">
        <v>168</v>
      </c>
      <c r="R6" s="91" t="s">
        <v>169</v>
      </c>
    </row>
    <row r="7" spans="1:19" s="163" customFormat="1" ht="76.5" x14ac:dyDescent="0.2">
      <c r="A7" s="270" t="s">
        <v>0</v>
      </c>
      <c r="B7" s="271" t="s">
        <v>1</v>
      </c>
      <c r="C7" s="272" t="s">
        <v>324</v>
      </c>
      <c r="D7" s="273" t="s">
        <v>170</v>
      </c>
      <c r="E7" s="273" t="s">
        <v>100</v>
      </c>
      <c r="F7" s="273" t="s">
        <v>101</v>
      </c>
      <c r="G7" s="454" t="s">
        <v>329</v>
      </c>
      <c r="H7" s="274" t="s">
        <v>171</v>
      </c>
      <c r="I7" s="274" t="s">
        <v>172</v>
      </c>
      <c r="J7" s="274" t="s">
        <v>173</v>
      </c>
      <c r="K7" s="247" t="s">
        <v>174</v>
      </c>
      <c r="L7" s="275" t="s">
        <v>119</v>
      </c>
      <c r="M7" s="247" t="s">
        <v>102</v>
      </c>
      <c r="N7" s="270" t="s">
        <v>0</v>
      </c>
      <c r="O7" s="271" t="s">
        <v>1</v>
      </c>
      <c r="P7" s="276" t="s">
        <v>103</v>
      </c>
      <c r="Q7" s="247" t="s">
        <v>316</v>
      </c>
      <c r="R7" s="247" t="s">
        <v>291</v>
      </c>
      <c r="S7" s="270" t="s">
        <v>175</v>
      </c>
    </row>
    <row r="8" spans="1:19" s="165" customFormat="1" x14ac:dyDescent="0.2">
      <c r="A8" s="54"/>
      <c r="B8" s="277"/>
      <c r="C8" s="278"/>
      <c r="D8" s="279"/>
      <c r="E8" s="279"/>
      <c r="F8" s="279"/>
      <c r="G8" s="455"/>
      <c r="H8" s="280"/>
      <c r="I8" s="280"/>
      <c r="J8" s="280"/>
      <c r="K8" s="281"/>
      <c r="L8" s="164"/>
      <c r="M8" s="281"/>
      <c r="N8" s="54"/>
      <c r="O8" s="277"/>
      <c r="P8" s="282"/>
      <c r="Q8" s="281"/>
      <c r="R8" s="164"/>
    </row>
    <row r="9" spans="1:19" x14ac:dyDescent="0.2">
      <c r="A9" s="283" t="s">
        <v>2</v>
      </c>
      <c r="B9" s="251" t="s">
        <v>128</v>
      </c>
      <c r="C9" s="284">
        <f>Summary!D6</f>
        <v>1729</v>
      </c>
      <c r="D9" s="285">
        <v>1294321</v>
      </c>
      <c r="E9" s="285">
        <v>1997</v>
      </c>
      <c r="F9" s="285">
        <f>+C9*E9</f>
        <v>3452813</v>
      </c>
      <c r="G9" s="456">
        <v>3703</v>
      </c>
      <c r="H9" s="286">
        <v>1168026</v>
      </c>
      <c r="I9" s="286">
        <v>591</v>
      </c>
      <c r="J9" s="286">
        <f t="shared" ref="J9:J38" si="0">+G9*I9</f>
        <v>2188473</v>
      </c>
      <c r="K9" s="287">
        <f t="shared" ref="K9:K38" si="1">+H9+J9+D9+F9</f>
        <v>8103633</v>
      </c>
      <c r="L9" s="288">
        <f>'Revenue Offset'!G8</f>
        <v>0.43189398698442066</v>
      </c>
      <c r="M9" s="289">
        <f t="shared" ref="M9:M38" si="2">K9*(1-L9)</f>
        <v>4603722.6345714778</v>
      </c>
      <c r="N9" s="283" t="s">
        <v>2</v>
      </c>
      <c r="O9" s="251" t="s">
        <v>128</v>
      </c>
      <c r="P9" s="290"/>
      <c r="Q9" s="289">
        <f t="shared" ref="Q9:Q15" si="3">+M9+P9</f>
        <v>4603722.6345714778</v>
      </c>
      <c r="R9" s="289">
        <v>4476525.6782559706</v>
      </c>
      <c r="S9" s="291">
        <f t="shared" ref="S9:S38" si="4">AVERAGE(Q9:R9)</f>
        <v>4540124.1564137246</v>
      </c>
    </row>
    <row r="10" spans="1:19" x14ac:dyDescent="0.2">
      <c r="A10" s="283" t="s">
        <v>4</v>
      </c>
      <c r="B10" s="251" t="s">
        <v>124</v>
      </c>
      <c r="C10" s="284">
        <f>Summary!D7</f>
        <v>6668</v>
      </c>
      <c r="D10" s="285">
        <v>1294321</v>
      </c>
      <c r="E10" s="285">
        <v>1997</v>
      </c>
      <c r="F10" s="285">
        <f t="shared" ref="F10:F38" si="5">+C10*E10</f>
        <v>13315996</v>
      </c>
      <c r="G10" s="456">
        <f>11485+2699</f>
        <v>14184</v>
      </c>
      <c r="H10" s="286">
        <v>1168026</v>
      </c>
      <c r="I10" s="286">
        <v>591</v>
      </c>
      <c r="J10" s="286">
        <f t="shared" si="0"/>
        <v>8382744</v>
      </c>
      <c r="K10" s="287">
        <f>+H10+J10+D10+F10</f>
        <v>24161087</v>
      </c>
      <c r="L10" s="288">
        <f>'Revenue Offset'!G9</f>
        <v>0.52182607272056636</v>
      </c>
      <c r="M10" s="289">
        <f>K10*(1-L10)</f>
        <v>11553201.858130069</v>
      </c>
      <c r="N10" s="283" t="s">
        <v>4</v>
      </c>
      <c r="O10" s="251" t="s">
        <v>124</v>
      </c>
      <c r="P10" s="290">
        <f>200000*2</f>
        <v>400000</v>
      </c>
      <c r="Q10" s="289">
        <f t="shared" si="3"/>
        <v>11953201.858130069</v>
      </c>
      <c r="R10" s="289">
        <v>11358800.811135031</v>
      </c>
      <c r="S10" s="291">
        <f t="shared" si="4"/>
        <v>11656001.334632549</v>
      </c>
    </row>
    <row r="11" spans="1:19" ht="15" customHeight="1" x14ac:dyDescent="0.2">
      <c r="A11" s="283" t="s">
        <v>5</v>
      </c>
      <c r="B11" s="251" t="s">
        <v>113</v>
      </c>
      <c r="C11" s="284">
        <f>Summary!D8</f>
        <v>4631</v>
      </c>
      <c r="D11" s="285">
        <v>4543116</v>
      </c>
      <c r="E11" s="285">
        <v>1954</v>
      </c>
      <c r="F11" s="285">
        <f t="shared" si="5"/>
        <v>9048974</v>
      </c>
      <c r="G11" s="456">
        <f>6404+1871</f>
        <v>8275</v>
      </c>
      <c r="H11" s="286">
        <v>2033152</v>
      </c>
      <c r="I11" s="286">
        <v>1276</v>
      </c>
      <c r="J11" s="286">
        <f t="shared" si="0"/>
        <v>10558900</v>
      </c>
      <c r="K11" s="287">
        <f t="shared" si="1"/>
        <v>26184142</v>
      </c>
      <c r="L11" s="288">
        <f>'Revenue Offset'!G10</f>
        <v>0.60331133611509846</v>
      </c>
      <c r="M11" s="289">
        <f t="shared" si="2"/>
        <v>10386952.304952534</v>
      </c>
      <c r="N11" s="283" t="s">
        <v>5</v>
      </c>
      <c r="O11" s="251" t="s">
        <v>113</v>
      </c>
      <c r="P11" s="290">
        <v>200000</v>
      </c>
      <c r="Q11" s="289">
        <f t="shared" si="3"/>
        <v>10586952.304952534</v>
      </c>
      <c r="R11" s="289">
        <v>10445718.633137988</v>
      </c>
      <c r="S11" s="291">
        <f t="shared" si="4"/>
        <v>10516335.469045261</v>
      </c>
    </row>
    <row r="12" spans="1:19" x14ac:dyDescent="0.2">
      <c r="A12" s="283" t="s">
        <v>6</v>
      </c>
      <c r="B12" s="251" t="s">
        <v>7</v>
      </c>
      <c r="C12" s="284">
        <f>Summary!D9</f>
        <v>2646</v>
      </c>
      <c r="D12" s="285">
        <v>1294321</v>
      </c>
      <c r="E12" s="285">
        <v>1997</v>
      </c>
      <c r="F12" s="285">
        <f t="shared" si="5"/>
        <v>5284062</v>
      </c>
      <c r="G12" s="456">
        <v>5373</v>
      </c>
      <c r="H12" s="286">
        <v>1168026</v>
      </c>
      <c r="I12" s="286">
        <v>591</v>
      </c>
      <c r="J12" s="286">
        <f t="shared" si="0"/>
        <v>3175443</v>
      </c>
      <c r="K12" s="287">
        <f t="shared" si="1"/>
        <v>10921852</v>
      </c>
      <c r="L12" s="288">
        <f>'Revenue Offset'!G11</f>
        <v>0.44707141814254192</v>
      </c>
      <c r="M12" s="289">
        <f t="shared" si="2"/>
        <v>6039004.1376170423</v>
      </c>
      <c r="N12" s="283" t="s">
        <v>6</v>
      </c>
      <c r="O12" s="251" t="s">
        <v>7</v>
      </c>
      <c r="P12" s="290">
        <v>200000</v>
      </c>
      <c r="Q12" s="289">
        <f t="shared" si="3"/>
        <v>6239004.1376170423</v>
      </c>
      <c r="R12" s="289">
        <v>5911457.851340415</v>
      </c>
      <c r="S12" s="291">
        <f t="shared" si="4"/>
        <v>6075230.9944787286</v>
      </c>
    </row>
    <row r="13" spans="1:19" x14ac:dyDescent="0.2">
      <c r="A13" s="283" t="s">
        <v>8</v>
      </c>
      <c r="B13" s="251" t="s">
        <v>9</v>
      </c>
      <c r="C13" s="284">
        <f>Summary!D10</f>
        <v>5910</v>
      </c>
      <c r="D13" s="285">
        <v>1294321</v>
      </c>
      <c r="E13" s="285">
        <v>1997</v>
      </c>
      <c r="F13" s="285">
        <f t="shared" si="5"/>
        <v>11802270</v>
      </c>
      <c r="G13" s="456">
        <v>13242</v>
      </c>
      <c r="H13" s="286">
        <v>1168026</v>
      </c>
      <c r="I13" s="286">
        <v>591</v>
      </c>
      <c r="J13" s="286">
        <f t="shared" si="0"/>
        <v>7826022</v>
      </c>
      <c r="K13" s="287">
        <f t="shared" si="1"/>
        <v>22090639</v>
      </c>
      <c r="L13" s="288">
        <f>'Revenue Offset'!G12</f>
        <v>0.51803310945854641</v>
      </c>
      <c r="M13" s="289">
        <f t="shared" si="2"/>
        <v>10646956.588903766</v>
      </c>
      <c r="N13" s="283" t="s">
        <v>8</v>
      </c>
      <c r="O13" s="251" t="s">
        <v>9</v>
      </c>
      <c r="P13" s="290"/>
      <c r="Q13" s="289">
        <f t="shared" si="3"/>
        <v>10646956.588903766</v>
      </c>
      <c r="R13" s="289">
        <v>10198183.177716739</v>
      </c>
      <c r="S13" s="291">
        <f t="shared" si="4"/>
        <v>10422569.883310253</v>
      </c>
    </row>
    <row r="14" spans="1:19" x14ac:dyDescent="0.2">
      <c r="A14" s="283" t="s">
        <v>10</v>
      </c>
      <c r="B14" s="3" t="s">
        <v>146</v>
      </c>
      <c r="C14" s="284">
        <f>Summary!D11</f>
        <v>4572</v>
      </c>
      <c r="D14" s="285">
        <v>1294321</v>
      </c>
      <c r="E14" s="285">
        <v>1997</v>
      </c>
      <c r="F14" s="285">
        <f t="shared" si="5"/>
        <v>9130284</v>
      </c>
      <c r="G14" s="456">
        <f>3595+6476</f>
        <v>10071</v>
      </c>
      <c r="H14" s="286">
        <v>1168026</v>
      </c>
      <c r="I14" s="286">
        <v>591</v>
      </c>
      <c r="J14" s="286">
        <f t="shared" si="0"/>
        <v>5951961</v>
      </c>
      <c r="K14" s="287">
        <f t="shared" si="1"/>
        <v>17544592</v>
      </c>
      <c r="L14" s="288">
        <f>'Revenue Offset'!G13</f>
        <v>0.47498965898592527</v>
      </c>
      <c r="M14" s="289">
        <f t="shared" si="2"/>
        <v>9211092.2288728077</v>
      </c>
      <c r="N14" s="283" t="s">
        <v>10</v>
      </c>
      <c r="O14" s="3" t="s">
        <v>146</v>
      </c>
      <c r="P14" s="290">
        <v>200000</v>
      </c>
      <c r="Q14" s="289">
        <f t="shared" si="3"/>
        <v>9411092.2288728077</v>
      </c>
      <c r="R14" s="289">
        <v>9039344.6642203722</v>
      </c>
      <c r="S14" s="291">
        <f t="shared" si="4"/>
        <v>9225218.44654659</v>
      </c>
    </row>
    <row r="15" spans="1:19" x14ac:dyDescent="0.2">
      <c r="A15" s="283" t="s">
        <v>12</v>
      </c>
      <c r="B15" s="251" t="s">
        <v>13</v>
      </c>
      <c r="C15" s="284">
        <f>Summary!D12</f>
        <v>865</v>
      </c>
      <c r="D15" s="285">
        <v>1294321</v>
      </c>
      <c r="E15" s="285">
        <v>1997</v>
      </c>
      <c r="F15" s="285">
        <f t="shared" si="5"/>
        <v>1727405</v>
      </c>
      <c r="G15" s="456">
        <v>1870</v>
      </c>
      <c r="H15" s="286">
        <v>1168026</v>
      </c>
      <c r="I15" s="286">
        <v>591</v>
      </c>
      <c r="J15" s="286">
        <f t="shared" si="0"/>
        <v>1105170</v>
      </c>
      <c r="K15" s="287">
        <f t="shared" si="1"/>
        <v>5294922</v>
      </c>
      <c r="L15" s="288">
        <f>'Revenue Offset'!G14</f>
        <v>0.37137337565983602</v>
      </c>
      <c r="M15" s="289">
        <f t="shared" si="2"/>
        <v>3328528.9430044694</v>
      </c>
      <c r="N15" s="283" t="s">
        <v>12</v>
      </c>
      <c r="O15" s="251" t="s">
        <v>13</v>
      </c>
      <c r="P15" s="290"/>
      <c r="Q15" s="289">
        <f t="shared" si="3"/>
        <v>3328528.9430044694</v>
      </c>
      <c r="R15" s="289">
        <v>3528954.2474415074</v>
      </c>
      <c r="S15" s="291">
        <f t="shared" si="4"/>
        <v>3428741.5952229882</v>
      </c>
    </row>
    <row r="16" spans="1:19" x14ac:dyDescent="0.2">
      <c r="A16" s="283" t="s">
        <v>14</v>
      </c>
      <c r="B16" s="251" t="s">
        <v>139</v>
      </c>
      <c r="C16" s="284">
        <f>Summary!D13</f>
        <v>2946</v>
      </c>
      <c r="D16" s="285">
        <v>1294321</v>
      </c>
      <c r="E16" s="285">
        <v>1997</v>
      </c>
      <c r="F16" s="285">
        <f t="shared" si="5"/>
        <v>5883162</v>
      </c>
      <c r="G16" s="456">
        <v>6959</v>
      </c>
      <c r="H16" s="286">
        <v>1168026</v>
      </c>
      <c r="I16" s="286">
        <v>591</v>
      </c>
      <c r="J16" s="286">
        <f t="shared" si="0"/>
        <v>4112769</v>
      </c>
      <c r="K16" s="287">
        <f t="shared" si="1"/>
        <v>12458278</v>
      </c>
      <c r="L16" s="288">
        <f>'Revenue Offset'!G15</f>
        <v>0.41562532518913137</v>
      </c>
      <c r="M16" s="289">
        <f t="shared" si="2"/>
        <v>7280302.1549533997</v>
      </c>
      <c r="N16" s="283" t="s">
        <v>14</v>
      </c>
      <c r="O16" s="251" t="s">
        <v>139</v>
      </c>
      <c r="P16" s="290">
        <v>200000</v>
      </c>
      <c r="Q16" s="289">
        <f t="shared" ref="Q16:Q38" si="6">+M16+P16</f>
        <v>7480302.1549533997</v>
      </c>
      <c r="R16" s="289">
        <v>7375010.6243042257</v>
      </c>
      <c r="S16" s="291">
        <f t="shared" si="4"/>
        <v>7427656.3896288127</v>
      </c>
    </row>
    <row r="17" spans="1:19" x14ac:dyDescent="0.2">
      <c r="A17" s="283" t="s">
        <v>16</v>
      </c>
      <c r="B17" s="251" t="s">
        <v>17</v>
      </c>
      <c r="C17" s="284">
        <f>Summary!D14</f>
        <v>3096</v>
      </c>
      <c r="D17" s="285">
        <v>1294321</v>
      </c>
      <c r="E17" s="285">
        <v>1997</v>
      </c>
      <c r="F17" s="285">
        <f t="shared" si="5"/>
        <v>6182712</v>
      </c>
      <c r="G17" s="456">
        <v>7497</v>
      </c>
      <c r="H17" s="286">
        <v>1168026</v>
      </c>
      <c r="I17" s="286">
        <v>591</v>
      </c>
      <c r="J17" s="286">
        <f t="shared" si="0"/>
        <v>4430727</v>
      </c>
      <c r="K17" s="287">
        <f t="shared" si="1"/>
        <v>13075786</v>
      </c>
      <c r="L17" s="288">
        <f>'Revenue Offset'!G16</f>
        <v>0.4746504215469754</v>
      </c>
      <c r="M17" s="289">
        <f t="shared" si="2"/>
        <v>6869358.6630419614</v>
      </c>
      <c r="N17" s="283" t="s">
        <v>16</v>
      </c>
      <c r="O17" s="251" t="s">
        <v>17</v>
      </c>
      <c r="P17" s="290"/>
      <c r="Q17" s="289">
        <f t="shared" si="6"/>
        <v>6869358.6630419614</v>
      </c>
      <c r="R17" s="289">
        <v>6573018.995033741</v>
      </c>
      <c r="S17" s="291">
        <f t="shared" si="4"/>
        <v>6721188.8290378507</v>
      </c>
    </row>
    <row r="18" spans="1:19" x14ac:dyDescent="0.2">
      <c r="A18" s="283" t="s">
        <v>18</v>
      </c>
      <c r="B18" s="251" t="s">
        <v>140</v>
      </c>
      <c r="C18" s="284">
        <f>Summary!D15</f>
        <v>5827</v>
      </c>
      <c r="D18" s="285">
        <v>4543116</v>
      </c>
      <c r="E18" s="285">
        <v>1954</v>
      </c>
      <c r="F18" s="285">
        <f t="shared" si="5"/>
        <v>11385958</v>
      </c>
      <c r="G18" s="456">
        <v>11399</v>
      </c>
      <c r="H18" s="286">
        <v>2033152</v>
      </c>
      <c r="I18" s="286">
        <v>1276</v>
      </c>
      <c r="J18" s="286">
        <f t="shared" si="0"/>
        <v>14545124</v>
      </c>
      <c r="K18" s="287">
        <f t="shared" si="1"/>
        <v>32507350</v>
      </c>
      <c r="L18" s="288">
        <f>'Revenue Offset'!G17</f>
        <v>0.60477428435049685</v>
      </c>
      <c r="M18" s="289">
        <f t="shared" si="2"/>
        <v>12847740.667618876</v>
      </c>
      <c r="N18" s="283" t="s">
        <v>18</v>
      </c>
      <c r="O18" s="251" t="s">
        <v>140</v>
      </c>
      <c r="P18" s="290"/>
      <c r="Q18" s="289">
        <f t="shared" si="6"/>
        <v>12847740.667618876</v>
      </c>
      <c r="R18" s="289">
        <v>12565079.349767713</v>
      </c>
      <c r="S18" s="291">
        <f t="shared" si="4"/>
        <v>12706410.008693295</v>
      </c>
    </row>
    <row r="19" spans="1:19" x14ac:dyDescent="0.2">
      <c r="A19" s="283" t="s">
        <v>19</v>
      </c>
      <c r="B19" s="251" t="s">
        <v>129</v>
      </c>
      <c r="C19" s="284">
        <f>Summary!D16</f>
        <v>4536</v>
      </c>
      <c r="D19" s="285">
        <v>1294321</v>
      </c>
      <c r="E19" s="285">
        <v>1997</v>
      </c>
      <c r="F19" s="285">
        <f t="shared" si="5"/>
        <v>9058392</v>
      </c>
      <c r="G19" s="456">
        <v>11141</v>
      </c>
      <c r="H19" s="286">
        <v>1168026</v>
      </c>
      <c r="I19" s="286">
        <v>591</v>
      </c>
      <c r="J19" s="286">
        <f t="shared" si="0"/>
        <v>6584331</v>
      </c>
      <c r="K19" s="287">
        <f t="shared" si="1"/>
        <v>18105070</v>
      </c>
      <c r="L19" s="288">
        <f>'Revenue Offset'!G18</f>
        <v>0.49407290039051827</v>
      </c>
      <c r="M19" s="289">
        <f t="shared" si="2"/>
        <v>9159845.5533266403</v>
      </c>
      <c r="N19" s="283" t="s">
        <v>19</v>
      </c>
      <c r="O19" s="251" t="s">
        <v>129</v>
      </c>
      <c r="P19" s="290"/>
      <c r="Q19" s="289">
        <f t="shared" si="6"/>
        <v>9159845.5533266403</v>
      </c>
      <c r="R19" s="289">
        <v>8989661.0916845743</v>
      </c>
      <c r="S19" s="291">
        <f t="shared" si="4"/>
        <v>9074753.3225056082</v>
      </c>
    </row>
    <row r="20" spans="1:19" x14ac:dyDescent="0.2">
      <c r="A20" s="283" t="s">
        <v>21</v>
      </c>
      <c r="B20" s="256" t="s">
        <v>177</v>
      </c>
      <c r="C20" s="284">
        <f>Summary!D17</f>
        <v>1157</v>
      </c>
      <c r="D20" s="285">
        <v>1294321</v>
      </c>
      <c r="E20" s="285">
        <v>1997</v>
      </c>
      <c r="F20" s="285">
        <f t="shared" si="5"/>
        <v>2310529</v>
      </c>
      <c r="G20" s="456">
        <v>2758</v>
      </c>
      <c r="H20" s="286">
        <v>1168026</v>
      </c>
      <c r="I20" s="286">
        <v>591</v>
      </c>
      <c r="J20" s="286">
        <f t="shared" si="0"/>
        <v>1629978</v>
      </c>
      <c r="K20" s="287">
        <f t="shared" si="1"/>
        <v>6402854</v>
      </c>
      <c r="L20" s="288">
        <f>'Revenue Offset'!G19</f>
        <v>0.41295315778383335</v>
      </c>
      <c r="M20" s="289">
        <f t="shared" si="2"/>
        <v>3758775.2218711516</v>
      </c>
      <c r="N20" s="283" t="s">
        <v>21</v>
      </c>
      <c r="O20" s="256" t="s">
        <v>71</v>
      </c>
      <c r="P20" s="290">
        <v>200000</v>
      </c>
      <c r="Q20" s="289">
        <f t="shared" si="6"/>
        <v>3958775.2218711516</v>
      </c>
      <c r="R20" s="289">
        <v>3914145.7780020409</v>
      </c>
      <c r="S20" s="291">
        <f t="shared" si="4"/>
        <v>3936460.4999365965</v>
      </c>
    </row>
    <row r="21" spans="1:19" x14ac:dyDescent="0.2">
      <c r="A21" s="257" t="s">
        <v>109</v>
      </c>
      <c r="B21" s="251" t="s">
        <v>141</v>
      </c>
      <c r="C21" s="284">
        <f>Summary!D18</f>
        <v>3714</v>
      </c>
      <c r="D21" s="285">
        <v>1294321</v>
      </c>
      <c r="E21" s="285">
        <v>1997</v>
      </c>
      <c r="F21" s="285">
        <f>+C21*E21</f>
        <v>7416858</v>
      </c>
      <c r="G21" s="456">
        <v>7507</v>
      </c>
      <c r="H21" s="286">
        <v>1168026</v>
      </c>
      <c r="I21" s="286">
        <v>591</v>
      </c>
      <c r="J21" s="286">
        <f t="shared" si="0"/>
        <v>4436637</v>
      </c>
      <c r="K21" s="287">
        <f t="shared" si="1"/>
        <v>14315842</v>
      </c>
      <c r="L21" s="288">
        <f>'Revenue Offset'!G20</f>
        <v>0.46566472165938799</v>
      </c>
      <c r="M21" s="289">
        <f t="shared" si="2"/>
        <v>7649459.4197502239</v>
      </c>
      <c r="N21" s="257" t="s">
        <v>109</v>
      </c>
      <c r="O21" s="251" t="s">
        <v>141</v>
      </c>
      <c r="P21" s="290">
        <f>(200000)+(264*500)+(327*500)</f>
        <v>495500</v>
      </c>
      <c r="Q21" s="289">
        <f>+M21+P21</f>
        <v>8144959.4197502239</v>
      </c>
      <c r="R21" s="289">
        <v>7911548.7473802716</v>
      </c>
      <c r="S21" s="291">
        <f t="shared" si="4"/>
        <v>8028254.0835652482</v>
      </c>
    </row>
    <row r="22" spans="1:19" x14ac:dyDescent="0.2">
      <c r="A22" s="283" t="s">
        <v>26</v>
      </c>
      <c r="B22" s="251" t="s">
        <v>62</v>
      </c>
      <c r="C22" s="284">
        <f>Summary!D19</f>
        <v>5166</v>
      </c>
      <c r="D22" s="285">
        <v>4543116</v>
      </c>
      <c r="E22" s="285">
        <v>1954</v>
      </c>
      <c r="F22" s="285">
        <f>+C22*E22</f>
        <v>10094364</v>
      </c>
      <c r="G22" s="456">
        <v>7740</v>
      </c>
      <c r="H22" s="286">
        <v>2033152</v>
      </c>
      <c r="I22" s="286">
        <v>1276</v>
      </c>
      <c r="J22" s="286">
        <f t="shared" si="0"/>
        <v>9876240</v>
      </c>
      <c r="K22" s="287">
        <f t="shared" si="1"/>
        <v>26546872</v>
      </c>
      <c r="L22" s="288">
        <f>'Revenue Offset'!G21</f>
        <v>0.60106540911517325</v>
      </c>
      <c r="M22" s="289">
        <f t="shared" si="2"/>
        <v>10590465.520591862</v>
      </c>
      <c r="N22" s="283" t="s">
        <v>26</v>
      </c>
      <c r="O22" s="251" t="s">
        <v>62</v>
      </c>
      <c r="P22" s="290"/>
      <c r="Q22" s="289">
        <f t="shared" si="6"/>
        <v>10590465.520591862</v>
      </c>
      <c r="R22" s="289">
        <v>10743550.06365297</v>
      </c>
      <c r="S22" s="291">
        <f t="shared" si="4"/>
        <v>10667007.792122416</v>
      </c>
    </row>
    <row r="23" spans="1:19" x14ac:dyDescent="0.2">
      <c r="A23" s="283" t="s">
        <v>22</v>
      </c>
      <c r="B23" s="251" t="s">
        <v>23</v>
      </c>
      <c r="C23" s="284">
        <f>Summary!D20</f>
        <v>13202</v>
      </c>
      <c r="D23" s="285">
        <v>4543116</v>
      </c>
      <c r="E23" s="285">
        <v>1954</v>
      </c>
      <c r="F23" s="285">
        <f>+C23*E23</f>
        <v>25796708</v>
      </c>
      <c r="G23" s="456">
        <v>17908</v>
      </c>
      <c r="H23" s="286">
        <v>2033152</v>
      </c>
      <c r="I23" s="286">
        <v>1276</v>
      </c>
      <c r="J23" s="286">
        <f t="shared" si="0"/>
        <v>22850608</v>
      </c>
      <c r="K23" s="287">
        <f t="shared" si="1"/>
        <v>55223584</v>
      </c>
      <c r="L23" s="288">
        <f>'Revenue Offset'!G22</f>
        <v>0.65840774997756768</v>
      </c>
      <c r="M23" s="289">
        <f t="shared" si="2"/>
        <v>18863948.312862795</v>
      </c>
      <c r="N23" s="283" t="s">
        <v>22</v>
      </c>
      <c r="O23" s="251" t="s">
        <v>23</v>
      </c>
      <c r="P23" s="290"/>
      <c r="Q23" s="289">
        <f t="shared" si="6"/>
        <v>18863948.312862795</v>
      </c>
      <c r="R23" s="289">
        <v>18173111.953277379</v>
      </c>
      <c r="S23" s="291">
        <f t="shared" si="4"/>
        <v>18518530.133070089</v>
      </c>
    </row>
    <row r="24" spans="1:19" x14ac:dyDescent="0.2">
      <c r="A24" s="283" t="s">
        <v>24</v>
      </c>
      <c r="B24" s="251" t="s">
        <v>137</v>
      </c>
      <c r="C24" s="284">
        <f>Summary!D21</f>
        <v>1975</v>
      </c>
      <c r="D24" s="285">
        <v>1294321</v>
      </c>
      <c r="E24" s="285">
        <v>1997</v>
      </c>
      <c r="F24" s="285">
        <f t="shared" si="5"/>
        <v>3944075</v>
      </c>
      <c r="G24" s="456">
        <v>5008</v>
      </c>
      <c r="H24" s="286">
        <v>1168026</v>
      </c>
      <c r="I24" s="286">
        <v>591</v>
      </c>
      <c r="J24" s="286">
        <f t="shared" si="0"/>
        <v>2959728</v>
      </c>
      <c r="K24" s="287">
        <f t="shared" si="1"/>
        <v>9366150</v>
      </c>
      <c r="L24" s="288">
        <f>'Revenue Offset'!G23</f>
        <v>0.45130534250595672</v>
      </c>
      <c r="M24" s="289">
        <f t="shared" si="2"/>
        <v>5139156.4662878327</v>
      </c>
      <c r="N24" s="283" t="s">
        <v>24</v>
      </c>
      <c r="O24" s="251" t="s">
        <v>137</v>
      </c>
      <c r="P24" s="290">
        <f>(200000)+((68+91+154)*500)</f>
        <v>356500</v>
      </c>
      <c r="Q24" s="289">
        <f t="shared" si="6"/>
        <v>5495656.4662878327</v>
      </c>
      <c r="R24" s="289">
        <v>5280186.1334597738</v>
      </c>
      <c r="S24" s="291">
        <f t="shared" si="4"/>
        <v>5387921.2998738028</v>
      </c>
    </row>
    <row r="25" spans="1:19" x14ac:dyDescent="0.2">
      <c r="A25" s="283" t="s">
        <v>27</v>
      </c>
      <c r="B25" s="251" t="s">
        <v>132</v>
      </c>
      <c r="C25" s="284">
        <f>Summary!D22</f>
        <v>6776</v>
      </c>
      <c r="D25" s="285">
        <v>1294321</v>
      </c>
      <c r="E25" s="285">
        <v>1997</v>
      </c>
      <c r="F25" s="285">
        <f t="shared" si="5"/>
        <v>13531672</v>
      </c>
      <c r="G25" s="456">
        <v>15566</v>
      </c>
      <c r="H25" s="286">
        <v>1168026</v>
      </c>
      <c r="I25" s="286">
        <v>591</v>
      </c>
      <c r="J25" s="286">
        <f t="shared" si="0"/>
        <v>9199506</v>
      </c>
      <c r="K25" s="287">
        <f t="shared" si="1"/>
        <v>25193525</v>
      </c>
      <c r="L25" s="288">
        <f>'Revenue Offset'!G24</f>
        <v>0.56288057914139755</v>
      </c>
      <c r="M25" s="289">
        <f t="shared" si="2"/>
        <v>11012579.057386722</v>
      </c>
      <c r="N25" s="283" t="s">
        <v>27</v>
      </c>
      <c r="O25" s="251" t="s">
        <v>132</v>
      </c>
      <c r="P25" s="290"/>
      <c r="Q25" s="289">
        <f t="shared" si="6"/>
        <v>11012579.057386722</v>
      </c>
      <c r="R25" s="289">
        <v>10312515.630667014</v>
      </c>
      <c r="S25" s="291">
        <f t="shared" si="4"/>
        <v>10662547.344026867</v>
      </c>
    </row>
    <row r="26" spans="1:19" ht="14.25" customHeight="1" x14ac:dyDescent="0.2">
      <c r="A26" s="283" t="s">
        <v>29</v>
      </c>
      <c r="B26" s="251" t="s">
        <v>133</v>
      </c>
      <c r="C26" s="284">
        <f>Summary!D23</f>
        <v>3830</v>
      </c>
      <c r="D26" s="285">
        <v>1294321</v>
      </c>
      <c r="E26" s="285">
        <v>1997</v>
      </c>
      <c r="F26" s="285">
        <f t="shared" si="5"/>
        <v>7648510</v>
      </c>
      <c r="G26" s="456">
        <v>9825</v>
      </c>
      <c r="H26" s="286">
        <v>1168026</v>
      </c>
      <c r="I26" s="286">
        <v>591</v>
      </c>
      <c r="J26" s="286">
        <f t="shared" si="0"/>
        <v>5806575</v>
      </c>
      <c r="K26" s="287">
        <f t="shared" si="1"/>
        <v>15917432</v>
      </c>
      <c r="L26" s="288">
        <f>'Revenue Offset'!G25</f>
        <v>0.50318294909194183</v>
      </c>
      <c r="M26" s="289">
        <f t="shared" si="2"/>
        <v>7908051.6242695544</v>
      </c>
      <c r="N26" s="283" t="s">
        <v>29</v>
      </c>
      <c r="O26" s="251" t="s">
        <v>133</v>
      </c>
      <c r="P26" s="290"/>
      <c r="Q26" s="289">
        <f t="shared" si="6"/>
        <v>7908051.6242695544</v>
      </c>
      <c r="R26" s="289">
        <v>7594401.5614753012</v>
      </c>
      <c r="S26" s="291">
        <f t="shared" si="4"/>
        <v>7751226.5928724278</v>
      </c>
    </row>
    <row r="27" spans="1:19" ht="14.25" customHeight="1" x14ac:dyDescent="0.2">
      <c r="A27" s="257" t="s">
        <v>118</v>
      </c>
      <c r="B27" s="251" t="s">
        <v>63</v>
      </c>
      <c r="C27" s="284">
        <f>Summary!D24</f>
        <v>3085</v>
      </c>
      <c r="D27" s="285">
        <v>1294321</v>
      </c>
      <c r="E27" s="285">
        <v>1997</v>
      </c>
      <c r="F27" s="285">
        <f t="shared" si="5"/>
        <v>6160745</v>
      </c>
      <c r="G27" s="456">
        <v>5835</v>
      </c>
      <c r="H27" s="286">
        <v>1168026</v>
      </c>
      <c r="I27" s="286">
        <v>591</v>
      </c>
      <c r="J27" s="286">
        <f t="shared" si="0"/>
        <v>3448485</v>
      </c>
      <c r="K27" s="287">
        <f t="shared" si="1"/>
        <v>12071577</v>
      </c>
      <c r="L27" s="288">
        <f>'Revenue Offset'!G26</f>
        <v>0.44045886889908031</v>
      </c>
      <c r="M27" s="289">
        <f t="shared" si="2"/>
        <v>6754543.8487518476</v>
      </c>
      <c r="N27" s="257" t="s">
        <v>118</v>
      </c>
      <c r="O27" s="251" t="s">
        <v>63</v>
      </c>
      <c r="P27" s="167">
        <f>(200000*4)+(244*500)</f>
        <v>922000</v>
      </c>
      <c r="Q27" s="289">
        <f>+M27+P27</f>
        <v>7676543.8487518476</v>
      </c>
      <c r="R27" s="289">
        <v>7662788.9302910054</v>
      </c>
      <c r="S27" s="291">
        <f>AVERAGE(Q27:R27)</f>
        <v>7669666.3895214265</v>
      </c>
    </row>
    <row r="28" spans="1:19" x14ac:dyDescent="0.2">
      <c r="A28" s="283" t="s">
        <v>31</v>
      </c>
      <c r="B28" s="251" t="s">
        <v>134</v>
      </c>
      <c r="C28" s="284">
        <f>Summary!D25</f>
        <v>1968</v>
      </c>
      <c r="D28" s="285">
        <v>1294321</v>
      </c>
      <c r="E28" s="285">
        <v>1997</v>
      </c>
      <c r="F28" s="285">
        <f t="shared" si="5"/>
        <v>3930096</v>
      </c>
      <c r="G28" s="456">
        <v>4502</v>
      </c>
      <c r="H28" s="286">
        <v>1168026</v>
      </c>
      <c r="I28" s="286">
        <v>591</v>
      </c>
      <c r="J28" s="286">
        <f t="shared" si="0"/>
        <v>2660682</v>
      </c>
      <c r="K28" s="287">
        <f t="shared" si="1"/>
        <v>9053125</v>
      </c>
      <c r="L28" s="288">
        <f>'Revenue Offset'!G27</f>
        <v>0.44348139651553148</v>
      </c>
      <c r="M28" s="289">
        <f t="shared" si="2"/>
        <v>5038232.4821703285</v>
      </c>
      <c r="N28" s="283" t="s">
        <v>31</v>
      </c>
      <c r="O28" s="251" t="s">
        <v>134</v>
      </c>
      <c r="P28" s="290">
        <v>200000</v>
      </c>
      <c r="Q28" s="289">
        <f t="shared" si="6"/>
        <v>5238232.4821703285</v>
      </c>
      <c r="R28" s="289">
        <v>5166448.3469135342</v>
      </c>
      <c r="S28" s="291">
        <f t="shared" si="4"/>
        <v>5202340.4145419318</v>
      </c>
    </row>
    <row r="29" spans="1:19" x14ac:dyDescent="0.2">
      <c r="A29" s="283" t="s">
        <v>33</v>
      </c>
      <c r="B29" s="251" t="s">
        <v>130</v>
      </c>
      <c r="C29" s="284">
        <f>Summary!D26</f>
        <v>798</v>
      </c>
      <c r="D29" s="285">
        <v>1294321</v>
      </c>
      <c r="E29" s="285">
        <v>1997</v>
      </c>
      <c r="F29" s="285">
        <f t="shared" si="5"/>
        <v>1593606</v>
      </c>
      <c r="G29" s="456">
        <v>2382</v>
      </c>
      <c r="H29" s="286">
        <v>1168026</v>
      </c>
      <c r="I29" s="286">
        <v>591</v>
      </c>
      <c r="J29" s="286">
        <f t="shared" si="0"/>
        <v>1407762</v>
      </c>
      <c r="K29" s="287">
        <f t="shared" si="1"/>
        <v>5463715</v>
      </c>
      <c r="L29" s="288">
        <f>'Revenue Offset'!G28</f>
        <v>0.380324902041413</v>
      </c>
      <c r="M29" s="289">
        <f t="shared" si="2"/>
        <v>3385728.1278428012</v>
      </c>
      <c r="N29" s="283" t="s">
        <v>33</v>
      </c>
      <c r="O29" s="251" t="s">
        <v>130</v>
      </c>
      <c r="P29" s="290"/>
      <c r="Q29" s="289">
        <f t="shared" si="6"/>
        <v>3385728.1278428012</v>
      </c>
      <c r="R29" s="289">
        <v>3263461.4600286167</v>
      </c>
      <c r="S29" s="291">
        <f t="shared" si="4"/>
        <v>3324594.7939357087</v>
      </c>
    </row>
    <row r="30" spans="1:19" x14ac:dyDescent="0.2">
      <c r="A30" s="283" t="s">
        <v>35</v>
      </c>
      <c r="B30" s="251" t="s">
        <v>36</v>
      </c>
      <c r="C30" s="284">
        <f>Summary!D27</f>
        <v>2484</v>
      </c>
      <c r="D30" s="285">
        <v>1294321</v>
      </c>
      <c r="E30" s="285">
        <v>1997</v>
      </c>
      <c r="F30" s="285">
        <f t="shared" si="5"/>
        <v>4960548</v>
      </c>
      <c r="G30" s="456">
        <v>4504</v>
      </c>
      <c r="H30" s="286">
        <v>1168026</v>
      </c>
      <c r="I30" s="286">
        <v>591</v>
      </c>
      <c r="J30" s="286">
        <f t="shared" si="0"/>
        <v>2661864</v>
      </c>
      <c r="K30" s="287">
        <f t="shared" si="1"/>
        <v>10084759</v>
      </c>
      <c r="L30" s="288">
        <f>'Revenue Offset'!G29</f>
        <v>0.46032326616888825</v>
      </c>
      <c r="M30" s="289">
        <f t="shared" si="2"/>
        <v>5442509.7985939085</v>
      </c>
      <c r="N30" s="283" t="s">
        <v>35</v>
      </c>
      <c r="O30" s="251" t="s">
        <v>36</v>
      </c>
      <c r="P30" s="290">
        <v>200000</v>
      </c>
      <c r="Q30" s="289">
        <f t="shared" si="6"/>
        <v>5642509.7985939085</v>
      </c>
      <c r="R30" s="289">
        <v>5554472.7507096548</v>
      </c>
      <c r="S30" s="291">
        <f t="shared" si="4"/>
        <v>5598491.2746517817</v>
      </c>
    </row>
    <row r="31" spans="1:19" x14ac:dyDescent="0.2">
      <c r="A31" s="283" t="s">
        <v>37</v>
      </c>
      <c r="B31" s="251" t="s">
        <v>131</v>
      </c>
      <c r="C31" s="284">
        <f>Summary!D28</f>
        <v>2164</v>
      </c>
      <c r="D31" s="285">
        <v>1294321</v>
      </c>
      <c r="E31" s="285">
        <v>1997</v>
      </c>
      <c r="F31" s="285">
        <f t="shared" si="5"/>
        <v>4321508</v>
      </c>
      <c r="G31" s="456">
        <v>4902</v>
      </c>
      <c r="H31" s="286">
        <v>1168026</v>
      </c>
      <c r="I31" s="286">
        <v>591</v>
      </c>
      <c r="J31" s="286">
        <f t="shared" si="0"/>
        <v>2897082</v>
      </c>
      <c r="K31" s="287">
        <f t="shared" si="1"/>
        <v>9680937</v>
      </c>
      <c r="L31" s="288">
        <f>'Revenue Offset'!G30</f>
        <v>0.49130897549732494</v>
      </c>
      <c r="M31" s="289">
        <f t="shared" si="2"/>
        <v>4924605.7606758531</v>
      </c>
      <c r="N31" s="283" t="s">
        <v>37</v>
      </c>
      <c r="O31" s="251" t="s">
        <v>131</v>
      </c>
      <c r="P31" s="290">
        <f>200000+(74*500)</f>
        <v>237000</v>
      </c>
      <c r="Q31" s="289">
        <f t="shared" si="6"/>
        <v>5161605.7606758531</v>
      </c>
      <c r="R31" s="289">
        <v>4901831.4576871106</v>
      </c>
      <c r="S31" s="291">
        <f t="shared" si="4"/>
        <v>5031718.6091814823</v>
      </c>
    </row>
    <row r="32" spans="1:19" x14ac:dyDescent="0.2">
      <c r="A32" s="283" t="s">
        <v>39</v>
      </c>
      <c r="B32" s="251" t="s">
        <v>135</v>
      </c>
      <c r="C32" s="284">
        <f>Summary!D29</f>
        <v>3363</v>
      </c>
      <c r="D32" s="285">
        <v>1294321</v>
      </c>
      <c r="E32" s="285">
        <v>1997</v>
      </c>
      <c r="F32" s="285">
        <f t="shared" si="5"/>
        <v>6715911</v>
      </c>
      <c r="G32" s="456">
        <v>7245</v>
      </c>
      <c r="H32" s="286">
        <v>1168026</v>
      </c>
      <c r="I32" s="286">
        <v>591</v>
      </c>
      <c r="J32" s="286">
        <f t="shared" si="0"/>
        <v>4281795</v>
      </c>
      <c r="K32" s="287">
        <f t="shared" si="1"/>
        <v>13460053</v>
      </c>
      <c r="L32" s="288">
        <f>'Revenue Offset'!G31</f>
        <v>0.52140415580283517</v>
      </c>
      <c r="M32" s="289">
        <f t="shared" si="2"/>
        <v>6441925.4284735816</v>
      </c>
      <c r="N32" s="283" t="s">
        <v>39</v>
      </c>
      <c r="O32" s="251" t="s">
        <v>135</v>
      </c>
      <c r="P32" s="290"/>
      <c r="Q32" s="289">
        <f t="shared" si="6"/>
        <v>6441925.4284735816</v>
      </c>
      <c r="R32" s="289">
        <v>6290678.2828798899</v>
      </c>
      <c r="S32" s="291">
        <f t="shared" si="4"/>
        <v>6366301.8556767358</v>
      </c>
    </row>
    <row r="33" spans="1:19" x14ac:dyDescent="0.2">
      <c r="A33" s="283" t="s">
        <v>46</v>
      </c>
      <c r="B33" s="251" t="s">
        <v>70</v>
      </c>
      <c r="C33" s="284">
        <f>Summary!D30</f>
        <v>4255</v>
      </c>
      <c r="D33" s="285">
        <v>1294321</v>
      </c>
      <c r="E33" s="285">
        <v>1997</v>
      </c>
      <c r="F33" s="285">
        <f t="shared" si="5"/>
        <v>8497235</v>
      </c>
      <c r="G33" s="456">
        <v>10616</v>
      </c>
      <c r="H33" s="286">
        <v>1168026</v>
      </c>
      <c r="I33" s="286">
        <v>591</v>
      </c>
      <c r="J33" s="286">
        <f t="shared" si="0"/>
        <v>6274056</v>
      </c>
      <c r="K33" s="287">
        <f t="shared" si="1"/>
        <v>17233638</v>
      </c>
      <c r="L33" s="288">
        <f>'Revenue Offset'!G32</f>
        <v>0.51643028773127342</v>
      </c>
      <c r="M33" s="289">
        <f t="shared" si="2"/>
        <v>8333665.3690033928</v>
      </c>
      <c r="N33" s="283" t="s">
        <v>46</v>
      </c>
      <c r="O33" s="251" t="s">
        <v>70</v>
      </c>
      <c r="P33" s="290"/>
      <c r="Q33" s="289">
        <f t="shared" si="6"/>
        <v>8333665.3690033928</v>
      </c>
      <c r="R33" s="289">
        <v>8062398.9932421045</v>
      </c>
      <c r="S33" s="291">
        <f t="shared" si="4"/>
        <v>8198032.1811227482</v>
      </c>
    </row>
    <row r="34" spans="1:19" x14ac:dyDescent="0.2">
      <c r="A34" s="283" t="s">
        <v>41</v>
      </c>
      <c r="B34" s="251" t="s">
        <v>117</v>
      </c>
      <c r="C34" s="284">
        <f>Summary!D31</f>
        <v>2095</v>
      </c>
      <c r="D34" s="285">
        <v>1294321</v>
      </c>
      <c r="E34" s="285">
        <v>1997</v>
      </c>
      <c r="F34" s="285">
        <f t="shared" si="5"/>
        <v>4183715</v>
      </c>
      <c r="G34" s="456">
        <v>4778</v>
      </c>
      <c r="H34" s="286">
        <v>1168026</v>
      </c>
      <c r="I34" s="286">
        <v>591</v>
      </c>
      <c r="J34" s="286">
        <f t="shared" si="0"/>
        <v>2823798</v>
      </c>
      <c r="K34" s="287">
        <f t="shared" si="1"/>
        <v>9469860</v>
      </c>
      <c r="L34" s="288">
        <f>'Revenue Offset'!G33</f>
        <v>0.45304319568106771</v>
      </c>
      <c r="M34" s="289">
        <f t="shared" si="2"/>
        <v>5179604.3629476847</v>
      </c>
      <c r="N34" s="283" t="s">
        <v>41</v>
      </c>
      <c r="O34" s="251" t="s">
        <v>117</v>
      </c>
      <c r="P34" s="290">
        <v>200000</v>
      </c>
      <c r="Q34" s="289">
        <f t="shared" si="6"/>
        <v>5379604.3629476847</v>
      </c>
      <c r="R34" s="289">
        <v>5229622.8564999467</v>
      </c>
      <c r="S34" s="291">
        <f t="shared" si="4"/>
        <v>5304613.6097238157</v>
      </c>
    </row>
    <row r="35" spans="1:19" x14ac:dyDescent="0.2">
      <c r="A35" s="283" t="s">
        <v>42</v>
      </c>
      <c r="B35" s="251" t="s">
        <v>69</v>
      </c>
      <c r="C35" s="284">
        <f>Summary!D32</f>
        <v>3365</v>
      </c>
      <c r="D35" s="285">
        <v>4543116</v>
      </c>
      <c r="E35" s="285">
        <v>1954</v>
      </c>
      <c r="F35" s="285">
        <f t="shared" si="5"/>
        <v>6575210</v>
      </c>
      <c r="G35" s="456">
        <v>7342</v>
      </c>
      <c r="H35" s="286">
        <v>2033152</v>
      </c>
      <c r="I35" s="286">
        <v>1276</v>
      </c>
      <c r="J35" s="286">
        <f t="shared" si="0"/>
        <v>9368392</v>
      </c>
      <c r="K35" s="287">
        <f t="shared" si="1"/>
        <v>22519870</v>
      </c>
      <c r="L35" s="288">
        <f>'Revenue Offset'!G34</f>
        <v>0.51707333893728968</v>
      </c>
      <c r="M35" s="289">
        <f t="shared" si="2"/>
        <v>10875445.626666298</v>
      </c>
      <c r="N35" s="283" t="s">
        <v>42</v>
      </c>
      <c r="O35" s="251" t="s">
        <v>69</v>
      </c>
      <c r="P35" s="290"/>
      <c r="Q35" s="289">
        <f t="shared" si="6"/>
        <v>10875445.626666298</v>
      </c>
      <c r="R35" s="289">
        <v>10758224.703114534</v>
      </c>
      <c r="S35" s="291">
        <f t="shared" si="4"/>
        <v>10816835.164890416</v>
      </c>
    </row>
    <row r="36" spans="1:19" x14ac:dyDescent="0.2">
      <c r="A36" s="283" t="s">
        <v>43</v>
      </c>
      <c r="B36" s="251" t="s">
        <v>44</v>
      </c>
      <c r="C36" s="284">
        <f>Summary!D33</f>
        <v>9547</v>
      </c>
      <c r="D36" s="285">
        <v>4543116</v>
      </c>
      <c r="E36" s="285">
        <v>1954</v>
      </c>
      <c r="F36" s="285">
        <f>+C36*E36</f>
        <v>18654838</v>
      </c>
      <c r="G36" s="456">
        <v>15319</v>
      </c>
      <c r="H36" s="286">
        <v>2033152</v>
      </c>
      <c r="I36" s="286">
        <v>1276</v>
      </c>
      <c r="J36" s="286">
        <f t="shared" si="0"/>
        <v>19547044</v>
      </c>
      <c r="K36" s="287">
        <f t="shared" si="1"/>
        <v>44778150</v>
      </c>
      <c r="L36" s="288">
        <f>'Revenue Offset'!G35</f>
        <v>0.57438643744397688</v>
      </c>
      <c r="M36" s="289">
        <f t="shared" si="2"/>
        <v>19058187.946167987</v>
      </c>
      <c r="N36" s="283" t="s">
        <v>43</v>
      </c>
      <c r="O36" s="251" t="s">
        <v>44</v>
      </c>
      <c r="P36" s="290"/>
      <c r="Q36" s="289">
        <f>+M36+P36</f>
        <v>19058187.946167987</v>
      </c>
      <c r="R36" s="289">
        <v>18965300.886518706</v>
      </c>
      <c r="S36" s="291">
        <f t="shared" si="4"/>
        <v>19011744.416343346</v>
      </c>
    </row>
    <row r="37" spans="1:19" x14ac:dyDescent="0.2">
      <c r="A37" s="283" t="s">
        <v>45</v>
      </c>
      <c r="B37" s="251" t="s">
        <v>136</v>
      </c>
      <c r="C37" s="284">
        <f>Summary!D34</f>
        <v>3065</v>
      </c>
      <c r="D37" s="285">
        <v>1294321</v>
      </c>
      <c r="E37" s="285">
        <v>1997</v>
      </c>
      <c r="F37" s="285">
        <f t="shared" si="5"/>
        <v>6120805</v>
      </c>
      <c r="G37" s="456">
        <v>6008</v>
      </c>
      <c r="H37" s="286">
        <v>1168026</v>
      </c>
      <c r="I37" s="286">
        <v>591</v>
      </c>
      <c r="J37" s="286">
        <f t="shared" si="0"/>
        <v>3550728</v>
      </c>
      <c r="K37" s="287">
        <f t="shared" si="1"/>
        <v>12133880</v>
      </c>
      <c r="L37" s="288">
        <f>'Revenue Offset'!G36</f>
        <v>0.51691673131840032</v>
      </c>
      <c r="M37" s="289">
        <f t="shared" si="2"/>
        <v>5861674.4121902883</v>
      </c>
      <c r="N37" s="283" t="s">
        <v>45</v>
      </c>
      <c r="O37" s="251" t="s">
        <v>136</v>
      </c>
      <c r="P37" s="290"/>
      <c r="Q37" s="289">
        <f t="shared" si="6"/>
        <v>5861674.4121902883</v>
      </c>
      <c r="R37" s="289">
        <v>5553562.9723324515</v>
      </c>
      <c r="S37" s="291">
        <f t="shared" si="4"/>
        <v>5707618.6922613699</v>
      </c>
    </row>
    <row r="38" spans="1:19" x14ac:dyDescent="0.2">
      <c r="A38" s="283" t="s">
        <v>47</v>
      </c>
      <c r="B38" s="251" t="s">
        <v>48</v>
      </c>
      <c r="C38" s="284">
        <f>Summary!D35</f>
        <v>7049</v>
      </c>
      <c r="D38" s="285">
        <v>4543116</v>
      </c>
      <c r="E38" s="285">
        <v>1954</v>
      </c>
      <c r="F38" s="285">
        <f t="shared" si="5"/>
        <v>13773746</v>
      </c>
      <c r="G38" s="456">
        <v>9042</v>
      </c>
      <c r="H38" s="286">
        <v>2033152</v>
      </c>
      <c r="I38" s="286">
        <v>1276</v>
      </c>
      <c r="J38" s="286">
        <f t="shared" si="0"/>
        <v>11537592</v>
      </c>
      <c r="K38" s="287">
        <f t="shared" si="1"/>
        <v>31887606</v>
      </c>
      <c r="L38" s="288">
        <f>'Revenue Offset'!G37</f>
        <v>0.60938273428233869</v>
      </c>
      <c r="M38" s="289">
        <f t="shared" si="2"/>
        <v>12455849.466002092</v>
      </c>
      <c r="N38" s="283" t="s">
        <v>47</v>
      </c>
      <c r="O38" s="251" t="s">
        <v>48</v>
      </c>
      <c r="P38" s="290">
        <v>200000</v>
      </c>
      <c r="Q38" s="289">
        <f t="shared" si="6"/>
        <v>12655849.466002092</v>
      </c>
      <c r="R38" s="289">
        <v>12440600.607798163</v>
      </c>
      <c r="S38" s="291">
        <f t="shared" si="4"/>
        <v>12548225.036900127</v>
      </c>
    </row>
    <row r="39" spans="1:19" x14ac:dyDescent="0.2">
      <c r="B39" s="168"/>
      <c r="K39" s="56"/>
      <c r="L39" s="127"/>
      <c r="M39" s="56"/>
      <c r="O39" s="168"/>
      <c r="P39" s="56"/>
      <c r="Q39" s="213"/>
      <c r="R39" s="213"/>
    </row>
    <row r="40" spans="1:19" x14ac:dyDescent="0.2">
      <c r="B40" s="157" t="s">
        <v>49</v>
      </c>
      <c r="C40" s="55">
        <f>SUM(C9:C39)</f>
        <v>122484</v>
      </c>
      <c r="D40" s="55">
        <f>SUM(D9:D39)</f>
        <v>61571195</v>
      </c>
      <c r="F40" s="55">
        <f>SUM(F9:F39)</f>
        <v>242502707</v>
      </c>
      <c r="G40" s="55">
        <f>SUM(G9:G39)</f>
        <v>242501</v>
      </c>
      <c r="H40" s="55">
        <f>SUM(H9:H39)</f>
        <v>41096662</v>
      </c>
      <c r="J40" s="55">
        <f>SUM(J9:J39)</f>
        <v>196080216</v>
      </c>
      <c r="K40" s="55">
        <f>SUM(K9:K39)</f>
        <v>541250780</v>
      </c>
      <c r="L40" s="102">
        <f>'Revenue Offset'!G39</f>
        <v>0.54077118802727586</v>
      </c>
      <c r="M40" s="55">
        <f t="shared" ref="M40:S40" si="7">SUM(M9:M39)</f>
        <v>250601113.98749924</v>
      </c>
      <c r="O40" s="157" t="s">
        <v>49</v>
      </c>
      <c r="P40" s="55">
        <f t="shared" si="7"/>
        <v>4211000</v>
      </c>
      <c r="Q40" s="55">
        <f t="shared" si="7"/>
        <v>254812113.98749924</v>
      </c>
      <c r="R40" s="55">
        <f t="shared" si="7"/>
        <v>248240607.23996875</v>
      </c>
      <c r="S40" s="55">
        <f t="shared" si="7"/>
        <v>251526360.61373401</v>
      </c>
    </row>
    <row r="41" spans="1:19" x14ac:dyDescent="0.2">
      <c r="B41" s="168"/>
      <c r="L41" s="169"/>
      <c r="O41" s="168"/>
      <c r="Q41" s="169"/>
      <c r="R41" s="169"/>
    </row>
    <row r="42" spans="1:19" x14ac:dyDescent="0.2">
      <c r="A42" s="16" t="s">
        <v>320</v>
      </c>
      <c r="B42" s="170"/>
      <c r="M42" s="171"/>
      <c r="N42" s="129"/>
      <c r="O42" s="170"/>
    </row>
    <row r="43" spans="1:19" x14ac:dyDescent="0.2">
      <c r="A43" s="129"/>
      <c r="B43" s="170"/>
      <c r="N43" s="129"/>
      <c r="O43" s="170"/>
    </row>
    <row r="44" spans="1:19" x14ac:dyDescent="0.2">
      <c r="A44" s="129"/>
      <c r="B44" s="170"/>
      <c r="N44" s="129"/>
      <c r="O44" s="170"/>
    </row>
    <row r="45" spans="1:19" x14ac:dyDescent="0.2">
      <c r="J45" s="202"/>
    </row>
    <row r="46" spans="1:19" x14ac:dyDescent="0.2">
      <c r="E46" s="202"/>
      <c r="I46" s="202"/>
      <c r="L46" s="292"/>
      <c r="M46" s="204"/>
      <c r="P46" s="203"/>
    </row>
    <row r="47" spans="1:19" x14ac:dyDescent="0.2">
      <c r="E47" s="202"/>
      <c r="I47" s="202"/>
      <c r="L47" s="292"/>
      <c r="M47" s="204"/>
      <c r="P47" s="203"/>
    </row>
  </sheetData>
  <pageMargins left="0.7" right="0.7" top="0.75" bottom="0.75" header="0.3" footer="0.3"/>
  <pageSetup scale="1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52"/>
  <sheetViews>
    <sheetView zoomScale="90" zoomScaleNormal="90" workbookViewId="0">
      <selection activeCell="E44" sqref="E44"/>
    </sheetView>
  </sheetViews>
  <sheetFormatPr defaultColWidth="9.140625" defaultRowHeight="12.75" x14ac:dyDescent="0.2"/>
  <cols>
    <col min="1" max="1" width="46.28515625" style="306" bestFit="1" customWidth="1"/>
    <col min="2" max="2" width="10" style="306" bestFit="1" customWidth="1"/>
    <col min="3" max="3" width="11.85546875" style="306" customWidth="1"/>
    <col min="4" max="4" width="11.28515625" style="388" customWidth="1"/>
    <col min="5" max="5" width="10" style="388" bestFit="1" customWidth="1"/>
    <col min="6" max="6" width="10" style="388" customWidth="1"/>
    <col min="7" max="7" width="11.85546875" style="388" customWidth="1"/>
    <col min="8" max="8" width="11.28515625" style="388" bestFit="1" customWidth="1"/>
    <col min="9" max="9" width="8" style="306" customWidth="1"/>
    <col min="10" max="10" width="17.28515625" style="306" customWidth="1"/>
    <col min="11" max="11" width="11.5703125" style="306" customWidth="1"/>
    <col min="12" max="12" width="11.28515625" style="306" customWidth="1"/>
    <col min="13" max="13" width="11.5703125" style="306" customWidth="1"/>
    <col min="14" max="14" width="1.5703125" style="306" customWidth="1"/>
    <col min="15" max="15" width="11.42578125" style="306" customWidth="1"/>
    <col min="16" max="16384" width="9.140625" style="306"/>
  </cols>
  <sheetData>
    <row r="1" spans="1:13" x14ac:dyDescent="0.2">
      <c r="A1" s="496" t="s">
        <v>253</v>
      </c>
      <c r="B1" s="496"/>
      <c r="C1" s="496"/>
      <c r="D1" s="496"/>
      <c r="E1" s="496"/>
      <c r="F1" s="496"/>
      <c r="G1" s="496"/>
      <c r="H1" s="496"/>
      <c r="I1" s="496"/>
      <c r="J1" s="305"/>
      <c r="K1" s="445" t="s">
        <v>283</v>
      </c>
      <c r="L1" s="305" t="s">
        <v>207</v>
      </c>
      <c r="M1" s="305" t="s">
        <v>214</v>
      </c>
    </row>
    <row r="2" spans="1:13" x14ac:dyDescent="0.2">
      <c r="A2" s="303" t="s">
        <v>230</v>
      </c>
      <c r="B2" s="303"/>
      <c r="C2" s="303"/>
      <c r="D2" s="304"/>
      <c r="E2" s="304"/>
      <c r="F2" s="304"/>
      <c r="G2" s="304"/>
      <c r="H2" s="304"/>
      <c r="I2" s="303"/>
      <c r="J2" s="306" t="s">
        <v>231</v>
      </c>
      <c r="L2" s="307">
        <v>0.1</v>
      </c>
      <c r="M2" s="307">
        <v>0.1</v>
      </c>
    </row>
    <row r="3" spans="1:13" x14ac:dyDescent="0.2">
      <c r="A3" s="497" t="s">
        <v>327</v>
      </c>
      <c r="B3" s="497"/>
      <c r="C3" s="497"/>
      <c r="D3" s="497"/>
      <c r="E3" s="497"/>
      <c r="F3" s="497"/>
      <c r="G3" s="497"/>
      <c r="H3" s="497"/>
      <c r="I3" s="497"/>
      <c r="J3" s="306" t="s">
        <v>232</v>
      </c>
      <c r="L3" s="307">
        <v>0.75</v>
      </c>
      <c r="M3" s="307">
        <v>0.75</v>
      </c>
    </row>
    <row r="4" spans="1:13" ht="15.6" customHeight="1" thickBot="1" x14ac:dyDescent="0.25">
      <c r="B4" s="308" t="s">
        <v>79</v>
      </c>
      <c r="C4" s="308" t="s">
        <v>74</v>
      </c>
      <c r="D4" s="308" t="s">
        <v>75</v>
      </c>
      <c r="E4" s="308" t="s">
        <v>76</v>
      </c>
      <c r="F4" s="308" t="s">
        <v>77</v>
      </c>
      <c r="G4" s="308" t="s">
        <v>78</v>
      </c>
      <c r="H4" s="308" t="s">
        <v>233</v>
      </c>
      <c r="I4" s="309"/>
      <c r="J4" s="310" t="s">
        <v>234</v>
      </c>
      <c r="K4" s="310" t="s">
        <v>111</v>
      </c>
      <c r="L4" s="310" t="s">
        <v>235</v>
      </c>
      <c r="M4" s="310" t="s">
        <v>236</v>
      </c>
    </row>
    <row r="5" spans="1:13" s="320" customFormat="1" ht="77.25" thickBot="1" x14ac:dyDescent="0.25">
      <c r="A5" s="311" t="s">
        <v>207</v>
      </c>
      <c r="B5" s="312" t="s">
        <v>237</v>
      </c>
      <c r="C5" s="313" t="s">
        <v>238</v>
      </c>
      <c r="D5" s="314" t="s">
        <v>239</v>
      </c>
      <c r="E5" s="314" t="s">
        <v>240</v>
      </c>
      <c r="F5" s="314" t="s">
        <v>241</v>
      </c>
      <c r="G5" s="315" t="s">
        <v>242</v>
      </c>
      <c r="H5" s="314" t="s">
        <v>243</v>
      </c>
      <c r="I5" s="316" t="s">
        <v>244</v>
      </c>
      <c r="J5" s="317" t="s">
        <v>245</v>
      </c>
      <c r="K5" s="318" t="s">
        <v>246</v>
      </c>
      <c r="L5" s="317" t="s">
        <v>247</v>
      </c>
      <c r="M5" s="319" t="s">
        <v>248</v>
      </c>
    </row>
    <row r="6" spans="1:13" s="331" customFormat="1" ht="12.75" customHeight="1" x14ac:dyDescent="0.2">
      <c r="A6" s="321" t="s">
        <v>189</v>
      </c>
      <c r="B6" s="322">
        <v>3681</v>
      </c>
      <c r="C6" s="323">
        <v>505</v>
      </c>
      <c r="D6" s="324">
        <v>489</v>
      </c>
      <c r="E6" s="324">
        <v>685</v>
      </c>
      <c r="F6" s="371">
        <v>369</v>
      </c>
      <c r="G6" s="372">
        <v>60</v>
      </c>
      <c r="H6" s="325">
        <f>SUM(D6:F6)-G6</f>
        <v>1483</v>
      </c>
      <c r="I6" s="326">
        <f t="shared" ref="I6:I21" si="0">H6/H$48</f>
        <v>8.7495722562450588E-3</v>
      </c>
      <c r="J6" s="327">
        <f t="shared" ref="J6:J36" si="1">H6*$L$2</f>
        <v>148.30000000000001</v>
      </c>
      <c r="K6" s="328">
        <f>C6*L3</f>
        <v>378.75</v>
      </c>
      <c r="L6" s="329">
        <f t="shared" ref="L6:L36" si="2">(B6-C6)+J6+K6</f>
        <v>3703.05</v>
      </c>
      <c r="M6" s="330">
        <f t="shared" ref="M6:M37" si="3">(L6+-B6)/B6</f>
        <v>5.9902200488998053E-3</v>
      </c>
    </row>
    <row r="7" spans="1:13" s="331" customFormat="1" x14ac:dyDescent="0.2">
      <c r="A7" s="332" t="s">
        <v>190</v>
      </c>
      <c r="B7" s="322">
        <v>11367</v>
      </c>
      <c r="C7" s="323">
        <v>2314</v>
      </c>
      <c r="D7" s="324">
        <v>1762</v>
      </c>
      <c r="E7" s="324">
        <v>2904</v>
      </c>
      <c r="F7" s="333">
        <v>3032</v>
      </c>
      <c r="G7" s="334">
        <v>731</v>
      </c>
      <c r="H7" s="335">
        <f>SUM(D7:F7)-G7</f>
        <v>6967</v>
      </c>
      <c r="I7" s="330">
        <f t="shared" si="0"/>
        <v>4.1104699871381878E-2</v>
      </c>
      <c r="J7" s="336">
        <f t="shared" si="1"/>
        <v>696.7</v>
      </c>
      <c r="K7" s="337">
        <f t="shared" ref="K7:K36" si="4">C7*$L$3</f>
        <v>1735.5</v>
      </c>
      <c r="L7" s="338">
        <f t="shared" si="2"/>
        <v>11485.2</v>
      </c>
      <c r="M7" s="330">
        <f t="shared" si="3"/>
        <v>1.0398522037476971E-2</v>
      </c>
    </row>
    <row r="8" spans="1:13" s="331" customFormat="1" x14ac:dyDescent="0.2">
      <c r="A8" s="332" t="s">
        <v>191</v>
      </c>
      <c r="B8" s="322">
        <v>2533</v>
      </c>
      <c r="C8" s="323">
        <v>134</v>
      </c>
      <c r="D8" s="324">
        <v>487</v>
      </c>
      <c r="E8" s="324">
        <v>868</v>
      </c>
      <c r="F8" s="333">
        <v>698</v>
      </c>
      <c r="G8" s="334">
        <v>60</v>
      </c>
      <c r="H8" s="335">
        <f t="shared" ref="H8:H35" si="5">SUM(D8:F8)-G8</f>
        <v>1993</v>
      </c>
      <c r="I8" s="330">
        <f t="shared" si="0"/>
        <v>1.1758528325486448E-2</v>
      </c>
      <c r="J8" s="336">
        <f t="shared" si="1"/>
        <v>199.3</v>
      </c>
      <c r="K8" s="337">
        <f t="shared" si="4"/>
        <v>100.5</v>
      </c>
      <c r="L8" s="338">
        <f t="shared" si="2"/>
        <v>2698.8</v>
      </c>
      <c r="M8" s="330">
        <f t="shared" si="3"/>
        <v>6.5455981050138251E-2</v>
      </c>
    </row>
    <row r="9" spans="1:13" s="331" customFormat="1" x14ac:dyDescent="0.2">
      <c r="A9" s="332" t="s">
        <v>7</v>
      </c>
      <c r="B9" s="322">
        <v>5771</v>
      </c>
      <c r="C9" s="323">
        <v>2523</v>
      </c>
      <c r="D9" s="324">
        <v>906</v>
      </c>
      <c r="E9" s="324">
        <v>1306</v>
      </c>
      <c r="F9" s="333">
        <v>621</v>
      </c>
      <c r="G9" s="334">
        <v>501</v>
      </c>
      <c r="H9" s="335">
        <f t="shared" si="5"/>
        <v>2332</v>
      </c>
      <c r="I9" s="330">
        <f t="shared" si="0"/>
        <v>1.3758599124452783E-2</v>
      </c>
      <c r="J9" s="336">
        <f t="shared" si="1"/>
        <v>233.20000000000002</v>
      </c>
      <c r="K9" s="337">
        <f t="shared" si="4"/>
        <v>1892.25</v>
      </c>
      <c r="L9" s="338">
        <f t="shared" si="2"/>
        <v>5373.45</v>
      </c>
      <c r="M9" s="330">
        <f t="shared" si="3"/>
        <v>-6.888754115404612E-2</v>
      </c>
    </row>
    <row r="10" spans="1:13" s="331" customFormat="1" x14ac:dyDescent="0.2">
      <c r="A10" s="332" t="s">
        <v>9</v>
      </c>
      <c r="B10" s="322">
        <v>12204</v>
      </c>
      <c r="C10" s="323">
        <v>607</v>
      </c>
      <c r="D10" s="324">
        <v>2629</v>
      </c>
      <c r="E10" s="324">
        <v>4438</v>
      </c>
      <c r="F10" s="333">
        <v>5072</v>
      </c>
      <c r="G10" s="334">
        <v>241</v>
      </c>
      <c r="H10" s="335">
        <f t="shared" si="5"/>
        <v>11898</v>
      </c>
      <c r="I10" s="330">
        <f t="shared" si="0"/>
        <v>7.0197175121243224E-2</v>
      </c>
      <c r="J10" s="336">
        <f t="shared" si="1"/>
        <v>1189.8</v>
      </c>
      <c r="K10" s="337">
        <f t="shared" si="4"/>
        <v>455.25</v>
      </c>
      <c r="L10" s="338">
        <f t="shared" si="2"/>
        <v>13242.05</v>
      </c>
      <c r="M10" s="330">
        <f t="shared" si="3"/>
        <v>8.5058177646673158E-2</v>
      </c>
    </row>
    <row r="11" spans="1:13" s="331" customFormat="1" x14ac:dyDescent="0.2">
      <c r="A11" s="332" t="s">
        <v>192</v>
      </c>
      <c r="B11" s="322">
        <v>3349</v>
      </c>
      <c r="C11" s="323">
        <v>13</v>
      </c>
      <c r="D11" s="324">
        <v>576</v>
      </c>
      <c r="E11" s="324">
        <v>1058</v>
      </c>
      <c r="F11" s="333">
        <v>858</v>
      </c>
      <c r="G11" s="334">
        <v>4</v>
      </c>
      <c r="H11" s="335">
        <f t="shared" si="5"/>
        <v>2488</v>
      </c>
      <c r="I11" s="330">
        <f t="shared" si="0"/>
        <v>1.4678985686808973E-2</v>
      </c>
      <c r="J11" s="336">
        <f t="shared" si="1"/>
        <v>248.8</v>
      </c>
      <c r="K11" s="337">
        <f t="shared" si="4"/>
        <v>9.75</v>
      </c>
      <c r="L11" s="338">
        <f t="shared" si="2"/>
        <v>3594.55</v>
      </c>
      <c r="M11" s="330">
        <f t="shared" si="3"/>
        <v>7.3320394147506768E-2</v>
      </c>
    </row>
    <row r="12" spans="1:13" s="331" customFormat="1" x14ac:dyDescent="0.2">
      <c r="A12" s="332" t="s">
        <v>221</v>
      </c>
      <c r="B12" s="322">
        <v>2045</v>
      </c>
      <c r="C12" s="323">
        <v>1149</v>
      </c>
      <c r="D12" s="324">
        <v>299</v>
      </c>
      <c r="E12" s="324">
        <v>527</v>
      </c>
      <c r="F12" s="333">
        <v>495</v>
      </c>
      <c r="G12" s="334">
        <v>196</v>
      </c>
      <c r="H12" s="335">
        <f t="shared" si="5"/>
        <v>1125</v>
      </c>
      <c r="I12" s="330">
        <f t="shared" si="0"/>
        <v>6.6374030939148291E-3</v>
      </c>
      <c r="J12" s="336">
        <f t="shared" si="1"/>
        <v>112.5</v>
      </c>
      <c r="K12" s="337">
        <f t="shared" si="4"/>
        <v>861.75</v>
      </c>
      <c r="L12" s="338">
        <f t="shared" si="2"/>
        <v>1870.25</v>
      </c>
      <c r="M12" s="330">
        <f t="shared" si="3"/>
        <v>-8.5452322738386308E-2</v>
      </c>
    </row>
    <row r="13" spans="1:13" s="331" customFormat="1" x14ac:dyDescent="0.2">
      <c r="A13" s="332" t="s">
        <v>139</v>
      </c>
      <c r="B13" s="322">
        <v>6425</v>
      </c>
      <c r="C13" s="323">
        <v>525</v>
      </c>
      <c r="D13" s="324">
        <v>1745</v>
      </c>
      <c r="E13" s="324">
        <v>2200</v>
      </c>
      <c r="F13" s="333">
        <v>2909</v>
      </c>
      <c r="G13" s="334">
        <v>206</v>
      </c>
      <c r="H13" s="335">
        <f t="shared" si="5"/>
        <v>6648</v>
      </c>
      <c r="I13" s="330">
        <f t="shared" si="0"/>
        <v>3.9222627349640694E-2</v>
      </c>
      <c r="J13" s="336">
        <f t="shared" si="1"/>
        <v>664.80000000000007</v>
      </c>
      <c r="K13" s="337">
        <f t="shared" si="4"/>
        <v>393.75</v>
      </c>
      <c r="L13" s="338">
        <f t="shared" si="2"/>
        <v>6958.55</v>
      </c>
      <c r="M13" s="330">
        <f t="shared" si="3"/>
        <v>8.3042801556420257E-2</v>
      </c>
    </row>
    <row r="14" spans="1:13" s="331" customFormat="1" x14ac:dyDescent="0.2">
      <c r="A14" s="332" t="s">
        <v>193</v>
      </c>
      <c r="B14" s="322">
        <v>6139</v>
      </c>
      <c r="C14" s="323">
        <v>436</v>
      </c>
      <c r="D14" s="324">
        <v>1032</v>
      </c>
      <c r="E14" s="324">
        <v>1539</v>
      </c>
      <c r="F14" s="333">
        <v>2073</v>
      </c>
      <c r="G14" s="334">
        <v>189</v>
      </c>
      <c r="H14" s="335">
        <f t="shared" si="5"/>
        <v>4455</v>
      </c>
      <c r="I14" s="330">
        <f t="shared" si="0"/>
        <v>2.6284116251902721E-2</v>
      </c>
      <c r="J14" s="336">
        <f t="shared" si="1"/>
        <v>445.5</v>
      </c>
      <c r="K14" s="337">
        <f t="shared" si="4"/>
        <v>327</v>
      </c>
      <c r="L14" s="338">
        <f t="shared" si="2"/>
        <v>6475.5</v>
      </c>
      <c r="M14" s="330">
        <f t="shared" si="3"/>
        <v>5.4813487538687082E-2</v>
      </c>
    </row>
    <row r="15" spans="1:13" s="331" customFormat="1" x14ac:dyDescent="0.2">
      <c r="A15" s="332" t="s">
        <v>17</v>
      </c>
      <c r="B15" s="322">
        <v>7529</v>
      </c>
      <c r="C15" s="323">
        <v>1442</v>
      </c>
      <c r="D15" s="324">
        <v>874</v>
      </c>
      <c r="E15" s="324">
        <v>1615</v>
      </c>
      <c r="F15" s="333">
        <v>988</v>
      </c>
      <c r="G15" s="334">
        <v>193</v>
      </c>
      <c r="H15" s="335">
        <f t="shared" si="5"/>
        <v>3284</v>
      </c>
      <c r="I15" s="330">
        <f t="shared" si="0"/>
        <v>1.9375317120370043E-2</v>
      </c>
      <c r="J15" s="336">
        <f t="shared" si="1"/>
        <v>328.40000000000003</v>
      </c>
      <c r="K15" s="337">
        <f t="shared" si="4"/>
        <v>1081.5</v>
      </c>
      <c r="L15" s="338">
        <f t="shared" si="2"/>
        <v>7496.9</v>
      </c>
      <c r="M15" s="330">
        <f t="shared" si="3"/>
        <v>-4.2635144109443969E-3</v>
      </c>
    </row>
    <row r="16" spans="1:13" s="331" customFormat="1" x14ac:dyDescent="0.2">
      <c r="A16" s="332" t="s">
        <v>194</v>
      </c>
      <c r="B16" s="322">
        <v>10005</v>
      </c>
      <c r="C16" s="323">
        <v>428</v>
      </c>
      <c r="D16" s="324">
        <v>2694</v>
      </c>
      <c r="E16" s="324">
        <v>4381</v>
      </c>
      <c r="F16" s="333">
        <v>5600</v>
      </c>
      <c r="G16" s="334">
        <v>245</v>
      </c>
      <c r="H16" s="335">
        <f t="shared" si="5"/>
        <v>12430</v>
      </c>
      <c r="I16" s="330">
        <f t="shared" si="0"/>
        <v>7.3335929295432284E-2</v>
      </c>
      <c r="J16" s="336">
        <f t="shared" si="1"/>
        <v>1243</v>
      </c>
      <c r="K16" s="337">
        <f t="shared" si="4"/>
        <v>321</v>
      </c>
      <c r="L16" s="338">
        <f t="shared" si="2"/>
        <v>11141</v>
      </c>
      <c r="M16" s="330">
        <f t="shared" si="3"/>
        <v>0.11354322838580709</v>
      </c>
    </row>
    <row r="17" spans="1:13" s="331" customFormat="1" x14ac:dyDescent="0.2">
      <c r="A17" s="332" t="s">
        <v>195</v>
      </c>
      <c r="B17" s="322">
        <v>2709</v>
      </c>
      <c r="C17" s="323">
        <v>381</v>
      </c>
      <c r="D17" s="324">
        <v>423</v>
      </c>
      <c r="E17" s="324">
        <v>666</v>
      </c>
      <c r="F17" s="333">
        <v>424</v>
      </c>
      <c r="G17" s="334">
        <v>66</v>
      </c>
      <c r="H17" s="335">
        <f t="shared" si="5"/>
        <v>1447</v>
      </c>
      <c r="I17" s="330">
        <f t="shared" si="0"/>
        <v>8.5371753572397839E-3</v>
      </c>
      <c r="J17" s="336">
        <f t="shared" si="1"/>
        <v>144.70000000000002</v>
      </c>
      <c r="K17" s="337">
        <f t="shared" si="4"/>
        <v>285.75</v>
      </c>
      <c r="L17" s="338">
        <f t="shared" si="2"/>
        <v>2758.45</v>
      </c>
      <c r="M17" s="330">
        <f t="shared" si="3"/>
        <v>1.8253968253968186E-2</v>
      </c>
    </row>
    <row r="18" spans="1:13" s="331" customFormat="1" x14ac:dyDescent="0.2">
      <c r="A18" s="332" t="s">
        <v>196</v>
      </c>
      <c r="B18" s="322">
        <v>7517</v>
      </c>
      <c r="C18" s="323">
        <v>1950</v>
      </c>
      <c r="D18" s="324">
        <v>1267</v>
      </c>
      <c r="E18" s="324">
        <v>2298</v>
      </c>
      <c r="F18" s="333">
        <v>1493</v>
      </c>
      <c r="G18" s="334">
        <v>285</v>
      </c>
      <c r="H18" s="335">
        <f t="shared" si="5"/>
        <v>4773</v>
      </c>
      <c r="I18" s="330">
        <f t="shared" si="0"/>
        <v>2.8160288859782646E-2</v>
      </c>
      <c r="J18" s="336">
        <f t="shared" si="1"/>
        <v>477.3</v>
      </c>
      <c r="K18" s="337">
        <f t="shared" si="4"/>
        <v>1462.5</v>
      </c>
      <c r="L18" s="338">
        <f t="shared" si="2"/>
        <v>7506.8</v>
      </c>
      <c r="M18" s="330">
        <f t="shared" si="3"/>
        <v>-1.3569243049088491E-3</v>
      </c>
    </row>
    <row r="19" spans="1:13" s="331" customFormat="1" x14ac:dyDescent="0.2">
      <c r="A19" s="332" t="s">
        <v>223</v>
      </c>
      <c r="B19" s="322">
        <v>4900</v>
      </c>
      <c r="C19" s="323">
        <v>734</v>
      </c>
      <c r="D19" s="324">
        <v>992</v>
      </c>
      <c r="E19" s="324">
        <v>1106</v>
      </c>
      <c r="F19" s="333">
        <v>1079</v>
      </c>
      <c r="G19" s="334">
        <v>265</v>
      </c>
      <c r="H19" s="335">
        <f t="shared" si="5"/>
        <v>2912</v>
      </c>
      <c r="I19" s="330">
        <f t="shared" si="0"/>
        <v>1.7180549163982206E-2</v>
      </c>
      <c r="J19" s="336">
        <f t="shared" si="1"/>
        <v>291.2</v>
      </c>
      <c r="K19" s="337">
        <f t="shared" si="4"/>
        <v>550.5</v>
      </c>
      <c r="L19" s="338">
        <f t="shared" si="2"/>
        <v>5007.7</v>
      </c>
      <c r="M19" s="330">
        <f t="shared" si="3"/>
        <v>2.1979591836734657E-2</v>
      </c>
    </row>
    <row r="20" spans="1:13" s="331" customFormat="1" x14ac:dyDescent="0.2">
      <c r="A20" s="332" t="s">
        <v>132</v>
      </c>
      <c r="B20" s="322">
        <v>14609</v>
      </c>
      <c r="C20" s="323">
        <v>1110</v>
      </c>
      <c r="D20" s="324">
        <v>2876</v>
      </c>
      <c r="E20" s="324">
        <v>4180</v>
      </c>
      <c r="F20" s="333">
        <v>5812</v>
      </c>
      <c r="G20" s="334">
        <v>522</v>
      </c>
      <c r="H20" s="335">
        <f t="shared" si="5"/>
        <v>12346</v>
      </c>
      <c r="I20" s="330">
        <f t="shared" si="0"/>
        <v>7.2840336531086652E-2</v>
      </c>
      <c r="J20" s="336">
        <f t="shared" si="1"/>
        <v>1234.6000000000001</v>
      </c>
      <c r="K20" s="337">
        <f t="shared" si="4"/>
        <v>832.5</v>
      </c>
      <c r="L20" s="338">
        <f t="shared" si="2"/>
        <v>15566.1</v>
      </c>
      <c r="M20" s="330">
        <f t="shared" si="3"/>
        <v>6.5514408926004547E-2</v>
      </c>
    </row>
    <row r="21" spans="1:13" s="331" customFormat="1" x14ac:dyDescent="0.2">
      <c r="A21" s="339" t="s">
        <v>133</v>
      </c>
      <c r="B21" s="322">
        <v>9100</v>
      </c>
      <c r="C21" s="323">
        <v>777</v>
      </c>
      <c r="D21" s="324">
        <v>1961</v>
      </c>
      <c r="E21" s="324">
        <v>3000</v>
      </c>
      <c r="F21" s="333">
        <v>4484</v>
      </c>
      <c r="G21" s="334">
        <v>249</v>
      </c>
      <c r="H21" s="335">
        <f t="shared" si="5"/>
        <v>9196</v>
      </c>
      <c r="I21" s="330">
        <f t="shared" si="0"/>
        <v>5.4255607868125125E-2</v>
      </c>
      <c r="J21" s="336">
        <f t="shared" si="1"/>
        <v>919.6</v>
      </c>
      <c r="K21" s="337">
        <f t="shared" si="4"/>
        <v>582.75</v>
      </c>
      <c r="L21" s="338">
        <f t="shared" si="2"/>
        <v>9825.35</v>
      </c>
      <c r="M21" s="330">
        <f t="shared" si="3"/>
        <v>7.9708791208791249E-2</v>
      </c>
    </row>
    <row r="22" spans="1:13" s="331" customFormat="1" x14ac:dyDescent="0.2">
      <c r="A22" s="340" t="s">
        <v>63</v>
      </c>
      <c r="B22" s="341">
        <v>5627</v>
      </c>
      <c r="C22" s="342">
        <v>693</v>
      </c>
      <c r="D22" s="343">
        <v>964</v>
      </c>
      <c r="E22" s="343">
        <v>1862</v>
      </c>
      <c r="F22" s="343">
        <v>1128</v>
      </c>
      <c r="G22" s="342">
        <v>144</v>
      </c>
      <c r="H22" s="344">
        <f t="shared" si="5"/>
        <v>3810</v>
      </c>
      <c r="I22" s="345">
        <f t="shared" ref="I22" si="6">SUM(I23:I27)</f>
        <v>2.2478671811391553E-2</v>
      </c>
      <c r="J22" s="346">
        <f t="shared" si="1"/>
        <v>381</v>
      </c>
      <c r="K22" s="347">
        <f t="shared" si="4"/>
        <v>519.75</v>
      </c>
      <c r="L22" s="348">
        <f t="shared" si="2"/>
        <v>5834.75</v>
      </c>
      <c r="M22" s="330">
        <f t="shared" si="3"/>
        <v>3.6920206148924828E-2</v>
      </c>
    </row>
    <row r="23" spans="1:13" s="331" customFormat="1" x14ac:dyDescent="0.2">
      <c r="A23" s="349" t="s">
        <v>224</v>
      </c>
      <c r="B23" s="322">
        <v>1373</v>
      </c>
      <c r="C23" s="323">
        <v>81</v>
      </c>
      <c r="D23" s="324">
        <v>256</v>
      </c>
      <c r="E23" s="324">
        <v>540</v>
      </c>
      <c r="F23" s="333">
        <v>228</v>
      </c>
      <c r="G23" s="334">
        <v>12</v>
      </c>
      <c r="H23" s="335">
        <f t="shared" si="5"/>
        <v>1012</v>
      </c>
      <c r="I23" s="330">
        <f t="shared" ref="I23:I36" si="7">H23/H$48</f>
        <v>5.970712827592717E-3</v>
      </c>
      <c r="J23" s="336">
        <f t="shared" si="1"/>
        <v>101.2</v>
      </c>
      <c r="K23" s="337">
        <f t="shared" si="4"/>
        <v>60.75</v>
      </c>
      <c r="L23" s="338">
        <f t="shared" si="2"/>
        <v>1453.95</v>
      </c>
      <c r="M23" s="330">
        <f t="shared" si="3"/>
        <v>5.8958485069191588E-2</v>
      </c>
    </row>
    <row r="24" spans="1:13" s="331" customFormat="1" x14ac:dyDescent="0.2">
      <c r="A24" s="349" t="s">
        <v>225</v>
      </c>
      <c r="B24" s="322">
        <v>1653</v>
      </c>
      <c r="C24" s="323">
        <v>246</v>
      </c>
      <c r="D24" s="324">
        <v>285</v>
      </c>
      <c r="E24" s="324">
        <v>482</v>
      </c>
      <c r="F24" s="333">
        <v>352</v>
      </c>
      <c r="G24" s="334">
        <v>59</v>
      </c>
      <c r="H24" s="335">
        <f t="shared" si="5"/>
        <v>1060</v>
      </c>
      <c r="I24" s="330">
        <f t="shared" si="7"/>
        <v>6.2539086929330832E-3</v>
      </c>
      <c r="J24" s="336">
        <f t="shared" si="1"/>
        <v>106</v>
      </c>
      <c r="K24" s="337">
        <f t="shared" si="4"/>
        <v>184.5</v>
      </c>
      <c r="L24" s="338">
        <f t="shared" si="2"/>
        <v>1697.5</v>
      </c>
      <c r="M24" s="330">
        <f t="shared" si="3"/>
        <v>2.692075015124017E-2</v>
      </c>
    </row>
    <row r="25" spans="1:13" s="331" customFormat="1" x14ac:dyDescent="0.2">
      <c r="A25" s="349" t="s">
        <v>226</v>
      </c>
      <c r="B25" s="322">
        <v>1404</v>
      </c>
      <c r="C25" s="323">
        <v>131</v>
      </c>
      <c r="D25" s="324">
        <v>229</v>
      </c>
      <c r="E25" s="324">
        <v>483</v>
      </c>
      <c r="F25" s="333">
        <v>277</v>
      </c>
      <c r="G25" s="334">
        <v>21</v>
      </c>
      <c r="H25" s="335">
        <f t="shared" si="5"/>
        <v>968</v>
      </c>
      <c r="I25" s="330">
        <f t="shared" si="7"/>
        <v>5.7111166176973815E-3</v>
      </c>
      <c r="J25" s="336">
        <f t="shared" si="1"/>
        <v>96.800000000000011</v>
      </c>
      <c r="K25" s="337">
        <f t="shared" si="4"/>
        <v>98.25</v>
      </c>
      <c r="L25" s="338">
        <f t="shared" si="2"/>
        <v>1468.05</v>
      </c>
      <c r="M25" s="330">
        <f t="shared" si="3"/>
        <v>4.5619658119658089E-2</v>
      </c>
    </row>
    <row r="26" spans="1:13" s="331" customFormat="1" x14ac:dyDescent="0.2">
      <c r="A26" s="349" t="s">
        <v>227</v>
      </c>
      <c r="B26" s="322">
        <v>302</v>
      </c>
      <c r="C26" s="323">
        <v>0</v>
      </c>
      <c r="D26" s="324">
        <v>48</v>
      </c>
      <c r="E26" s="324">
        <v>107</v>
      </c>
      <c r="F26" s="333">
        <v>85</v>
      </c>
      <c r="G26" s="334">
        <v>0</v>
      </c>
      <c r="H26" s="335">
        <f t="shared" si="5"/>
        <v>240</v>
      </c>
      <c r="I26" s="330">
        <f t="shared" si="7"/>
        <v>1.4159793267018302E-3</v>
      </c>
      <c r="J26" s="336">
        <f t="shared" si="1"/>
        <v>24</v>
      </c>
      <c r="K26" s="337">
        <f t="shared" si="4"/>
        <v>0</v>
      </c>
      <c r="L26" s="338">
        <f t="shared" si="2"/>
        <v>326</v>
      </c>
      <c r="M26" s="330">
        <f t="shared" si="3"/>
        <v>7.9470198675496692E-2</v>
      </c>
    </row>
    <row r="27" spans="1:13" s="331" customFormat="1" x14ac:dyDescent="0.2">
      <c r="A27" s="349" t="s">
        <v>228</v>
      </c>
      <c r="B27" s="322">
        <v>895</v>
      </c>
      <c r="C27" s="323">
        <v>235</v>
      </c>
      <c r="D27" s="324">
        <v>146</v>
      </c>
      <c r="E27" s="324">
        <v>250</v>
      </c>
      <c r="F27" s="333">
        <v>186</v>
      </c>
      <c r="G27" s="334">
        <v>52</v>
      </c>
      <c r="H27" s="335">
        <f t="shared" si="5"/>
        <v>530</v>
      </c>
      <c r="I27" s="330">
        <f t="shared" si="7"/>
        <v>3.1269543464665416E-3</v>
      </c>
      <c r="J27" s="336">
        <f t="shared" si="1"/>
        <v>53</v>
      </c>
      <c r="K27" s="337">
        <f t="shared" si="4"/>
        <v>176.25</v>
      </c>
      <c r="L27" s="338">
        <f t="shared" si="2"/>
        <v>889.25</v>
      </c>
      <c r="M27" s="330">
        <f t="shared" si="3"/>
        <v>-6.4245810055865923E-3</v>
      </c>
    </row>
    <row r="28" spans="1:13" s="331" customFormat="1" x14ac:dyDescent="0.2">
      <c r="A28" s="332" t="s">
        <v>229</v>
      </c>
      <c r="B28" s="322">
        <v>4323</v>
      </c>
      <c r="C28" s="323">
        <v>423</v>
      </c>
      <c r="D28" s="324">
        <v>791</v>
      </c>
      <c r="E28" s="324">
        <v>1308</v>
      </c>
      <c r="F28" s="333">
        <v>834</v>
      </c>
      <c r="G28" s="334">
        <v>85</v>
      </c>
      <c r="H28" s="335">
        <f t="shared" si="5"/>
        <v>2848</v>
      </c>
      <c r="I28" s="330">
        <f t="shared" si="7"/>
        <v>1.6802954676861718E-2</v>
      </c>
      <c r="J28" s="336">
        <f t="shared" si="1"/>
        <v>284.8</v>
      </c>
      <c r="K28" s="337">
        <f t="shared" si="4"/>
        <v>317.25</v>
      </c>
      <c r="L28" s="338">
        <f t="shared" si="2"/>
        <v>4502.05</v>
      </c>
      <c r="M28" s="330">
        <f t="shared" si="3"/>
        <v>4.1417996761508251E-2</v>
      </c>
    </row>
    <row r="29" spans="1:13" s="331" customFormat="1" x14ac:dyDescent="0.2">
      <c r="A29" s="332" t="s">
        <v>203</v>
      </c>
      <c r="B29" s="322">
        <v>1751</v>
      </c>
      <c r="C29" s="323">
        <v>0</v>
      </c>
      <c r="D29" s="324">
        <v>340</v>
      </c>
      <c r="E29" s="324">
        <v>504</v>
      </c>
      <c r="F29" s="333">
        <v>351</v>
      </c>
      <c r="G29" s="334"/>
      <c r="H29" s="335">
        <f t="shared" si="5"/>
        <v>1195</v>
      </c>
      <c r="I29" s="330">
        <f t="shared" si="7"/>
        <v>7.0503970642028626E-3</v>
      </c>
      <c r="J29" s="336">
        <f t="shared" si="1"/>
        <v>119.5</v>
      </c>
      <c r="K29" s="337">
        <f t="shared" si="4"/>
        <v>0</v>
      </c>
      <c r="L29" s="338">
        <f t="shared" si="2"/>
        <v>1870.5</v>
      </c>
      <c r="M29" s="330">
        <f t="shared" si="3"/>
        <v>6.8246716162193036E-2</v>
      </c>
    </row>
    <row r="30" spans="1:13" s="331" customFormat="1" x14ac:dyDescent="0.2">
      <c r="A30" s="332" t="s">
        <v>204</v>
      </c>
      <c r="B30" s="322">
        <v>2631</v>
      </c>
      <c r="C30" s="323">
        <v>1378</v>
      </c>
      <c r="D30" s="324">
        <v>400</v>
      </c>
      <c r="E30" s="324">
        <v>484</v>
      </c>
      <c r="F30" s="333">
        <v>349</v>
      </c>
      <c r="G30" s="334">
        <v>283</v>
      </c>
      <c r="H30" s="335">
        <f t="shared" si="5"/>
        <v>950</v>
      </c>
      <c r="I30" s="330">
        <f t="shared" si="7"/>
        <v>5.6049181681947441E-3</v>
      </c>
      <c r="J30" s="336">
        <f t="shared" si="1"/>
        <v>95</v>
      </c>
      <c r="K30" s="337">
        <f t="shared" si="4"/>
        <v>1033.5</v>
      </c>
      <c r="L30" s="338">
        <f t="shared" si="2"/>
        <v>2381.5</v>
      </c>
      <c r="M30" s="330">
        <f t="shared" si="3"/>
        <v>-9.4830862789813758E-2</v>
      </c>
    </row>
    <row r="31" spans="1:13" s="331" customFormat="1" x14ac:dyDescent="0.2">
      <c r="A31" s="332" t="s">
        <v>36</v>
      </c>
      <c r="B31" s="322">
        <v>4244</v>
      </c>
      <c r="C31" s="323">
        <v>152</v>
      </c>
      <c r="D31" s="324">
        <v>839</v>
      </c>
      <c r="E31" s="324">
        <v>1456</v>
      </c>
      <c r="F31" s="333">
        <v>700</v>
      </c>
      <c r="G31" s="334">
        <v>20</v>
      </c>
      <c r="H31" s="335">
        <f t="shared" si="5"/>
        <v>2975</v>
      </c>
      <c r="I31" s="330">
        <f t="shared" si="7"/>
        <v>1.7552243737241437E-2</v>
      </c>
      <c r="J31" s="336">
        <f t="shared" si="1"/>
        <v>297.5</v>
      </c>
      <c r="K31" s="337">
        <f t="shared" si="4"/>
        <v>114</v>
      </c>
      <c r="L31" s="338">
        <f t="shared" si="2"/>
        <v>4503.5</v>
      </c>
      <c r="M31" s="330">
        <f t="shared" si="3"/>
        <v>6.1145146088595663E-2</v>
      </c>
    </row>
    <row r="32" spans="1:13" s="331" customFormat="1" x14ac:dyDescent="0.2">
      <c r="A32" s="332" t="s">
        <v>131</v>
      </c>
      <c r="B32" s="322">
        <v>4865</v>
      </c>
      <c r="C32" s="323">
        <v>1160</v>
      </c>
      <c r="D32" s="324">
        <v>1063</v>
      </c>
      <c r="E32" s="324">
        <v>1350</v>
      </c>
      <c r="F32" s="333">
        <v>1199</v>
      </c>
      <c r="G32" s="334">
        <v>344</v>
      </c>
      <c r="H32" s="335">
        <f t="shared" si="5"/>
        <v>3268</v>
      </c>
      <c r="I32" s="330">
        <f t="shared" si="7"/>
        <v>1.928091849858992E-2</v>
      </c>
      <c r="J32" s="336">
        <f t="shared" si="1"/>
        <v>326.8</v>
      </c>
      <c r="K32" s="337">
        <f t="shared" si="4"/>
        <v>870</v>
      </c>
      <c r="L32" s="338">
        <f t="shared" si="2"/>
        <v>4901.8</v>
      </c>
      <c r="M32" s="330">
        <f t="shared" si="3"/>
        <v>7.564234326824292E-3</v>
      </c>
    </row>
    <row r="33" spans="1:20" s="331" customFormat="1" x14ac:dyDescent="0.2">
      <c r="A33" s="332" t="s">
        <v>205</v>
      </c>
      <c r="B33" s="322">
        <v>6751</v>
      </c>
      <c r="C33" s="323">
        <v>255</v>
      </c>
      <c r="D33" s="324">
        <v>1403</v>
      </c>
      <c r="E33" s="324">
        <v>2276</v>
      </c>
      <c r="F33" s="333">
        <v>1988</v>
      </c>
      <c r="G33" s="334">
        <v>93</v>
      </c>
      <c r="H33" s="335">
        <f t="shared" si="5"/>
        <v>5574</v>
      </c>
      <c r="I33" s="330">
        <f t="shared" si="7"/>
        <v>3.2886119862650005E-2</v>
      </c>
      <c r="J33" s="336">
        <f t="shared" si="1"/>
        <v>557.4</v>
      </c>
      <c r="K33" s="337">
        <f t="shared" si="4"/>
        <v>191.25</v>
      </c>
      <c r="L33" s="338">
        <f t="shared" si="2"/>
        <v>7244.65</v>
      </c>
      <c r="M33" s="330">
        <f t="shared" si="3"/>
        <v>7.3122500370315452E-2</v>
      </c>
    </row>
    <row r="34" spans="1:20" s="331" customFormat="1" ht="12.75" customHeight="1" x14ac:dyDescent="0.2">
      <c r="A34" s="321" t="s">
        <v>206</v>
      </c>
      <c r="B34" s="322">
        <v>5495</v>
      </c>
      <c r="C34" s="323">
        <v>17</v>
      </c>
      <c r="D34" s="324">
        <v>1221</v>
      </c>
      <c r="E34" s="324">
        <v>2399</v>
      </c>
      <c r="F34" s="333">
        <v>1558</v>
      </c>
      <c r="G34" s="334">
        <v>2</v>
      </c>
      <c r="H34" s="335">
        <f t="shared" si="5"/>
        <v>5176</v>
      </c>
      <c r="I34" s="330">
        <f t="shared" si="7"/>
        <v>3.0537954145869472E-2</v>
      </c>
      <c r="J34" s="336">
        <f t="shared" si="1"/>
        <v>517.6</v>
      </c>
      <c r="K34" s="337">
        <f t="shared" si="4"/>
        <v>12.75</v>
      </c>
      <c r="L34" s="338">
        <f t="shared" si="2"/>
        <v>6008.35</v>
      </c>
      <c r="M34" s="330">
        <f t="shared" si="3"/>
        <v>9.3421292083712526E-2</v>
      </c>
    </row>
    <row r="35" spans="1:20" s="331" customFormat="1" x14ac:dyDescent="0.2">
      <c r="A35" s="332" t="s">
        <v>70</v>
      </c>
      <c r="B35" s="322">
        <v>9513</v>
      </c>
      <c r="C35" s="323">
        <v>758</v>
      </c>
      <c r="D35" s="324">
        <v>2990</v>
      </c>
      <c r="E35" s="324">
        <v>4375</v>
      </c>
      <c r="F35" s="333">
        <v>6313</v>
      </c>
      <c r="G35" s="334">
        <v>755</v>
      </c>
      <c r="H35" s="335">
        <f t="shared" si="5"/>
        <v>12923</v>
      </c>
      <c r="I35" s="330">
        <f t="shared" si="7"/>
        <v>7.624458682903229E-2</v>
      </c>
      <c r="J35" s="336">
        <f t="shared" si="1"/>
        <v>1292.3000000000002</v>
      </c>
      <c r="K35" s="337">
        <f t="shared" si="4"/>
        <v>568.5</v>
      </c>
      <c r="L35" s="338">
        <f t="shared" si="2"/>
        <v>10615.8</v>
      </c>
      <c r="M35" s="330">
        <f t="shared" si="3"/>
        <v>0.11592557552822445</v>
      </c>
    </row>
    <row r="36" spans="1:20" s="331" customFormat="1" ht="13.5" thickBot="1" x14ac:dyDescent="0.25">
      <c r="A36" s="350" t="s">
        <v>117</v>
      </c>
      <c r="B36" s="322">
        <v>4471</v>
      </c>
      <c r="C36" s="323">
        <v>124</v>
      </c>
      <c r="D36" s="324">
        <v>938</v>
      </c>
      <c r="E36" s="324">
        <v>1538</v>
      </c>
      <c r="F36" s="333">
        <v>952</v>
      </c>
      <c r="G36" s="334">
        <v>51</v>
      </c>
      <c r="H36" s="335">
        <f>SUM(D36:F36)-G36</f>
        <v>3377</v>
      </c>
      <c r="I36" s="351">
        <f t="shared" si="7"/>
        <v>1.9924009109467001E-2</v>
      </c>
      <c r="J36" s="336">
        <f t="shared" si="1"/>
        <v>337.70000000000005</v>
      </c>
      <c r="K36" s="352">
        <f t="shared" si="4"/>
        <v>93</v>
      </c>
      <c r="L36" s="338">
        <f t="shared" si="2"/>
        <v>4777.7</v>
      </c>
      <c r="M36" s="330">
        <f t="shared" si="3"/>
        <v>6.8597629165734697E-2</v>
      </c>
    </row>
    <row r="37" spans="1:20" s="358" customFormat="1" ht="13.5" thickBot="1" x14ac:dyDescent="0.25">
      <c r="A37" s="353" t="s">
        <v>249</v>
      </c>
      <c r="B37" s="354">
        <f>SUM(B6:B22,B28:B36)</f>
        <v>159554</v>
      </c>
      <c r="C37" s="355">
        <f>SUM(C6:C22,C28:C36)</f>
        <v>19988</v>
      </c>
      <c r="D37" s="356">
        <f t="shared" ref="D37:L37" si="8">SUM(D6:D22,D28:D36)</f>
        <v>31961</v>
      </c>
      <c r="E37" s="356">
        <f t="shared" si="8"/>
        <v>50323</v>
      </c>
      <c r="F37" s="356">
        <f t="shared" si="8"/>
        <v>51379</v>
      </c>
      <c r="G37" s="355">
        <f t="shared" si="8"/>
        <v>5790</v>
      </c>
      <c r="H37" s="356">
        <f t="shared" si="8"/>
        <v>127873</v>
      </c>
      <c r="I37" s="357">
        <f>SUM(I6:I22,I28:I36)</f>
        <v>0.75443968518059634</v>
      </c>
      <c r="J37" s="354">
        <f t="shared" si="8"/>
        <v>12787.3</v>
      </c>
      <c r="K37" s="355">
        <f t="shared" si="8"/>
        <v>14991</v>
      </c>
      <c r="L37" s="354">
        <f t="shared" si="8"/>
        <v>167344.30000000002</v>
      </c>
      <c r="M37" s="330">
        <f t="shared" si="3"/>
        <v>4.8825476014390225E-2</v>
      </c>
      <c r="N37" s="331"/>
      <c r="O37" s="331"/>
      <c r="P37" s="331"/>
      <c r="Q37" s="331"/>
      <c r="R37" s="331"/>
      <c r="S37" s="331"/>
      <c r="T37" s="331"/>
    </row>
    <row r="38" spans="1:20" s="331" customFormat="1" ht="13.5" thickBot="1" x14ac:dyDescent="0.25">
      <c r="A38" s="359"/>
      <c r="B38" s="360"/>
      <c r="C38" s="360"/>
      <c r="D38" s="361"/>
      <c r="E38" s="361"/>
      <c r="F38" s="361"/>
      <c r="G38" s="361"/>
      <c r="H38" s="362"/>
      <c r="I38" s="363"/>
      <c r="M38" s="363"/>
    </row>
    <row r="39" spans="1:20" s="369" customFormat="1" ht="13.5" thickBot="1" x14ac:dyDescent="0.25">
      <c r="A39" s="364" t="s">
        <v>214</v>
      </c>
      <c r="B39" s="365"/>
      <c r="C39" s="365"/>
      <c r="D39" s="366"/>
      <c r="E39" s="366"/>
      <c r="F39" s="367"/>
      <c r="G39" s="367"/>
      <c r="H39" s="368"/>
      <c r="I39" s="363"/>
      <c r="M39" s="363"/>
    </row>
    <row r="40" spans="1:20" s="331" customFormat="1" x14ac:dyDescent="0.2">
      <c r="A40" s="370" t="s">
        <v>208</v>
      </c>
      <c r="B40" s="322">
        <v>6169</v>
      </c>
      <c r="C40" s="323">
        <v>430</v>
      </c>
      <c r="D40" s="324">
        <v>808</v>
      </c>
      <c r="E40" s="324">
        <v>1830</v>
      </c>
      <c r="F40" s="371">
        <v>830</v>
      </c>
      <c r="G40" s="372">
        <v>40</v>
      </c>
      <c r="H40" s="373">
        <f t="shared" ref="H40:H46" si="9">SUM(D40:F40)-G40</f>
        <v>3428</v>
      </c>
      <c r="I40" s="326">
        <f t="shared" ref="I40:I46" si="10">H40/H$48</f>
        <v>2.0224904716391139E-2</v>
      </c>
      <c r="J40" s="336">
        <f t="shared" ref="J40:J46" si="11">H40*$M$2</f>
        <v>342.8</v>
      </c>
      <c r="K40" s="352">
        <f t="shared" ref="K40:K46" si="12">C40*$L$3</f>
        <v>322.5</v>
      </c>
      <c r="L40" s="338">
        <f t="shared" ref="L40:L46" si="13">(B40-C40)+J40+K40</f>
        <v>6404.3</v>
      </c>
      <c r="M40" s="330">
        <f t="shared" ref="M40:M48" si="14">(L40+-B40)/B40</f>
        <v>3.8142324525855115E-2</v>
      </c>
    </row>
    <row r="41" spans="1:20" s="331" customFormat="1" x14ac:dyDescent="0.2">
      <c r="A41" s="332" t="s">
        <v>140</v>
      </c>
      <c r="B41" s="322">
        <v>10212</v>
      </c>
      <c r="C41" s="323"/>
      <c r="D41" s="324">
        <v>2421</v>
      </c>
      <c r="E41" s="324">
        <v>4458</v>
      </c>
      <c r="F41" s="333">
        <v>4987</v>
      </c>
      <c r="G41" s="334"/>
      <c r="H41" s="335">
        <f t="shared" si="9"/>
        <v>11866</v>
      </c>
      <c r="I41" s="330">
        <f t="shared" si="10"/>
        <v>7.0008377877682992E-2</v>
      </c>
      <c r="J41" s="336">
        <f t="shared" si="11"/>
        <v>1186.6000000000001</v>
      </c>
      <c r="K41" s="352">
        <f t="shared" si="12"/>
        <v>0</v>
      </c>
      <c r="L41" s="338">
        <f t="shared" si="13"/>
        <v>11398.6</v>
      </c>
      <c r="M41" s="330">
        <f t="shared" si="14"/>
        <v>0.11619663141402276</v>
      </c>
    </row>
    <row r="42" spans="1:20" s="331" customFormat="1" x14ac:dyDescent="0.2">
      <c r="A42" s="332" t="s">
        <v>209</v>
      </c>
      <c r="B42" s="322">
        <v>17370</v>
      </c>
      <c r="C42" s="323">
        <v>1270</v>
      </c>
      <c r="D42" s="324">
        <v>2188</v>
      </c>
      <c r="E42" s="324">
        <v>3711</v>
      </c>
      <c r="F42" s="333">
        <v>3015</v>
      </c>
      <c r="G42" s="334">
        <v>364</v>
      </c>
      <c r="H42" s="335">
        <f t="shared" si="9"/>
        <v>8550</v>
      </c>
      <c r="I42" s="330">
        <f t="shared" si="10"/>
        <v>5.0444263513752696E-2</v>
      </c>
      <c r="J42" s="336">
        <f t="shared" si="11"/>
        <v>855</v>
      </c>
      <c r="K42" s="337">
        <f t="shared" si="12"/>
        <v>952.5</v>
      </c>
      <c r="L42" s="338">
        <f t="shared" si="13"/>
        <v>17907.5</v>
      </c>
      <c r="M42" s="330">
        <f t="shared" si="14"/>
        <v>3.0944156591824985E-2</v>
      </c>
    </row>
    <row r="43" spans="1:20" s="331" customFormat="1" x14ac:dyDescent="0.2">
      <c r="A43" s="332" t="s">
        <v>210</v>
      </c>
      <c r="B43" s="322">
        <v>7382</v>
      </c>
      <c r="C43" s="323"/>
      <c r="D43" s="324">
        <v>866</v>
      </c>
      <c r="E43" s="324">
        <v>1732</v>
      </c>
      <c r="F43" s="333">
        <v>984</v>
      </c>
      <c r="G43" s="334"/>
      <c r="H43" s="335">
        <f t="shared" si="9"/>
        <v>3582</v>
      </c>
      <c r="I43" s="330">
        <f t="shared" si="10"/>
        <v>2.1133491451024815E-2</v>
      </c>
      <c r="J43" s="336">
        <f t="shared" si="11"/>
        <v>358.20000000000005</v>
      </c>
      <c r="K43" s="337">
        <f t="shared" si="12"/>
        <v>0</v>
      </c>
      <c r="L43" s="338">
        <f t="shared" si="13"/>
        <v>7740.2</v>
      </c>
      <c r="M43" s="330">
        <f t="shared" si="14"/>
        <v>4.852343538336492E-2</v>
      </c>
    </row>
    <row r="44" spans="1:20" s="331" customFormat="1" x14ac:dyDescent="0.2">
      <c r="A44" s="332" t="s">
        <v>211</v>
      </c>
      <c r="B44" s="322">
        <v>15330</v>
      </c>
      <c r="C44" s="323">
        <v>3246</v>
      </c>
      <c r="D44" s="324">
        <v>2107</v>
      </c>
      <c r="E44" s="324">
        <v>3484</v>
      </c>
      <c r="F44" s="333">
        <v>2980</v>
      </c>
      <c r="G44" s="334">
        <v>563</v>
      </c>
      <c r="H44" s="335">
        <f t="shared" si="9"/>
        <v>8008</v>
      </c>
      <c r="I44" s="330">
        <f t="shared" si="10"/>
        <v>4.7246510200951067E-2</v>
      </c>
      <c r="J44" s="336">
        <f t="shared" si="11"/>
        <v>800.80000000000007</v>
      </c>
      <c r="K44" s="337">
        <f t="shared" si="12"/>
        <v>2434.5</v>
      </c>
      <c r="L44" s="338">
        <f t="shared" si="13"/>
        <v>15319.3</v>
      </c>
      <c r="M44" s="330">
        <f t="shared" si="14"/>
        <v>-6.9797782126553997E-4</v>
      </c>
    </row>
    <row r="45" spans="1:20" s="331" customFormat="1" x14ac:dyDescent="0.2">
      <c r="A45" s="332" t="s">
        <v>212</v>
      </c>
      <c r="B45" s="322">
        <v>8553</v>
      </c>
      <c r="C45" s="323">
        <v>5569</v>
      </c>
      <c r="D45" s="324">
        <v>858</v>
      </c>
      <c r="E45" s="324">
        <v>880</v>
      </c>
      <c r="F45" s="333">
        <v>1047</v>
      </c>
      <c r="G45" s="334">
        <v>976</v>
      </c>
      <c r="H45" s="335">
        <f t="shared" si="9"/>
        <v>1809</v>
      </c>
      <c r="I45" s="330">
        <f t="shared" si="10"/>
        <v>1.0672944175015044E-2</v>
      </c>
      <c r="J45" s="336">
        <f t="shared" si="11"/>
        <v>180.9</v>
      </c>
      <c r="K45" s="337">
        <f t="shared" si="12"/>
        <v>4176.75</v>
      </c>
      <c r="L45" s="338">
        <f t="shared" si="13"/>
        <v>7341.65</v>
      </c>
      <c r="M45" s="330">
        <f t="shared" si="14"/>
        <v>-0.14162866830351928</v>
      </c>
    </row>
    <row r="46" spans="1:20" s="331" customFormat="1" ht="13.5" thickBot="1" x14ac:dyDescent="0.25">
      <c r="A46" s="350" t="s">
        <v>213</v>
      </c>
      <c r="B46" s="322">
        <v>8604</v>
      </c>
      <c r="C46" s="323"/>
      <c r="D46" s="324">
        <v>1053</v>
      </c>
      <c r="E46" s="324">
        <v>2135</v>
      </c>
      <c r="F46" s="333">
        <v>1190</v>
      </c>
      <c r="G46" s="334"/>
      <c r="H46" s="335">
        <f t="shared" si="9"/>
        <v>4378</v>
      </c>
      <c r="I46" s="374">
        <f t="shared" si="10"/>
        <v>2.5829822884585886E-2</v>
      </c>
      <c r="J46" s="336">
        <f t="shared" si="11"/>
        <v>437.8</v>
      </c>
      <c r="K46" s="352">
        <f t="shared" si="12"/>
        <v>0</v>
      </c>
      <c r="L46" s="338">
        <f t="shared" si="13"/>
        <v>9041.7999999999993</v>
      </c>
      <c r="M46" s="330">
        <f t="shared" si="14"/>
        <v>5.0883310088330927E-2</v>
      </c>
    </row>
    <row r="47" spans="1:20" s="358" customFormat="1" ht="13.5" thickBot="1" x14ac:dyDescent="0.25">
      <c r="A47" s="353" t="s">
        <v>250</v>
      </c>
      <c r="B47" s="354">
        <f t="shared" ref="B47:K47" si="15">SUM(B40:B46)</f>
        <v>73620</v>
      </c>
      <c r="C47" s="355">
        <f t="shared" si="15"/>
        <v>10515</v>
      </c>
      <c r="D47" s="356">
        <f t="shared" si="15"/>
        <v>10301</v>
      </c>
      <c r="E47" s="356">
        <f t="shared" si="15"/>
        <v>18230</v>
      </c>
      <c r="F47" s="356">
        <f t="shared" si="15"/>
        <v>15033</v>
      </c>
      <c r="G47" s="355">
        <f t="shared" si="15"/>
        <v>1943</v>
      </c>
      <c r="H47" s="356">
        <f t="shared" si="15"/>
        <v>41621</v>
      </c>
      <c r="I47" s="357">
        <f t="shared" si="15"/>
        <v>0.24556031481940366</v>
      </c>
      <c r="J47" s="354">
        <f t="shared" si="15"/>
        <v>4162.1000000000004</v>
      </c>
      <c r="K47" s="355">
        <f t="shared" si="15"/>
        <v>7886.25</v>
      </c>
      <c r="L47" s="375">
        <f>SUM(L40:L46)</f>
        <v>75153.349999999991</v>
      </c>
      <c r="M47" s="330">
        <f t="shared" si="14"/>
        <v>2.0827900027166411E-2</v>
      </c>
    </row>
    <row r="48" spans="1:20" s="358" customFormat="1" ht="13.5" thickBot="1" x14ac:dyDescent="0.25">
      <c r="A48" s="376" t="s">
        <v>251</v>
      </c>
      <c r="B48" s="377">
        <f t="shared" ref="B48:L48" si="16">B37+B47</f>
        <v>233174</v>
      </c>
      <c r="C48" s="378">
        <f t="shared" si="16"/>
        <v>30503</v>
      </c>
      <c r="D48" s="379">
        <f t="shared" si="16"/>
        <v>42262</v>
      </c>
      <c r="E48" s="379">
        <f t="shared" si="16"/>
        <v>68553</v>
      </c>
      <c r="F48" s="379">
        <f t="shared" si="16"/>
        <v>66412</v>
      </c>
      <c r="G48" s="378">
        <f>G37+G47</f>
        <v>7733</v>
      </c>
      <c r="H48" s="379">
        <f t="shared" si="16"/>
        <v>169494</v>
      </c>
      <c r="I48" s="380">
        <f t="shared" si="16"/>
        <v>1</v>
      </c>
      <c r="J48" s="354">
        <f t="shared" si="16"/>
        <v>16949.400000000001</v>
      </c>
      <c r="K48" s="355">
        <f t="shared" si="16"/>
        <v>22877.25</v>
      </c>
      <c r="L48" s="354">
        <f t="shared" si="16"/>
        <v>242497.65000000002</v>
      </c>
      <c r="M48" s="330">
        <f t="shared" si="14"/>
        <v>3.998580459227883E-2</v>
      </c>
    </row>
    <row r="49" spans="1:12" ht="13.5" hidden="1" thickBot="1" x14ac:dyDescent="0.25">
      <c r="A49" s="381" t="s">
        <v>252</v>
      </c>
      <c r="B49" s="382"/>
      <c r="C49" s="383"/>
      <c r="D49" s="384"/>
      <c r="E49" s="384"/>
      <c r="F49" s="384"/>
      <c r="G49" s="384"/>
      <c r="H49" s="384"/>
      <c r="I49" s="385"/>
      <c r="J49" s="386"/>
      <c r="K49" s="387"/>
    </row>
    <row r="51" spans="1:12" x14ac:dyDescent="0.2">
      <c r="A51" s="16" t="s">
        <v>320</v>
      </c>
    </row>
    <row r="52" spans="1:12" x14ac:dyDescent="0.2">
      <c r="A52" s="129"/>
      <c r="L52" s="389"/>
    </row>
  </sheetData>
  <mergeCells count="2">
    <mergeCell ref="A1:I1"/>
    <mergeCell ref="A3:I3"/>
  </mergeCells>
  <pageMargins left="0.7" right="0.7" top="0.75" bottom="0.75" header="0.3" footer="0.3"/>
  <pageSetup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39997558519241921"/>
  </sheetPr>
  <dimension ref="A1:K49"/>
  <sheetViews>
    <sheetView zoomScale="80" workbookViewId="0">
      <selection activeCell="L35" sqref="L35"/>
    </sheetView>
  </sheetViews>
  <sheetFormatPr defaultColWidth="9.140625" defaultRowHeight="15" customHeight="1" x14ac:dyDescent="0.2"/>
  <cols>
    <col min="1" max="1" width="7.28515625" style="54" customWidth="1"/>
    <col min="2" max="2" width="30.28515625" style="54" customWidth="1"/>
    <col min="3" max="3" width="10.85546875" style="54" customWidth="1"/>
    <col min="4" max="4" width="12.85546875" style="54" customWidth="1"/>
    <col min="5" max="5" width="10.7109375" style="54" customWidth="1"/>
    <col min="6" max="6" width="12.85546875" style="54" customWidth="1"/>
    <col min="7" max="7" width="14.140625" style="54" customWidth="1"/>
    <col min="8" max="8" width="14.7109375" style="107" customWidth="1"/>
    <col min="9" max="9" width="9.140625" style="54"/>
    <col min="10" max="12" width="9.140625" style="54" customWidth="1"/>
    <col min="13" max="16384" width="9.140625" style="54"/>
  </cols>
  <sheetData>
    <row r="1" spans="1:10" ht="15" customHeight="1" x14ac:dyDescent="0.25">
      <c r="A1" s="106" t="s">
        <v>254</v>
      </c>
      <c r="G1" s="106"/>
      <c r="H1" s="446" t="s">
        <v>284</v>
      </c>
    </row>
    <row r="2" spans="1:10" ht="15" customHeight="1" x14ac:dyDescent="0.2">
      <c r="A2" s="108" t="s">
        <v>104</v>
      </c>
      <c r="G2" s="108"/>
      <c r="I2" s="87"/>
    </row>
    <row r="3" spans="1:10" ht="15" customHeight="1" x14ac:dyDescent="0.2">
      <c r="A3" s="87" t="s">
        <v>326</v>
      </c>
      <c r="G3" s="109"/>
    </row>
    <row r="4" spans="1:10" ht="12.75" x14ac:dyDescent="0.2">
      <c r="A4" s="58"/>
      <c r="B4" s="58"/>
      <c r="C4" s="58"/>
      <c r="D4" s="91"/>
      <c r="E4" s="91"/>
      <c r="F4" s="91"/>
      <c r="G4" s="110"/>
      <c r="H4" s="111"/>
    </row>
    <row r="5" spans="1:10" ht="34.5" customHeight="1" x14ac:dyDescent="0.2">
      <c r="A5" s="112"/>
      <c r="B5" s="113"/>
      <c r="C5" s="197"/>
      <c r="D5" s="501" t="s">
        <v>105</v>
      </c>
      <c r="E5" s="501" t="s">
        <v>106</v>
      </c>
      <c r="F5" s="498" t="s">
        <v>107</v>
      </c>
      <c r="G5" s="501" t="s">
        <v>119</v>
      </c>
      <c r="H5" s="501" t="s">
        <v>66</v>
      </c>
    </row>
    <row r="6" spans="1:10" ht="15.75" customHeight="1" x14ac:dyDescent="0.2">
      <c r="A6" s="114"/>
      <c r="B6" s="114"/>
      <c r="C6" s="198" t="s">
        <v>325</v>
      </c>
      <c r="D6" s="501"/>
      <c r="E6" s="501"/>
      <c r="F6" s="499"/>
      <c r="G6" s="502"/>
      <c r="H6" s="503"/>
    </row>
    <row r="7" spans="1:10" ht="15.75" customHeight="1" x14ac:dyDescent="0.2">
      <c r="A7" s="115" t="s">
        <v>0</v>
      </c>
      <c r="B7" s="115" t="s">
        <v>83</v>
      </c>
      <c r="C7" s="115" t="s">
        <v>108</v>
      </c>
      <c r="D7" s="97">
        <v>5</v>
      </c>
      <c r="E7" s="100">
        <v>50000</v>
      </c>
      <c r="F7" s="500"/>
      <c r="G7" s="502"/>
      <c r="H7" s="504"/>
    </row>
    <row r="8" spans="1:10" s="58" customFormat="1" ht="15" customHeight="1" x14ac:dyDescent="0.2">
      <c r="B8" s="91"/>
      <c r="C8" s="91"/>
      <c r="D8" s="98"/>
      <c r="E8" s="101"/>
      <c r="F8" s="116"/>
      <c r="G8" s="117"/>
      <c r="H8" s="118"/>
    </row>
    <row r="9" spans="1:10" ht="15" customHeight="1" x14ac:dyDescent="0.2">
      <c r="A9" s="10" t="s">
        <v>2</v>
      </c>
      <c r="B9" s="121" t="s">
        <v>128</v>
      </c>
      <c r="C9" s="93">
        <v>493480</v>
      </c>
      <c r="D9" s="96">
        <f t="shared" ref="D9:D38" si="0">C9*$D$7</f>
        <v>2467400</v>
      </c>
      <c r="E9" s="96"/>
      <c r="F9" s="96">
        <f>D9+E9</f>
        <v>2467400</v>
      </c>
      <c r="G9" s="119">
        <f>'Revenue Offset'!G8</f>
        <v>0.43189398698442066</v>
      </c>
      <c r="H9" s="120">
        <f t="shared" ref="H9:H38" si="1">F9*(1-G9)</f>
        <v>1401744.7765146403</v>
      </c>
      <c r="J9" s="203"/>
    </row>
    <row r="10" spans="1:10" ht="15" customHeight="1" x14ac:dyDescent="0.2">
      <c r="A10" s="10" t="s">
        <v>4</v>
      </c>
      <c r="B10" s="121" t="s">
        <v>124</v>
      </c>
      <c r="C10" s="93">
        <f>323839+113712+419337</f>
        <v>856888</v>
      </c>
      <c r="D10" s="96">
        <f t="shared" si="0"/>
        <v>4284440</v>
      </c>
      <c r="E10" s="96">
        <v>100000</v>
      </c>
      <c r="F10" s="96">
        <f t="shared" ref="F10:F38" si="2">D10+E10</f>
        <v>4384440</v>
      </c>
      <c r="G10" s="119">
        <f>'Revenue Offset'!G9</f>
        <v>0.52182607272056636</v>
      </c>
      <c r="H10" s="120">
        <f t="shared" si="1"/>
        <v>2096524.8937210401</v>
      </c>
      <c r="J10" s="203"/>
    </row>
    <row r="11" spans="1:10" ht="15" customHeight="1" x14ac:dyDescent="0.2">
      <c r="A11" s="10" t="s">
        <v>5</v>
      </c>
      <c r="B11" s="121" t="s">
        <v>113</v>
      </c>
      <c r="C11" s="93">
        <f>842625+97053</f>
        <v>939678</v>
      </c>
      <c r="D11" s="96">
        <f t="shared" si="0"/>
        <v>4698390</v>
      </c>
      <c r="E11" s="96">
        <v>50000</v>
      </c>
      <c r="F11" s="96">
        <f t="shared" si="2"/>
        <v>4748390</v>
      </c>
      <c r="G11" s="119">
        <f>'Revenue Offset'!G10</f>
        <v>0.60331133611509846</v>
      </c>
      <c r="H11" s="120">
        <f t="shared" si="1"/>
        <v>1883632.4847044277</v>
      </c>
      <c r="J11" s="203"/>
    </row>
    <row r="12" spans="1:10" ht="15" customHeight="1" x14ac:dyDescent="0.2">
      <c r="A12" s="10" t="s">
        <v>6</v>
      </c>
      <c r="B12" s="121" t="s">
        <v>7</v>
      </c>
      <c r="C12" s="93">
        <v>633631</v>
      </c>
      <c r="D12" s="96">
        <f t="shared" si="0"/>
        <v>3168155</v>
      </c>
      <c r="E12" s="96">
        <v>50000</v>
      </c>
      <c r="F12" s="96">
        <f t="shared" si="2"/>
        <v>3218155</v>
      </c>
      <c r="G12" s="119">
        <f>'Revenue Offset'!G11</f>
        <v>0.44707141814254192</v>
      </c>
      <c r="H12" s="120">
        <f t="shared" si="1"/>
        <v>1779409.880347488</v>
      </c>
      <c r="J12" s="203"/>
    </row>
    <row r="13" spans="1:10" ht="17.25" customHeight="1" x14ac:dyDescent="0.2">
      <c r="A13" s="10" t="s">
        <v>8</v>
      </c>
      <c r="B13" s="121" t="s">
        <v>9</v>
      </c>
      <c r="C13" s="93">
        <v>739917</v>
      </c>
      <c r="D13" s="96">
        <f t="shared" si="0"/>
        <v>3699585</v>
      </c>
      <c r="E13" s="96"/>
      <c r="F13" s="96">
        <f t="shared" si="2"/>
        <v>3699585</v>
      </c>
      <c r="G13" s="119">
        <f>'Revenue Offset'!G12</f>
        <v>0.51803310945854641</v>
      </c>
      <c r="H13" s="120">
        <f t="shared" si="1"/>
        <v>1783077.4787438035</v>
      </c>
      <c r="J13" s="203"/>
    </row>
    <row r="14" spans="1:10" ht="15" customHeight="1" x14ac:dyDescent="0.2">
      <c r="A14" s="10" t="s">
        <v>10</v>
      </c>
      <c r="B14" s="121" t="s">
        <v>146</v>
      </c>
      <c r="C14" s="93">
        <f>539331+325845</f>
        <v>865176</v>
      </c>
      <c r="D14" s="96">
        <f t="shared" si="0"/>
        <v>4325880</v>
      </c>
      <c r="E14" s="96">
        <v>50000</v>
      </c>
      <c r="F14" s="96">
        <f t="shared" si="2"/>
        <v>4375880</v>
      </c>
      <c r="G14" s="119">
        <f>'Revenue Offset'!G13</f>
        <v>0.47498965898592527</v>
      </c>
      <c r="H14" s="120">
        <f t="shared" si="1"/>
        <v>2297382.2510366691</v>
      </c>
      <c r="J14" s="203"/>
    </row>
    <row r="15" spans="1:10" ht="15" customHeight="1" x14ac:dyDescent="0.2">
      <c r="A15" s="10" t="s">
        <v>12</v>
      </c>
      <c r="B15" s="121" t="s">
        <v>13</v>
      </c>
      <c r="C15" s="93">
        <v>159542</v>
      </c>
      <c r="D15" s="96">
        <f t="shared" si="0"/>
        <v>797710</v>
      </c>
      <c r="E15" s="96"/>
      <c r="F15" s="96">
        <f t="shared" si="2"/>
        <v>797710</v>
      </c>
      <c r="G15" s="119">
        <f>'Revenue Offset'!G14</f>
        <v>0.37137337565983602</v>
      </c>
      <c r="H15" s="120">
        <f t="shared" si="1"/>
        <v>501461.74450239213</v>
      </c>
      <c r="J15" s="203"/>
    </row>
    <row r="16" spans="1:10" ht="15" customHeight="1" x14ac:dyDescent="0.2">
      <c r="A16" s="10" t="s">
        <v>14</v>
      </c>
      <c r="B16" s="121" t="s">
        <v>139</v>
      </c>
      <c r="C16" s="93">
        <f>498704+415217</f>
        <v>913921</v>
      </c>
      <c r="D16" s="96">
        <f t="shared" si="0"/>
        <v>4569605</v>
      </c>
      <c r="E16" s="96">
        <v>50000</v>
      </c>
      <c r="F16" s="96">
        <f t="shared" si="2"/>
        <v>4619605</v>
      </c>
      <c r="G16" s="119">
        <f>'Revenue Offset'!G15</f>
        <v>0.41562532518913137</v>
      </c>
      <c r="H16" s="120">
        <f t="shared" si="1"/>
        <v>2699580.1696296632</v>
      </c>
      <c r="J16" s="203"/>
    </row>
    <row r="17" spans="1:11" ht="15" customHeight="1" x14ac:dyDescent="0.2">
      <c r="A17" s="10" t="s">
        <v>16</v>
      </c>
      <c r="B17" s="121" t="s">
        <v>17</v>
      </c>
      <c r="C17" s="93">
        <v>399066</v>
      </c>
      <c r="D17" s="96">
        <f t="shared" si="0"/>
        <v>1995330</v>
      </c>
      <c r="E17" s="96"/>
      <c r="F17" s="96">
        <f t="shared" si="2"/>
        <v>1995330</v>
      </c>
      <c r="G17" s="119">
        <f>'Revenue Offset'!G16</f>
        <v>0.4746504215469754</v>
      </c>
      <c r="H17" s="120">
        <f t="shared" si="1"/>
        <v>1048245.7743746737</v>
      </c>
      <c r="J17" s="203"/>
    </row>
    <row r="18" spans="1:11" ht="15" customHeight="1" x14ac:dyDescent="0.2">
      <c r="A18" s="10" t="s">
        <v>18</v>
      </c>
      <c r="B18" s="121" t="s">
        <v>140</v>
      </c>
      <c r="C18" s="93">
        <v>386384</v>
      </c>
      <c r="D18" s="96">
        <f t="shared" si="0"/>
        <v>1931920</v>
      </c>
      <c r="E18" s="96"/>
      <c r="F18" s="96">
        <f t="shared" si="2"/>
        <v>1931920</v>
      </c>
      <c r="G18" s="119">
        <f>'Revenue Offset'!G17</f>
        <v>0.60477428435049685</v>
      </c>
      <c r="H18" s="120">
        <f t="shared" si="1"/>
        <v>763544.46457758814</v>
      </c>
      <c r="J18" s="203"/>
    </row>
    <row r="19" spans="1:11" ht="15" customHeight="1" x14ac:dyDescent="0.2">
      <c r="A19" s="10" t="s">
        <v>19</v>
      </c>
      <c r="B19" s="121" t="s">
        <v>129</v>
      </c>
      <c r="C19" s="93">
        <v>1005856</v>
      </c>
      <c r="D19" s="96">
        <f t="shared" si="0"/>
        <v>5029280</v>
      </c>
      <c r="E19" s="96"/>
      <c r="F19" s="96">
        <f t="shared" si="2"/>
        <v>5029280</v>
      </c>
      <c r="G19" s="119">
        <f>'Revenue Offset'!G18</f>
        <v>0.49407290039051827</v>
      </c>
      <c r="H19" s="120">
        <f t="shared" si="1"/>
        <v>2544449.0435239747</v>
      </c>
      <c r="J19" s="203"/>
    </row>
    <row r="20" spans="1:11" ht="15" customHeight="1" x14ac:dyDescent="0.2">
      <c r="A20" s="10" t="s">
        <v>21</v>
      </c>
      <c r="B20" s="121" t="s">
        <v>177</v>
      </c>
      <c r="C20" s="93">
        <f>100743+183316</f>
        <v>284059</v>
      </c>
      <c r="D20" s="96">
        <f t="shared" si="0"/>
        <v>1420295</v>
      </c>
      <c r="E20" s="96">
        <v>50000</v>
      </c>
      <c r="F20" s="96">
        <f t="shared" si="2"/>
        <v>1470295</v>
      </c>
      <c r="G20" s="119">
        <f>'Revenue Offset'!G19</f>
        <v>0.41295315778383335</v>
      </c>
      <c r="H20" s="120">
        <f t="shared" si="1"/>
        <v>863132.03687621874</v>
      </c>
      <c r="J20" s="203"/>
    </row>
    <row r="21" spans="1:11" ht="15" customHeight="1" x14ac:dyDescent="0.2">
      <c r="A21" s="37" t="s">
        <v>109</v>
      </c>
      <c r="B21" s="121" t="s">
        <v>141</v>
      </c>
      <c r="C21" s="93">
        <f>196824+165849+231919+131436</f>
        <v>726028</v>
      </c>
      <c r="D21" s="96">
        <f t="shared" si="0"/>
        <v>3630140</v>
      </c>
      <c r="E21" s="96">
        <v>150000</v>
      </c>
      <c r="F21" s="96">
        <f t="shared" si="2"/>
        <v>3780140</v>
      </c>
      <c r="G21" s="119">
        <f>'Revenue Offset'!G20</f>
        <v>0.46566472165938799</v>
      </c>
      <c r="H21" s="120">
        <f t="shared" si="1"/>
        <v>2019862.1590664811</v>
      </c>
      <c r="J21" s="203"/>
    </row>
    <row r="22" spans="1:11" ht="15" customHeight="1" x14ac:dyDescent="0.2">
      <c r="A22" s="10" t="s">
        <v>26</v>
      </c>
      <c r="B22" s="121" t="s">
        <v>62</v>
      </c>
      <c r="C22" s="93">
        <v>1148606</v>
      </c>
      <c r="D22" s="96">
        <f t="shared" si="0"/>
        <v>5743030</v>
      </c>
      <c r="E22" s="96"/>
      <c r="F22" s="96">
        <f t="shared" si="2"/>
        <v>5743030</v>
      </c>
      <c r="G22" s="119">
        <f>'Revenue Offset'!G21</f>
        <v>0.60106540911517325</v>
      </c>
      <c r="H22" s="120">
        <f t="shared" si="1"/>
        <v>2291093.3234892865</v>
      </c>
      <c r="J22" s="203"/>
    </row>
    <row r="23" spans="1:11" ht="15" customHeight="1" x14ac:dyDescent="0.2">
      <c r="A23" s="10" t="s">
        <v>22</v>
      </c>
      <c r="B23" s="121" t="s">
        <v>23</v>
      </c>
      <c r="C23" s="199">
        <v>1809355</v>
      </c>
      <c r="D23" s="96">
        <f t="shared" si="0"/>
        <v>9046775</v>
      </c>
      <c r="E23" s="96"/>
      <c r="F23" s="96">
        <f t="shared" si="2"/>
        <v>9046775</v>
      </c>
      <c r="G23" s="119">
        <f>'Revenue Offset'!G22</f>
        <v>0.65840774997756768</v>
      </c>
      <c r="H23" s="120">
        <f t="shared" si="1"/>
        <v>3090308.2276966902</v>
      </c>
      <c r="J23" s="203"/>
    </row>
    <row r="24" spans="1:11" ht="15" customHeight="1" x14ac:dyDescent="0.2">
      <c r="A24" s="10" t="s">
        <v>24</v>
      </c>
      <c r="B24" s="121" t="s">
        <v>137</v>
      </c>
      <c r="C24" s="93">
        <v>556363</v>
      </c>
      <c r="D24" s="96">
        <f t="shared" si="0"/>
        <v>2781815</v>
      </c>
      <c r="E24" s="96">
        <v>200000</v>
      </c>
      <c r="F24" s="96">
        <f t="shared" si="2"/>
        <v>2981815</v>
      </c>
      <c r="G24" s="119">
        <f>'Revenue Offset'!G23</f>
        <v>0.45130534250595672</v>
      </c>
      <c r="H24" s="120">
        <f t="shared" si="1"/>
        <v>1636105.9601356005</v>
      </c>
      <c r="J24" s="203"/>
    </row>
    <row r="25" spans="1:11" ht="15" customHeight="1" x14ac:dyDescent="0.2">
      <c r="A25" s="10" t="s">
        <v>27</v>
      </c>
      <c r="B25" s="121" t="s">
        <v>132</v>
      </c>
      <c r="C25" s="93">
        <v>566197</v>
      </c>
      <c r="D25" s="96">
        <f t="shared" si="0"/>
        <v>2830985</v>
      </c>
      <c r="E25" s="96"/>
      <c r="F25" s="96">
        <f t="shared" si="2"/>
        <v>2830985</v>
      </c>
      <c r="G25" s="119">
        <f>'Revenue Offset'!G24</f>
        <v>0.56288057914139755</v>
      </c>
      <c r="H25" s="120">
        <f t="shared" si="1"/>
        <v>1237478.5236593906</v>
      </c>
      <c r="J25" s="203"/>
    </row>
    <row r="26" spans="1:11" ht="15" customHeight="1" x14ac:dyDescent="0.2">
      <c r="A26" s="10" t="s">
        <v>29</v>
      </c>
      <c r="B26" s="121" t="s">
        <v>133</v>
      </c>
      <c r="C26" s="93">
        <v>490064</v>
      </c>
      <c r="D26" s="96">
        <f t="shared" si="0"/>
        <v>2450320</v>
      </c>
      <c r="E26" s="96"/>
      <c r="F26" s="96">
        <f t="shared" si="2"/>
        <v>2450320</v>
      </c>
      <c r="G26" s="119">
        <f>'Revenue Offset'!G25</f>
        <v>0.50318294909194183</v>
      </c>
      <c r="H26" s="120">
        <f t="shared" si="1"/>
        <v>1217360.7561810331</v>
      </c>
      <c r="J26" s="203"/>
    </row>
    <row r="27" spans="1:11" ht="15" customHeight="1" x14ac:dyDescent="0.2">
      <c r="A27" s="37" t="s">
        <v>118</v>
      </c>
      <c r="B27" s="121" t="s">
        <v>63</v>
      </c>
      <c r="C27" s="200">
        <f>305158+188416+97173+132211+96361+124080</f>
        <v>943399</v>
      </c>
      <c r="D27" s="96">
        <f t="shared" si="0"/>
        <v>4716995</v>
      </c>
      <c r="E27" s="96">
        <v>250000</v>
      </c>
      <c r="F27" s="96">
        <f>D27+E27</f>
        <v>4966995</v>
      </c>
      <c r="G27" s="119">
        <f>'Revenue Offset'!G26</f>
        <v>0.44045886889908031</v>
      </c>
      <c r="H27" s="120">
        <f t="shared" si="1"/>
        <v>2779238.0004726127</v>
      </c>
      <c r="J27" s="203"/>
    </row>
    <row r="28" spans="1:11" ht="15" customHeight="1" x14ac:dyDescent="0.2">
      <c r="A28" s="10" t="s">
        <v>31</v>
      </c>
      <c r="B28" s="121" t="s">
        <v>134</v>
      </c>
      <c r="C28" s="93">
        <f>171244+320041</f>
        <v>491285</v>
      </c>
      <c r="D28" s="96">
        <f t="shared" si="0"/>
        <v>2456425</v>
      </c>
      <c r="E28" s="96">
        <v>50000</v>
      </c>
      <c r="F28" s="96">
        <f t="shared" si="2"/>
        <v>2506425</v>
      </c>
      <c r="G28" s="119">
        <f>'Revenue Offset'!G27</f>
        <v>0.44348139651553148</v>
      </c>
      <c r="H28" s="120">
        <f t="shared" si="1"/>
        <v>1394872.140738559</v>
      </c>
      <c r="J28" s="203"/>
    </row>
    <row r="29" spans="1:11" ht="15" customHeight="1" x14ac:dyDescent="0.2">
      <c r="A29" s="10" t="s">
        <v>33</v>
      </c>
      <c r="B29" s="121" t="s">
        <v>130</v>
      </c>
      <c r="C29" s="93">
        <v>112270</v>
      </c>
      <c r="D29" s="96">
        <f t="shared" si="0"/>
        <v>561350</v>
      </c>
      <c r="E29" s="96"/>
      <c r="F29" s="96">
        <f t="shared" si="2"/>
        <v>561350</v>
      </c>
      <c r="G29" s="119">
        <f>'Revenue Offset'!G28</f>
        <v>0.380324902041413</v>
      </c>
      <c r="H29" s="120">
        <f t="shared" si="1"/>
        <v>347854.61623905279</v>
      </c>
      <c r="J29" s="203"/>
      <c r="K29" s="55"/>
    </row>
    <row r="30" spans="1:11" ht="15" customHeight="1" x14ac:dyDescent="0.2">
      <c r="A30" s="10" t="s">
        <v>35</v>
      </c>
      <c r="B30" s="121" t="s">
        <v>36</v>
      </c>
      <c r="C30" s="93">
        <f>195906+476819</f>
        <v>672725</v>
      </c>
      <c r="D30" s="96">
        <f t="shared" si="0"/>
        <v>3363625</v>
      </c>
      <c r="E30" s="96">
        <v>50000</v>
      </c>
      <c r="F30" s="96">
        <f t="shared" si="2"/>
        <v>3413625</v>
      </c>
      <c r="G30" s="119">
        <f>'Revenue Offset'!G29</f>
        <v>0.46032326616888825</v>
      </c>
      <c r="H30" s="120">
        <f t="shared" si="1"/>
        <v>1842253.9905242287</v>
      </c>
      <c r="J30" s="203"/>
    </row>
    <row r="31" spans="1:11" ht="15" customHeight="1" x14ac:dyDescent="0.2">
      <c r="A31" s="10" t="s">
        <v>37</v>
      </c>
      <c r="B31" s="121" t="s">
        <v>131</v>
      </c>
      <c r="C31" s="93">
        <f>146322+361379+27571-8000</f>
        <v>527272</v>
      </c>
      <c r="D31" s="96">
        <f t="shared" si="0"/>
        <v>2636360</v>
      </c>
      <c r="E31" s="96">
        <v>100000</v>
      </c>
      <c r="F31" s="96">
        <f t="shared" si="2"/>
        <v>2736360</v>
      </c>
      <c r="G31" s="119">
        <f>'Revenue Offset'!G30</f>
        <v>0.49130897549732494</v>
      </c>
      <c r="H31" s="120">
        <f t="shared" si="1"/>
        <v>1391961.7718081397</v>
      </c>
      <c r="J31" s="203"/>
    </row>
    <row r="32" spans="1:11" ht="15" customHeight="1" x14ac:dyDescent="0.2">
      <c r="A32" s="10" t="s">
        <v>39</v>
      </c>
      <c r="B32" s="121" t="s">
        <v>135</v>
      </c>
      <c r="C32" s="93">
        <v>635137</v>
      </c>
      <c r="D32" s="96">
        <f t="shared" si="0"/>
        <v>3175685</v>
      </c>
      <c r="E32" s="96"/>
      <c r="F32" s="96">
        <f t="shared" si="2"/>
        <v>3175685</v>
      </c>
      <c r="G32" s="119">
        <f>'Revenue Offset'!G31</f>
        <v>0.52140415580283517</v>
      </c>
      <c r="H32" s="120">
        <f t="shared" si="1"/>
        <v>1519869.6434792734</v>
      </c>
      <c r="J32" s="203"/>
    </row>
    <row r="33" spans="1:10" ht="15" customHeight="1" x14ac:dyDescent="0.2">
      <c r="A33" s="10" t="s">
        <v>46</v>
      </c>
      <c r="B33" s="121" t="s">
        <v>70</v>
      </c>
      <c r="C33" s="93">
        <v>557150</v>
      </c>
      <c r="D33" s="96">
        <f t="shared" si="0"/>
        <v>2785750</v>
      </c>
      <c r="E33" s="96"/>
      <c r="F33" s="96">
        <f t="shared" si="2"/>
        <v>2785750</v>
      </c>
      <c r="G33" s="119">
        <f>'Revenue Offset'!G32</f>
        <v>0.51643028773127342</v>
      </c>
      <c r="H33" s="120">
        <f t="shared" si="1"/>
        <v>1347104.3259526051</v>
      </c>
      <c r="J33" s="203"/>
    </row>
    <row r="34" spans="1:10" ht="15" customHeight="1" x14ac:dyDescent="0.2">
      <c r="A34" s="10" t="s">
        <v>41</v>
      </c>
      <c r="B34" s="121" t="s">
        <v>117</v>
      </c>
      <c r="C34" s="93">
        <f>110367+302315</f>
        <v>412682</v>
      </c>
      <c r="D34" s="96">
        <f t="shared" si="0"/>
        <v>2063410</v>
      </c>
      <c r="E34" s="96">
        <v>50000</v>
      </c>
      <c r="F34" s="96">
        <f t="shared" si="2"/>
        <v>2113410</v>
      </c>
      <c r="G34" s="119">
        <f>'Revenue Offset'!G33</f>
        <v>0.45304319568106771</v>
      </c>
      <c r="H34" s="120">
        <f t="shared" si="1"/>
        <v>1155943.9798156747</v>
      </c>
      <c r="J34" s="203"/>
    </row>
    <row r="35" spans="1:10" ht="15" customHeight="1" x14ac:dyDescent="0.2">
      <c r="A35" s="10" t="s">
        <v>42</v>
      </c>
      <c r="B35" s="121" t="s">
        <v>69</v>
      </c>
      <c r="C35" s="93">
        <v>801231</v>
      </c>
      <c r="D35" s="96">
        <f t="shared" si="0"/>
        <v>4006155</v>
      </c>
      <c r="E35" s="96"/>
      <c r="F35" s="96">
        <f t="shared" si="2"/>
        <v>4006155</v>
      </c>
      <c r="G35" s="119">
        <f>'Revenue Offset'!G34</f>
        <v>0.51707333893728968</v>
      </c>
      <c r="H35" s="120">
        <f t="shared" si="1"/>
        <v>1934679.0578496822</v>
      </c>
      <c r="J35" s="203"/>
    </row>
    <row r="36" spans="1:10" ht="15" customHeight="1" x14ac:dyDescent="0.2">
      <c r="A36" s="10" t="s">
        <v>43</v>
      </c>
      <c r="B36" s="121" t="s">
        <v>44</v>
      </c>
      <c r="C36" s="93">
        <v>2097032</v>
      </c>
      <c r="D36" s="96">
        <f t="shared" si="0"/>
        <v>10485160</v>
      </c>
      <c r="E36" s="96"/>
      <c r="F36" s="96">
        <f t="shared" si="2"/>
        <v>10485160</v>
      </c>
      <c r="G36" s="119">
        <f>'Revenue Offset'!G35</f>
        <v>0.57438643744397688</v>
      </c>
      <c r="H36" s="120">
        <f t="shared" si="1"/>
        <v>4462626.3015699117</v>
      </c>
      <c r="J36" s="203"/>
    </row>
    <row r="37" spans="1:10" ht="15" customHeight="1" x14ac:dyDescent="0.2">
      <c r="A37" s="10" t="s">
        <v>45</v>
      </c>
      <c r="B37" s="121" t="s">
        <v>136</v>
      </c>
      <c r="C37" s="93">
        <v>502694</v>
      </c>
      <c r="D37" s="96">
        <f t="shared" si="0"/>
        <v>2513470</v>
      </c>
      <c r="E37" s="96"/>
      <c r="F37" s="96">
        <f t="shared" si="2"/>
        <v>2513470</v>
      </c>
      <c r="G37" s="119">
        <f>'Revenue Offset'!G36</f>
        <v>0.51691673131840032</v>
      </c>
      <c r="H37" s="120">
        <f t="shared" si="1"/>
        <v>1214215.3033331404</v>
      </c>
      <c r="J37" s="203"/>
    </row>
    <row r="38" spans="1:10" ht="15" customHeight="1" x14ac:dyDescent="0.2">
      <c r="A38" s="10" t="s">
        <v>47</v>
      </c>
      <c r="B38" s="121" t="s">
        <v>48</v>
      </c>
      <c r="C38" s="93">
        <v>1266691</v>
      </c>
      <c r="D38" s="96">
        <f t="shared" si="0"/>
        <v>6333455</v>
      </c>
      <c r="E38" s="96"/>
      <c r="F38" s="96">
        <f t="shared" si="2"/>
        <v>6333455</v>
      </c>
      <c r="G38" s="119">
        <f>'Revenue Offset'!G37</f>
        <v>0.60938273428233869</v>
      </c>
      <c r="H38" s="120">
        <f t="shared" si="1"/>
        <v>2473956.8746458506</v>
      </c>
      <c r="J38" s="203"/>
    </row>
    <row r="39" spans="1:10" s="58" customFormat="1" ht="15" customHeight="1" x14ac:dyDescent="0.2">
      <c r="A39" s="122"/>
      <c r="B39" s="123"/>
      <c r="C39" s="201"/>
      <c r="D39" s="99"/>
      <c r="E39" s="95"/>
      <c r="F39" s="99"/>
      <c r="H39" s="124"/>
      <c r="I39" s="400"/>
    </row>
    <row r="40" spans="1:10" s="125" customFormat="1" ht="15" customHeight="1" x14ac:dyDescent="0.2">
      <c r="B40" s="126" t="s">
        <v>49</v>
      </c>
      <c r="C40" s="94">
        <f>SUM(C9:C38)</f>
        <v>21993779</v>
      </c>
      <c r="D40" s="94">
        <f>SUM(D9:D38)</f>
        <v>109968895</v>
      </c>
      <c r="E40" s="94">
        <f>SUM(E9:E38)</f>
        <v>1200000</v>
      </c>
      <c r="F40" s="94">
        <f>SUM(F9:F38)</f>
        <v>111168895</v>
      </c>
      <c r="G40" s="127">
        <f>'Revenue Offset'!G39</f>
        <v>0.54077118802727586</v>
      </c>
      <c r="H40" s="94">
        <f>SUM(H9:H38)</f>
        <v>53018969.955209792</v>
      </c>
    </row>
    <row r="42" spans="1:10" ht="12" customHeight="1" x14ac:dyDescent="0.2">
      <c r="B42" s="128"/>
      <c r="D42" s="52"/>
    </row>
    <row r="43" spans="1:10" ht="12" customHeight="1" x14ac:dyDescent="0.2">
      <c r="A43" s="129"/>
      <c r="D43" s="52"/>
    </row>
    <row r="44" spans="1:10" ht="15" customHeight="1" x14ac:dyDescent="0.2">
      <c r="A44" s="16" t="s">
        <v>320</v>
      </c>
      <c r="B44" s="130"/>
    </row>
    <row r="45" spans="1:10" ht="15" customHeight="1" x14ac:dyDescent="0.2">
      <c r="A45" s="129" t="str">
        <f>'FY2015 Detail'!B40</f>
        <v>s:\finance\bargain\FY22 allocation\Summary of FY2022 Institutional Allocation Draft</v>
      </c>
      <c r="B45" s="130"/>
    </row>
    <row r="46" spans="1:10" ht="15" customHeight="1" x14ac:dyDescent="0.2">
      <c r="A46" s="129"/>
      <c r="B46" s="130"/>
      <c r="E46" s="107"/>
      <c r="H46" s="54"/>
    </row>
    <row r="47" spans="1:10" ht="15" customHeight="1" x14ac:dyDescent="0.2">
      <c r="C47" s="55"/>
      <c r="E47" s="107"/>
      <c r="H47" s="54"/>
    </row>
    <row r="48" spans="1:10" ht="15" customHeight="1" x14ac:dyDescent="0.2">
      <c r="E48" s="107"/>
      <c r="H48" s="54"/>
    </row>
    <row r="49" spans="5:8" ht="15" customHeight="1" x14ac:dyDescent="0.2">
      <c r="E49" s="107"/>
      <c r="H49" s="54"/>
    </row>
  </sheetData>
  <mergeCells count="5">
    <mergeCell ref="F5:F7"/>
    <mergeCell ref="G5:G7"/>
    <mergeCell ref="H5:H7"/>
    <mergeCell ref="E5:E6"/>
    <mergeCell ref="D5:D6"/>
  </mergeCells>
  <phoneticPr fontId="11" type="noConversion"/>
  <pageMargins left="0.42" right="0.19" top="0.37" bottom="0.15" header="0.36" footer="0.16"/>
  <pageSetup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42"/>
  <sheetViews>
    <sheetView topLeftCell="A2" zoomScale="80" zoomScaleNormal="80" workbookViewId="0">
      <selection activeCell="A41" sqref="A41"/>
    </sheetView>
  </sheetViews>
  <sheetFormatPr defaultRowHeight="12.75" x14ac:dyDescent="0.2"/>
  <cols>
    <col min="1" max="1" width="6.85546875" customWidth="1"/>
    <col min="2" max="2" width="33.5703125" customWidth="1"/>
    <col min="3" max="3" width="16.7109375" customWidth="1"/>
    <col min="4" max="4" width="17.42578125" customWidth="1"/>
    <col min="5" max="5" width="13.140625" customWidth="1"/>
    <col min="10" max="12" width="0" hidden="1" customWidth="1"/>
  </cols>
  <sheetData>
    <row r="1" spans="1:12" ht="15" customHeight="1" x14ac:dyDescent="0.25">
      <c r="A1" s="36" t="s">
        <v>254</v>
      </c>
      <c r="E1" s="448" t="s">
        <v>285</v>
      </c>
    </row>
    <row r="2" spans="1:12" ht="15" customHeight="1" x14ac:dyDescent="0.2">
      <c r="A2" s="4" t="s">
        <v>178</v>
      </c>
    </row>
    <row r="3" spans="1:12" ht="15" customHeight="1" x14ac:dyDescent="0.2">
      <c r="A3" s="4" t="s">
        <v>310</v>
      </c>
    </row>
    <row r="4" spans="1:12" ht="15" customHeight="1" x14ac:dyDescent="0.2">
      <c r="C4" s="205" t="s">
        <v>79</v>
      </c>
      <c r="D4" s="205" t="s">
        <v>74</v>
      </c>
      <c r="E4" s="205" t="s">
        <v>75</v>
      </c>
    </row>
    <row r="5" spans="1:12" ht="61.5" customHeight="1" x14ac:dyDescent="0.2">
      <c r="A5" s="215" t="s">
        <v>0</v>
      </c>
      <c r="B5" s="216" t="s">
        <v>83</v>
      </c>
      <c r="C5" s="215" t="s">
        <v>179</v>
      </c>
      <c r="D5" s="31" t="s">
        <v>180</v>
      </c>
      <c r="E5" s="30" t="s">
        <v>147</v>
      </c>
    </row>
    <row r="6" spans="1:12" ht="15" customHeight="1" x14ac:dyDescent="0.2">
      <c r="B6" s="34"/>
      <c r="D6" s="11"/>
      <c r="L6">
        <f>G6-I6</f>
        <v>0</v>
      </c>
    </row>
    <row r="7" spans="1:12" ht="15" customHeight="1" x14ac:dyDescent="0.2">
      <c r="A7" s="218" t="s">
        <v>2</v>
      </c>
      <c r="B7" s="219" t="s">
        <v>128</v>
      </c>
      <c r="C7" s="220">
        <f>'3rd Term Expected'!J6</f>
        <v>310000</v>
      </c>
      <c r="D7" s="220">
        <f>'Improvement Allocation'!H6</f>
        <v>24000</v>
      </c>
      <c r="E7" s="220">
        <f>C7+D7</f>
        <v>334000</v>
      </c>
      <c r="G7" s="302"/>
    </row>
    <row r="8" spans="1:12" s="54" customFormat="1" ht="15" customHeight="1" x14ac:dyDescent="0.2">
      <c r="A8" s="218" t="s">
        <v>4</v>
      </c>
      <c r="B8" s="219" t="s">
        <v>124</v>
      </c>
      <c r="C8" s="222">
        <f>'3rd Term Expected'!J7+'3rd Term Expected'!J8</f>
        <v>140000</v>
      </c>
      <c r="D8" s="223">
        <f>'Improvement Allocation'!H7+'Improvement Allocation'!H8</f>
        <v>68000</v>
      </c>
      <c r="E8" s="220">
        <f t="shared" ref="E8:E36" si="0">C8+D8</f>
        <v>208000</v>
      </c>
      <c r="G8" s="302"/>
    </row>
    <row r="9" spans="1:12" ht="15" customHeight="1" x14ac:dyDescent="0.2">
      <c r="A9" s="218" t="s">
        <v>5</v>
      </c>
      <c r="B9" s="219" t="s">
        <v>113</v>
      </c>
      <c r="C9" s="224">
        <f>'3rd Term Expected'!J29+'3rd Term Expected'!J38</f>
        <v>20000</v>
      </c>
      <c r="D9" s="224">
        <f>'Improvement Allocation'!H29+'Improvement Allocation'!H38</f>
        <v>28000</v>
      </c>
      <c r="E9" s="220">
        <f t="shared" si="0"/>
        <v>48000</v>
      </c>
      <c r="G9" s="302"/>
    </row>
    <row r="10" spans="1:12" ht="15" customHeight="1" x14ac:dyDescent="0.2">
      <c r="A10" s="218" t="s">
        <v>6</v>
      </c>
      <c r="B10" s="219" t="s">
        <v>7</v>
      </c>
      <c r="C10" s="220">
        <f>'3rd Term Expected'!J9</f>
        <v>0</v>
      </c>
      <c r="D10" s="220">
        <f>'Improvement Allocation'!H9</f>
        <v>0</v>
      </c>
      <c r="E10" s="220">
        <f t="shared" si="0"/>
        <v>0</v>
      </c>
      <c r="G10" s="302"/>
    </row>
    <row r="11" spans="1:12" ht="15" customHeight="1" x14ac:dyDescent="0.2">
      <c r="A11" s="218" t="s">
        <v>8</v>
      </c>
      <c r="B11" s="219" t="s">
        <v>9</v>
      </c>
      <c r="C11" s="220">
        <f>'3rd Term Expected'!J10</f>
        <v>0</v>
      </c>
      <c r="D11" s="220">
        <f>'Improvement Allocation'!H10</f>
        <v>0</v>
      </c>
      <c r="E11" s="220">
        <f t="shared" si="0"/>
        <v>0</v>
      </c>
      <c r="G11" s="302"/>
    </row>
    <row r="12" spans="1:12" ht="15" customHeight="1" x14ac:dyDescent="0.2">
      <c r="A12" s="218" t="s">
        <v>10</v>
      </c>
      <c r="B12" s="3" t="s">
        <v>146</v>
      </c>
      <c r="C12" s="220">
        <f>'3rd Term Expected'!J11+'3rd Term Expected'!J14</f>
        <v>460000</v>
      </c>
      <c r="D12" s="220">
        <f>'Improvement Allocation'!H11+'Improvement Allocation'!H14</f>
        <v>32000</v>
      </c>
      <c r="E12" s="220">
        <f t="shared" si="0"/>
        <v>492000</v>
      </c>
      <c r="G12" s="302"/>
    </row>
    <row r="13" spans="1:12" ht="15" customHeight="1" x14ac:dyDescent="0.2">
      <c r="A13" s="218" t="s">
        <v>12</v>
      </c>
      <c r="B13" s="219" t="s">
        <v>13</v>
      </c>
      <c r="C13" s="220">
        <f>'3rd Term Expected'!J12</f>
        <v>0</v>
      </c>
      <c r="D13" s="220">
        <f>'Improvement Allocation'!H12</f>
        <v>0</v>
      </c>
      <c r="E13" s="220">
        <f t="shared" si="0"/>
        <v>0</v>
      </c>
      <c r="G13" s="302"/>
    </row>
    <row r="14" spans="1:12" ht="15" customHeight="1" x14ac:dyDescent="0.2">
      <c r="A14" s="218" t="s">
        <v>14</v>
      </c>
      <c r="B14" s="219" t="s">
        <v>139</v>
      </c>
      <c r="C14" s="220">
        <f>'3rd Term Expected'!J13</f>
        <v>250000</v>
      </c>
      <c r="D14" s="220">
        <f>'Improvement Allocation'!H13</f>
        <v>96000</v>
      </c>
      <c r="E14" s="220">
        <f t="shared" si="0"/>
        <v>346000</v>
      </c>
      <c r="G14" s="302"/>
    </row>
    <row r="15" spans="1:12" ht="15" customHeight="1" x14ac:dyDescent="0.2">
      <c r="A15" s="218" t="s">
        <v>16</v>
      </c>
      <c r="B15" s="219" t="s">
        <v>17</v>
      </c>
      <c r="C15" s="220">
        <f>'3rd Term Expected'!J15</f>
        <v>280000</v>
      </c>
      <c r="D15" s="220">
        <f>'Improvement Allocation'!H15</f>
        <v>0</v>
      </c>
      <c r="E15" s="220">
        <f t="shared" si="0"/>
        <v>280000</v>
      </c>
      <c r="G15" s="302"/>
    </row>
    <row r="16" spans="1:12" ht="15" customHeight="1" x14ac:dyDescent="0.2">
      <c r="A16" s="218" t="s">
        <v>18</v>
      </c>
      <c r="B16" s="219" t="s">
        <v>140</v>
      </c>
      <c r="C16" s="220">
        <f>'3rd Term Expected'!J39</f>
        <v>390000</v>
      </c>
      <c r="D16" s="220">
        <f>'Improvement Allocation'!H39</f>
        <v>48000</v>
      </c>
      <c r="E16" s="220">
        <f t="shared" si="0"/>
        <v>438000</v>
      </c>
      <c r="G16" s="302"/>
    </row>
    <row r="17" spans="1:7" ht="15" customHeight="1" x14ac:dyDescent="0.2">
      <c r="A17" s="218" t="s">
        <v>19</v>
      </c>
      <c r="B17" s="219" t="s">
        <v>129</v>
      </c>
      <c r="C17" s="220">
        <f>'3rd Term Expected'!J16</f>
        <v>0</v>
      </c>
      <c r="D17" s="220">
        <f>'Improvement Allocation'!H16</f>
        <v>112000</v>
      </c>
      <c r="E17" s="220">
        <f t="shared" si="0"/>
        <v>112000</v>
      </c>
      <c r="G17" s="302"/>
    </row>
    <row r="18" spans="1:7" ht="15" customHeight="1" x14ac:dyDescent="0.2">
      <c r="A18" s="218" t="s">
        <v>21</v>
      </c>
      <c r="B18" s="225" t="s">
        <v>177</v>
      </c>
      <c r="C18" s="220">
        <f>'3rd Term Expected'!J17</f>
        <v>0</v>
      </c>
      <c r="D18" s="220">
        <f>'Improvement Allocation'!H17</f>
        <v>16000</v>
      </c>
      <c r="E18" s="220">
        <f t="shared" si="0"/>
        <v>16000</v>
      </c>
      <c r="G18" s="302"/>
    </row>
    <row r="19" spans="1:7" ht="15" customHeight="1" x14ac:dyDescent="0.2">
      <c r="A19" s="218" t="s">
        <v>109</v>
      </c>
      <c r="B19" s="219" t="s">
        <v>141</v>
      </c>
      <c r="C19" s="220">
        <f>'3rd Term Expected'!J18</f>
        <v>130000</v>
      </c>
      <c r="D19" s="220">
        <f>'Improvement Allocation'!H18</f>
        <v>0</v>
      </c>
      <c r="E19" s="220">
        <f t="shared" si="0"/>
        <v>130000</v>
      </c>
      <c r="G19" s="302"/>
    </row>
    <row r="20" spans="1:7" ht="15" customHeight="1" x14ac:dyDescent="0.2">
      <c r="A20" s="218" t="s">
        <v>26</v>
      </c>
      <c r="B20" s="219" t="s">
        <v>62</v>
      </c>
      <c r="C20" s="220">
        <f>'3rd Term Expected'!J41</f>
        <v>0</v>
      </c>
      <c r="D20" s="220">
        <f>'Improvement Allocation'!H41</f>
        <v>0</v>
      </c>
      <c r="E20" s="220">
        <f t="shared" si="0"/>
        <v>0</v>
      </c>
      <c r="G20" s="302"/>
    </row>
    <row r="21" spans="1:7" ht="15" customHeight="1" x14ac:dyDescent="0.2">
      <c r="A21" s="218" t="s">
        <v>22</v>
      </c>
      <c r="B21" s="219" t="s">
        <v>23</v>
      </c>
      <c r="C21" s="220">
        <f>'3rd Term Expected'!J40</f>
        <v>0</v>
      </c>
      <c r="D21" s="220">
        <f>'Improvement Allocation'!H40</f>
        <v>44000</v>
      </c>
      <c r="E21" s="220">
        <f t="shared" si="0"/>
        <v>44000</v>
      </c>
      <c r="G21" s="302"/>
    </row>
    <row r="22" spans="1:7" ht="15" customHeight="1" x14ac:dyDescent="0.2">
      <c r="A22" s="218" t="s">
        <v>24</v>
      </c>
      <c r="B22" s="219" t="s">
        <v>137</v>
      </c>
      <c r="C22" s="220">
        <f>'3rd Term Expected'!J19</f>
        <v>240000</v>
      </c>
      <c r="D22" s="220">
        <f>'Improvement Allocation'!H19</f>
        <v>92000</v>
      </c>
      <c r="E22" s="220">
        <f t="shared" si="0"/>
        <v>332000</v>
      </c>
      <c r="G22" s="302"/>
    </row>
    <row r="23" spans="1:7" ht="15" customHeight="1" x14ac:dyDescent="0.2">
      <c r="A23" s="218" t="s">
        <v>27</v>
      </c>
      <c r="B23" s="219" t="s">
        <v>132</v>
      </c>
      <c r="C23" s="220">
        <f>'3rd Term Expected'!J20</f>
        <v>210000</v>
      </c>
      <c r="D23" s="220">
        <f>'Improvement Allocation'!H20</f>
        <v>64000</v>
      </c>
      <c r="E23" s="220">
        <f t="shared" si="0"/>
        <v>274000</v>
      </c>
      <c r="G23" s="302"/>
    </row>
    <row r="24" spans="1:7" ht="15" customHeight="1" x14ac:dyDescent="0.2">
      <c r="A24" s="218" t="s">
        <v>29</v>
      </c>
      <c r="B24" s="219" t="s">
        <v>133</v>
      </c>
      <c r="C24" s="220">
        <f>'3rd Term Expected'!J21</f>
        <v>180000</v>
      </c>
      <c r="D24" s="220">
        <f>'Improvement Allocation'!H21</f>
        <v>0</v>
      </c>
      <c r="E24" s="220">
        <f t="shared" si="0"/>
        <v>180000</v>
      </c>
      <c r="G24" s="302"/>
    </row>
    <row r="25" spans="1:7" ht="15" customHeight="1" x14ac:dyDescent="0.2">
      <c r="A25" s="218" t="s">
        <v>118</v>
      </c>
      <c r="B25" s="219" t="s">
        <v>63</v>
      </c>
      <c r="C25" s="224">
        <f>'3rd Term Expected'!J22</f>
        <v>240000</v>
      </c>
      <c r="D25" s="224">
        <f>'Improvement Allocation'!H22</f>
        <v>0</v>
      </c>
      <c r="E25" s="220">
        <f t="shared" si="0"/>
        <v>240000</v>
      </c>
      <c r="G25" s="302"/>
    </row>
    <row r="26" spans="1:7" ht="15" customHeight="1" x14ac:dyDescent="0.2">
      <c r="A26" s="218" t="s">
        <v>31</v>
      </c>
      <c r="B26" s="219" t="s">
        <v>134</v>
      </c>
      <c r="C26" s="220">
        <f>'3rd Term Expected'!J28</f>
        <v>130000</v>
      </c>
      <c r="D26" s="220">
        <f>'Improvement Allocation'!H28</f>
        <v>72000</v>
      </c>
      <c r="E26" s="220">
        <f t="shared" si="0"/>
        <v>202000</v>
      </c>
      <c r="G26" s="302"/>
    </row>
    <row r="27" spans="1:7" ht="15" customHeight="1" x14ac:dyDescent="0.2">
      <c r="A27" s="218" t="s">
        <v>33</v>
      </c>
      <c r="B27" s="219" t="s">
        <v>130</v>
      </c>
      <c r="C27" s="220">
        <f>'3rd Term Expected'!J30</f>
        <v>0</v>
      </c>
      <c r="D27" s="220">
        <f>'Improvement Allocation'!H30</f>
        <v>4000</v>
      </c>
      <c r="E27" s="220">
        <f t="shared" si="0"/>
        <v>4000</v>
      </c>
      <c r="G27" s="302"/>
    </row>
    <row r="28" spans="1:7" ht="15" customHeight="1" x14ac:dyDescent="0.2">
      <c r="A28" s="218" t="s">
        <v>35</v>
      </c>
      <c r="B28" s="219" t="s">
        <v>36</v>
      </c>
      <c r="C28" s="220">
        <f>'3rd Term Expected'!J31</f>
        <v>470000</v>
      </c>
      <c r="D28" s="220">
        <f>'Improvement Allocation'!H31</f>
        <v>68000</v>
      </c>
      <c r="E28" s="220">
        <f t="shared" si="0"/>
        <v>538000</v>
      </c>
      <c r="G28" s="302"/>
    </row>
    <row r="29" spans="1:7" ht="15" customHeight="1" x14ac:dyDescent="0.2">
      <c r="A29" s="218" t="s">
        <v>37</v>
      </c>
      <c r="B29" s="219" t="s">
        <v>131</v>
      </c>
      <c r="C29" s="220">
        <f>'3rd Term Expected'!J32</f>
        <v>90000</v>
      </c>
      <c r="D29" s="220">
        <f>'Improvement Allocation'!H32</f>
        <v>64000</v>
      </c>
      <c r="E29" s="220">
        <f t="shared" si="0"/>
        <v>154000</v>
      </c>
      <c r="G29" s="302"/>
    </row>
    <row r="30" spans="1:7" ht="15" customHeight="1" x14ac:dyDescent="0.2">
      <c r="A30" s="218" t="s">
        <v>39</v>
      </c>
      <c r="B30" s="219" t="s">
        <v>135</v>
      </c>
      <c r="C30" s="220">
        <f>'3rd Term Expected'!J33</f>
        <v>0</v>
      </c>
      <c r="D30" s="220">
        <f>'Improvement Allocation'!H33</f>
        <v>0</v>
      </c>
      <c r="E30" s="220">
        <f t="shared" si="0"/>
        <v>0</v>
      </c>
      <c r="G30" s="302"/>
    </row>
    <row r="31" spans="1:7" ht="15" customHeight="1" x14ac:dyDescent="0.2">
      <c r="A31" s="218" t="s">
        <v>46</v>
      </c>
      <c r="B31" s="219" t="s">
        <v>70</v>
      </c>
      <c r="C31" s="220">
        <f>'3rd Term Expected'!J35</f>
        <v>600000</v>
      </c>
      <c r="D31" s="220">
        <f>'Improvement Allocation'!H35</f>
        <v>208000</v>
      </c>
      <c r="E31" s="220">
        <f t="shared" si="0"/>
        <v>808000</v>
      </c>
      <c r="G31" s="302"/>
    </row>
    <row r="32" spans="1:7" ht="15" customHeight="1" x14ac:dyDescent="0.2">
      <c r="A32" s="218" t="s">
        <v>41</v>
      </c>
      <c r="B32" s="219" t="s">
        <v>117</v>
      </c>
      <c r="C32" s="220">
        <f>'3rd Term Expected'!J36</f>
        <v>110000</v>
      </c>
      <c r="D32" s="220">
        <f>'Improvement Allocation'!H36</f>
        <v>0</v>
      </c>
      <c r="E32" s="220">
        <f t="shared" si="0"/>
        <v>110000</v>
      </c>
      <c r="G32" s="302"/>
    </row>
    <row r="33" spans="1:9" ht="15" customHeight="1" x14ac:dyDescent="0.2">
      <c r="A33" s="218" t="s">
        <v>42</v>
      </c>
      <c r="B33" s="219" t="s">
        <v>69</v>
      </c>
      <c r="C33" s="220">
        <f>'3rd Term Expected'!J43</f>
        <v>0</v>
      </c>
      <c r="D33" s="220">
        <f>'Improvement Allocation'!H43</f>
        <v>28000</v>
      </c>
      <c r="E33" s="220">
        <f t="shared" si="0"/>
        <v>28000</v>
      </c>
      <c r="G33" s="302"/>
    </row>
    <row r="34" spans="1:9" ht="15" customHeight="1" x14ac:dyDescent="0.2">
      <c r="A34" s="218" t="s">
        <v>43</v>
      </c>
      <c r="B34" s="219" t="s">
        <v>44</v>
      </c>
      <c r="C34" s="220">
        <f>'3rd Term Expected'!J42</f>
        <v>0</v>
      </c>
      <c r="D34" s="220">
        <f>'Improvement Allocation'!H42</f>
        <v>0</v>
      </c>
      <c r="E34" s="220">
        <f t="shared" si="0"/>
        <v>0</v>
      </c>
      <c r="G34" s="302"/>
    </row>
    <row r="35" spans="1:9" ht="15" customHeight="1" x14ac:dyDescent="0.2">
      <c r="A35" s="218" t="s">
        <v>45</v>
      </c>
      <c r="B35" s="219" t="s">
        <v>136</v>
      </c>
      <c r="C35" s="220">
        <f>'3rd Term Expected'!J34</f>
        <v>0</v>
      </c>
      <c r="D35" s="220">
        <f>'Improvement Allocation'!H34</f>
        <v>60000</v>
      </c>
      <c r="E35" s="220">
        <f t="shared" si="0"/>
        <v>60000</v>
      </c>
      <c r="G35" s="302"/>
    </row>
    <row r="36" spans="1:9" ht="15" customHeight="1" x14ac:dyDescent="0.2">
      <c r="A36" s="218" t="s">
        <v>47</v>
      </c>
      <c r="B36" s="219" t="s">
        <v>48</v>
      </c>
      <c r="C36" s="220">
        <f>'3rd Term Expected'!J44</f>
        <v>0</v>
      </c>
      <c r="D36" s="220">
        <f>'Improvement Allocation'!H44</f>
        <v>0</v>
      </c>
      <c r="E36" s="220">
        <f t="shared" si="0"/>
        <v>0</v>
      </c>
      <c r="G36" s="302"/>
    </row>
    <row r="37" spans="1:9" ht="15" customHeight="1" x14ac:dyDescent="0.2">
      <c r="D37" s="11"/>
      <c r="G37" s="15"/>
      <c r="I37" s="6"/>
    </row>
    <row r="38" spans="1:9" ht="15" customHeight="1" x14ac:dyDescent="0.2">
      <c r="B38" t="s">
        <v>49</v>
      </c>
      <c r="C38" s="226">
        <f>SUM(C7:C37)</f>
        <v>4250000</v>
      </c>
      <c r="D38" s="226">
        <f>SUM(D7:D37)</f>
        <v>1128000</v>
      </c>
      <c r="E38" s="226">
        <f>SUM(E7:E37)</f>
        <v>5378000</v>
      </c>
    </row>
    <row r="40" spans="1:9" ht="15" customHeight="1" x14ac:dyDescent="0.2">
      <c r="A40" s="16" t="s">
        <v>320</v>
      </c>
    </row>
    <row r="41" spans="1:9" ht="15" customHeight="1" x14ac:dyDescent="0.2">
      <c r="A41" s="16" t="s">
        <v>306</v>
      </c>
    </row>
    <row r="42" spans="1:9" ht="15" customHeight="1" x14ac:dyDescent="0.2">
      <c r="A42" s="16"/>
    </row>
  </sheetData>
  <pageMargins left="0.7" right="0.7" top="0.75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FY2015 Detail</vt:lpstr>
      <vt:lpstr>Sheet1</vt:lpstr>
      <vt:lpstr>Summary</vt:lpstr>
      <vt:lpstr>Instruction</vt:lpstr>
      <vt:lpstr>Academic Support Per FYE</vt:lpstr>
      <vt:lpstr>Student&amp;Institutional Support</vt:lpstr>
      <vt:lpstr>Weighted differ concurrent</vt:lpstr>
      <vt:lpstr>Facilities</vt:lpstr>
      <vt:lpstr>Student Success</vt:lpstr>
      <vt:lpstr>3rd Term Expected</vt:lpstr>
      <vt:lpstr>Improvement Allocation</vt:lpstr>
      <vt:lpstr>Research</vt:lpstr>
      <vt:lpstr>Revenue Offset</vt:lpstr>
      <vt:lpstr>'3rd Term Expected'!Print_Area</vt:lpstr>
      <vt:lpstr>'FY2015 Detail'!Print_Area</vt:lpstr>
      <vt:lpstr>'Improvement Allocation'!Print_Area</vt:lpstr>
      <vt:lpstr>Instruction!Print_Area</vt:lpstr>
      <vt:lpstr>Summary!Print_Area</vt:lpstr>
      <vt:lpstr>'FY2015 Detail'!Print_Titles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2020-03-02T17:31:50Z</cp:lastPrinted>
  <dcterms:created xsi:type="dcterms:W3CDTF">2000-05-30T14:50:23Z</dcterms:created>
  <dcterms:modified xsi:type="dcterms:W3CDTF">2021-07-12T14:52:48Z</dcterms:modified>
</cp:coreProperties>
</file>