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FY2023 Allocation\"/>
    </mc:Choice>
  </mc:AlternateContent>
  <bookViews>
    <workbookView xWindow="315" yWindow="690" windowWidth="11280" windowHeight="5550" tabRatio="602" firstSheet="2" activeTab="2"/>
  </bookViews>
  <sheets>
    <sheet name="FY2015 Detail" sheetId="11" state="hidden" r:id="rId1"/>
    <sheet name="Sheet1" sheetId="32" state="hidden" r:id="rId2"/>
    <sheet name="Summary" sheetId="24" r:id="rId3"/>
    <sheet name="Instruction" sheetId="17" r:id="rId4"/>
    <sheet name="Academic Support Per FYE" sheetId="20" r:id="rId5"/>
    <sheet name="Student&amp;Institutional Support" sheetId="26" r:id="rId6"/>
    <sheet name="Weighted differ concurrent" sheetId="31" r:id="rId7"/>
    <sheet name="Facilities" sheetId="15" r:id="rId8"/>
    <sheet name="Student Success" sheetId="27" r:id="rId9"/>
    <sheet name="3rd Term Expected" sheetId="34" r:id="rId10"/>
    <sheet name="Improvement Allocation" sheetId="35" r:id="rId11"/>
    <sheet name="Research" sheetId="13" r:id="rId12"/>
    <sheet name="Revenue Offset" sheetId="25" r:id="rId13"/>
  </sheets>
  <externalReferences>
    <externalReference r:id="rId14"/>
  </externalReferences>
  <definedNames>
    <definedName name="Demographic_Distribution_Analysis_Sum" localSheetId="6">#REF!</definedName>
    <definedName name="Demographic_Distribution_Analysis_Sum">#REF!</definedName>
    <definedName name="_xlnm.Print_Area" localSheetId="9">'3rd Term Expected'!$A$1:$J$47</definedName>
    <definedName name="_xlnm.Print_Area" localSheetId="0">'FY2015 Detail'!$B$1:$D$40</definedName>
    <definedName name="_xlnm.Print_Area" localSheetId="10">'Improvement Allocation'!$A$1:$H$47</definedName>
    <definedName name="_xlnm.Print_Area" localSheetId="3">Instruction!$A$1:$M$43</definedName>
    <definedName name="_xlnm.Print_Area" localSheetId="2">Summary!$B$1:$W$41</definedName>
    <definedName name="_xlnm.Print_Titles" localSheetId="0">'FY2015 Detail'!$B:$C</definedName>
    <definedName name="_xlnm.Print_Titles" localSheetId="2">Summary!$B:$C</definedName>
    <definedName name="vv" localSheetId="6">#REF!</definedName>
    <definedName name="vv">#REF!</definedName>
  </definedNames>
  <calcPr calcId="162913"/>
</workbook>
</file>

<file path=xl/calcChain.xml><?xml version="1.0" encoding="utf-8"?>
<calcChain xmlns="http://schemas.openxmlformats.org/spreadsheetml/2006/main">
  <c r="B37" i="31" l="1"/>
  <c r="P10" i="31"/>
  <c r="O29" i="31"/>
  <c r="P7" i="31"/>
  <c r="I40" i="24" l="1"/>
  <c r="H40" i="24"/>
  <c r="G40" i="24"/>
  <c r="F40" i="24"/>
  <c r="E40" i="24"/>
  <c r="O41" i="24" l="1"/>
  <c r="C15" i="17" l="1"/>
  <c r="C26" i="17"/>
  <c r="C22" i="17"/>
  <c r="C21" i="17"/>
  <c r="C18" i="17"/>
  <c r="C13" i="17"/>
  <c r="G11" i="26" l="1"/>
  <c r="C10" i="17"/>
  <c r="C37" i="17" l="1"/>
  <c r="C36" i="17"/>
  <c r="C35" i="17"/>
  <c r="C34" i="17"/>
  <c r="C33" i="17"/>
  <c r="C32" i="17"/>
  <c r="C31" i="17"/>
  <c r="C30" i="17"/>
  <c r="C29" i="17"/>
  <c r="C28" i="17"/>
  <c r="C27" i="17"/>
  <c r="C25" i="17"/>
  <c r="C24" i="17"/>
  <c r="C23" i="17"/>
  <c r="C20" i="17"/>
  <c r="C19" i="17"/>
  <c r="C17" i="17"/>
  <c r="C16" i="17"/>
  <c r="C14" i="17"/>
  <c r="C12" i="17"/>
  <c r="C11" i="17"/>
  <c r="C9" i="17"/>
  <c r="C8" i="17"/>
  <c r="C36" i="27" l="1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 l="1"/>
  <c r="C17" i="27"/>
  <c r="C16" i="27"/>
  <c r="C15" i="27"/>
  <c r="C14" i="27"/>
  <c r="C13" i="27"/>
  <c r="C12" i="27"/>
  <c r="C11" i="27"/>
  <c r="C10" i="27"/>
  <c r="C9" i="27"/>
  <c r="C8" i="27"/>
  <c r="C7" i="27"/>
  <c r="G17" i="34" l="1"/>
  <c r="E17" i="34"/>
  <c r="D17" i="34"/>
  <c r="G45" i="34"/>
  <c r="E45" i="34"/>
  <c r="D45" i="34"/>
  <c r="H37" i="34"/>
  <c r="I45" i="34"/>
  <c r="H45" i="34"/>
  <c r="F45" i="34"/>
  <c r="C45" i="34"/>
  <c r="B45" i="34"/>
  <c r="I17" i="34"/>
  <c r="F17" i="34"/>
  <c r="C17" i="34"/>
  <c r="C37" i="34" s="1"/>
  <c r="B17" i="34"/>
  <c r="B37" i="34" s="1"/>
  <c r="U11" i="24" l="1"/>
  <c r="F30" i="17" l="1"/>
  <c r="D20" i="13" l="1"/>
  <c r="V11" i="24" l="1"/>
  <c r="V8" i="24"/>
  <c r="V7" i="24"/>
  <c r="F11" i="17" l="1"/>
  <c r="C45" i="17"/>
  <c r="I37" i="17"/>
  <c r="I23" i="17"/>
  <c r="I22" i="17"/>
  <c r="I17" i="17"/>
  <c r="E6" i="35" l="1"/>
  <c r="G6" i="35"/>
  <c r="E44" i="35"/>
  <c r="G44" i="35" s="1"/>
  <c r="E42" i="35"/>
  <c r="G42" i="35" s="1"/>
  <c r="E39" i="35"/>
  <c r="G39" i="35" s="1"/>
  <c r="E36" i="35"/>
  <c r="G36" i="35" s="1"/>
  <c r="E34" i="35"/>
  <c r="G34" i="35" s="1"/>
  <c r="E31" i="35"/>
  <c r="G31" i="35" s="1"/>
  <c r="E28" i="35"/>
  <c r="G28" i="35" s="1"/>
  <c r="E21" i="35"/>
  <c r="G21" i="35" s="1"/>
  <c r="E18" i="35"/>
  <c r="G18" i="35" s="1"/>
  <c r="E26" i="35"/>
  <c r="G26" i="35" s="1"/>
  <c r="E24" i="35"/>
  <c r="G24" i="35" s="1"/>
  <c r="E15" i="35"/>
  <c r="G15" i="35" s="1"/>
  <c r="E12" i="35"/>
  <c r="G12" i="35" s="1"/>
  <c r="E10" i="35"/>
  <c r="G10" i="35" s="1"/>
  <c r="E7" i="35"/>
  <c r="G7" i="35" s="1"/>
  <c r="E46" i="35"/>
  <c r="E45" i="35"/>
  <c r="E43" i="35"/>
  <c r="G43" i="35" s="1"/>
  <c r="E41" i="35"/>
  <c r="G41" i="35" s="1"/>
  <c r="E40" i="35"/>
  <c r="G40" i="35" s="1"/>
  <c r="E38" i="35"/>
  <c r="G38" i="35" s="1"/>
  <c r="E37" i="35"/>
  <c r="E35" i="35"/>
  <c r="G35" i="35" s="1"/>
  <c r="E33" i="35"/>
  <c r="G33" i="35" s="1"/>
  <c r="E32" i="35"/>
  <c r="G32" i="35" s="1"/>
  <c r="E30" i="35"/>
  <c r="G30" i="35" s="1"/>
  <c r="E29" i="35"/>
  <c r="G29" i="35" s="1"/>
  <c r="E22" i="35"/>
  <c r="G22" i="35" s="1"/>
  <c r="E20" i="35"/>
  <c r="G20" i="35" s="1"/>
  <c r="E19" i="35"/>
  <c r="G19" i="35" s="1"/>
  <c r="E17" i="35"/>
  <c r="E27" i="35"/>
  <c r="G27" i="35" s="1"/>
  <c r="E25" i="35"/>
  <c r="G25" i="35" s="1"/>
  <c r="E23" i="35"/>
  <c r="G23" i="35" s="1"/>
  <c r="E16" i="35"/>
  <c r="G16" i="35" s="1"/>
  <c r="E14" i="35"/>
  <c r="G14" i="35" s="1"/>
  <c r="E13" i="35"/>
  <c r="G13" i="35" s="1"/>
  <c r="E11" i="35"/>
  <c r="G11" i="35" s="1"/>
  <c r="E9" i="35"/>
  <c r="G9" i="35" s="1"/>
  <c r="E8" i="35"/>
  <c r="G8" i="35" s="1"/>
  <c r="G17" i="35" l="1"/>
  <c r="G37" i="35"/>
  <c r="G45" i="35"/>
  <c r="G46" i="35" l="1"/>
  <c r="C31" i="15" l="1"/>
  <c r="C20" i="15"/>
  <c r="C25" i="15"/>
  <c r="C12" i="15"/>
  <c r="C11" i="15"/>
  <c r="P31" i="26" l="1"/>
  <c r="P20" i="26"/>
  <c r="P25" i="26"/>
  <c r="P22" i="26"/>
  <c r="W28" i="24" l="1"/>
  <c r="W17" i="24"/>
  <c r="W22" i="24"/>
  <c r="W19" i="24"/>
  <c r="W31" i="24"/>
  <c r="W27" i="24"/>
  <c r="W25" i="24"/>
  <c r="W18" i="24"/>
  <c r="W9" i="24"/>
  <c r="W34" i="24"/>
  <c r="W29" i="24"/>
  <c r="W26" i="24"/>
  <c r="W14" i="24"/>
  <c r="W12" i="24"/>
  <c r="W8" i="24"/>
  <c r="W7" i="24"/>
  <c r="W6" i="24"/>
  <c r="J28" i="17" l="1"/>
  <c r="J27" i="17"/>
  <c r="K27" i="17" s="1"/>
  <c r="I37" i="34" l="1"/>
  <c r="I46" i="34" s="1"/>
  <c r="F37" i="34"/>
  <c r="J6" i="34"/>
  <c r="J7" i="34"/>
  <c r="J8" i="34"/>
  <c r="J9" i="34"/>
  <c r="J10" i="34"/>
  <c r="J11" i="34"/>
  <c r="J12" i="34"/>
  <c r="J13" i="34"/>
  <c r="J14" i="34"/>
  <c r="J15" i="34"/>
  <c r="J16" i="34"/>
  <c r="J23" i="34"/>
  <c r="J24" i="34"/>
  <c r="J25" i="34"/>
  <c r="J26" i="34"/>
  <c r="J27" i="34"/>
  <c r="J18" i="34"/>
  <c r="J19" i="34"/>
  <c r="J20" i="34"/>
  <c r="J21" i="34"/>
  <c r="J22" i="34"/>
  <c r="V37" i="24" l="1"/>
  <c r="H46" i="34" l="1"/>
  <c r="F46" i="34"/>
  <c r="C46" i="34"/>
  <c r="B46" i="34"/>
  <c r="C34" i="15" l="1"/>
  <c r="C14" i="15"/>
  <c r="J20" i="17" l="1"/>
  <c r="J18" i="17"/>
  <c r="J17" i="17"/>
  <c r="J16" i="17"/>
  <c r="J15" i="17"/>
  <c r="J13" i="17"/>
  <c r="J12" i="17"/>
  <c r="J11" i="17"/>
  <c r="J10" i="17"/>
  <c r="J9" i="17"/>
  <c r="J8" i="17"/>
  <c r="J37" i="17" l="1"/>
  <c r="J36" i="17"/>
  <c r="J35" i="17"/>
  <c r="J34" i="17"/>
  <c r="J33" i="17"/>
  <c r="J32" i="17"/>
  <c r="J31" i="17"/>
  <c r="J30" i="17"/>
  <c r="J29" i="17"/>
  <c r="J19" i="17"/>
  <c r="J26" i="17"/>
  <c r="J25" i="17"/>
  <c r="J24" i="17"/>
  <c r="J23" i="17"/>
  <c r="J22" i="17"/>
  <c r="J21" i="17"/>
  <c r="J14" i="17"/>
  <c r="D39" i="17" l="1"/>
  <c r="J44" i="34" l="1"/>
  <c r="J43" i="34"/>
  <c r="J42" i="34"/>
  <c r="J41" i="34"/>
  <c r="J40" i="34"/>
  <c r="J39" i="34"/>
  <c r="J38" i="34"/>
  <c r="J17" i="34"/>
  <c r="J36" i="34"/>
  <c r="J35" i="34"/>
  <c r="J34" i="34"/>
  <c r="J33" i="34"/>
  <c r="J32" i="34"/>
  <c r="J31" i="34"/>
  <c r="J30" i="34"/>
  <c r="J29" i="34"/>
  <c r="J28" i="34"/>
  <c r="J37" i="34" l="1"/>
  <c r="J45" i="34"/>
  <c r="D39" i="25"/>
  <c r="U37" i="24" l="1"/>
  <c r="C16" i="15"/>
  <c r="D40" i="13"/>
  <c r="H44" i="35"/>
  <c r="D36" i="27" s="1"/>
  <c r="E36" i="27" s="1"/>
  <c r="H35" i="24" s="1"/>
  <c r="H43" i="35"/>
  <c r="D33" i="27" s="1"/>
  <c r="H42" i="35"/>
  <c r="D34" i="27" s="1"/>
  <c r="H41" i="35"/>
  <c r="D21" i="27" s="1"/>
  <c r="H40" i="35"/>
  <c r="D22" i="27" s="1"/>
  <c r="H39" i="35"/>
  <c r="D16" i="27" s="1"/>
  <c r="E16" i="27" s="1"/>
  <c r="H15" i="24" s="1"/>
  <c r="H38" i="35"/>
  <c r="H36" i="35"/>
  <c r="D32" i="27" s="1"/>
  <c r="H35" i="35"/>
  <c r="D31" i="27" s="1"/>
  <c r="H34" i="35"/>
  <c r="D35" i="27" s="1"/>
  <c r="H33" i="35"/>
  <c r="D30" i="27" s="1"/>
  <c r="H32" i="35"/>
  <c r="D29" i="27" s="1"/>
  <c r="H31" i="35"/>
  <c r="D28" i="27" s="1"/>
  <c r="H30" i="35"/>
  <c r="D27" i="27" s="1"/>
  <c r="H29" i="35"/>
  <c r="H28" i="35"/>
  <c r="D26" i="27" s="1"/>
  <c r="H22" i="35"/>
  <c r="H21" i="35"/>
  <c r="H20" i="35"/>
  <c r="H27" i="35"/>
  <c r="D25" i="27" s="1"/>
  <c r="H26" i="35"/>
  <c r="D24" i="27" s="1"/>
  <c r="H25" i="35"/>
  <c r="D23" i="27" s="1"/>
  <c r="H24" i="35"/>
  <c r="D20" i="27" s="1"/>
  <c r="H23" i="35"/>
  <c r="D19" i="27" s="1"/>
  <c r="H16" i="35"/>
  <c r="D17" i="27" s="1"/>
  <c r="H15" i="35"/>
  <c r="D15" i="27" s="1"/>
  <c r="H14" i="35"/>
  <c r="H13" i="35"/>
  <c r="D14" i="27" s="1"/>
  <c r="H12" i="35"/>
  <c r="D13" i="27" s="1"/>
  <c r="H11" i="35"/>
  <c r="H10" i="35"/>
  <c r="D11" i="27" s="1"/>
  <c r="H9" i="35"/>
  <c r="D10" i="27" s="1"/>
  <c r="H8" i="35"/>
  <c r="H7" i="35"/>
  <c r="H6" i="35"/>
  <c r="H19" i="35"/>
  <c r="J46" i="34"/>
  <c r="C30" i="15"/>
  <c r="C28" i="15"/>
  <c r="D28" i="15" s="1"/>
  <c r="F28" i="15" s="1"/>
  <c r="C22" i="15"/>
  <c r="K6" i="31"/>
  <c r="W37" i="24"/>
  <c r="L6" i="27"/>
  <c r="G47" i="31"/>
  <c r="F47" i="31"/>
  <c r="E47" i="31"/>
  <c r="D47" i="31"/>
  <c r="C47" i="31"/>
  <c r="B47" i="31"/>
  <c r="K46" i="31"/>
  <c r="H46" i="31"/>
  <c r="J46" i="31" s="1"/>
  <c r="L46" i="31" s="1"/>
  <c r="K45" i="31"/>
  <c r="H45" i="31"/>
  <c r="J45" i="31" s="1"/>
  <c r="K44" i="31"/>
  <c r="H44" i="31"/>
  <c r="J44" i="31" s="1"/>
  <c r="K43" i="31"/>
  <c r="H43" i="31"/>
  <c r="J43" i="31" s="1"/>
  <c r="L43" i="31" s="1"/>
  <c r="K42" i="31"/>
  <c r="H42" i="31"/>
  <c r="J42" i="31" s="1"/>
  <c r="K41" i="31"/>
  <c r="H41" i="31"/>
  <c r="J41" i="31" s="1"/>
  <c r="K40" i="31"/>
  <c r="H40" i="31"/>
  <c r="J40" i="31" s="1"/>
  <c r="L40" i="31" s="1"/>
  <c r="M40" i="31" s="1"/>
  <c r="G37" i="31"/>
  <c r="F37" i="31"/>
  <c r="E37" i="31"/>
  <c r="D37" i="31"/>
  <c r="C37" i="31"/>
  <c r="K36" i="31"/>
  <c r="H36" i="31"/>
  <c r="J36" i="31" s="1"/>
  <c r="K35" i="31"/>
  <c r="H35" i="31"/>
  <c r="J35" i="31" s="1"/>
  <c r="K34" i="31"/>
  <c r="H34" i="31"/>
  <c r="J34" i="31" s="1"/>
  <c r="K33" i="31"/>
  <c r="H33" i="31"/>
  <c r="J33" i="31" s="1"/>
  <c r="K32" i="31"/>
  <c r="H32" i="31"/>
  <c r="J32" i="31" s="1"/>
  <c r="K31" i="31"/>
  <c r="H31" i="31"/>
  <c r="J31" i="31" s="1"/>
  <c r="K30" i="31"/>
  <c r="H30" i="31"/>
  <c r="J30" i="31" s="1"/>
  <c r="K29" i="31"/>
  <c r="H29" i="31"/>
  <c r="J29" i="31" s="1"/>
  <c r="K28" i="31"/>
  <c r="H28" i="31"/>
  <c r="J28" i="31" s="1"/>
  <c r="K22" i="31"/>
  <c r="H22" i="31"/>
  <c r="J22" i="31" s="1"/>
  <c r="K21" i="31"/>
  <c r="H21" i="31"/>
  <c r="J21" i="31" s="1"/>
  <c r="K20" i="31"/>
  <c r="H20" i="31"/>
  <c r="J20" i="31" s="1"/>
  <c r="K19" i="31"/>
  <c r="H19" i="31"/>
  <c r="J19" i="31" s="1"/>
  <c r="K18" i="31"/>
  <c r="H18" i="31"/>
  <c r="J18" i="31" s="1"/>
  <c r="K17" i="31"/>
  <c r="H17" i="31"/>
  <c r="J17" i="31" s="1"/>
  <c r="K27" i="31"/>
  <c r="H27" i="31"/>
  <c r="J27" i="31" s="1"/>
  <c r="K26" i="31"/>
  <c r="H26" i="31"/>
  <c r="J26" i="31" s="1"/>
  <c r="L26" i="31" s="1"/>
  <c r="K25" i="31"/>
  <c r="H25" i="31"/>
  <c r="J25" i="31" s="1"/>
  <c r="K24" i="31"/>
  <c r="H24" i="31"/>
  <c r="J24" i="31" s="1"/>
  <c r="K23" i="31"/>
  <c r="H23" i="31"/>
  <c r="J23" i="31" s="1"/>
  <c r="K16" i="31"/>
  <c r="H16" i="31"/>
  <c r="J16" i="31" s="1"/>
  <c r="L16" i="31" s="1"/>
  <c r="K15" i="31"/>
  <c r="H15" i="31"/>
  <c r="J15" i="31" s="1"/>
  <c r="K14" i="31"/>
  <c r="H14" i="31"/>
  <c r="J14" i="31" s="1"/>
  <c r="K13" i="31"/>
  <c r="H13" i="31"/>
  <c r="J13" i="31" s="1"/>
  <c r="K12" i="31"/>
  <c r="H12" i="31"/>
  <c r="J12" i="31" s="1"/>
  <c r="K11" i="31"/>
  <c r="H11" i="31"/>
  <c r="J11" i="31" s="1"/>
  <c r="K10" i="31"/>
  <c r="H10" i="31"/>
  <c r="J10" i="31" s="1"/>
  <c r="K9" i="31"/>
  <c r="H9" i="31"/>
  <c r="J9" i="31" s="1"/>
  <c r="K8" i="31"/>
  <c r="H8" i="31"/>
  <c r="J8" i="31" s="1"/>
  <c r="K7" i="31"/>
  <c r="H7" i="31"/>
  <c r="J7" i="31" s="1"/>
  <c r="H6" i="31"/>
  <c r="J6" i="31" s="1"/>
  <c r="C21" i="15"/>
  <c r="D21" i="15" s="1"/>
  <c r="F21" i="15" s="1"/>
  <c r="C38" i="26"/>
  <c r="F38" i="26" s="1"/>
  <c r="C37" i="26"/>
  <c r="F37" i="26" s="1"/>
  <c r="C36" i="26"/>
  <c r="F36" i="26" s="1"/>
  <c r="C35" i="26"/>
  <c r="F35" i="26" s="1"/>
  <c r="C34" i="26"/>
  <c r="F34" i="26" s="1"/>
  <c r="C33" i="26"/>
  <c r="F33" i="26" s="1"/>
  <c r="C32" i="26"/>
  <c r="F32" i="26" s="1"/>
  <c r="C31" i="26"/>
  <c r="F31" i="26" s="1"/>
  <c r="C30" i="26"/>
  <c r="F30" i="26" s="1"/>
  <c r="C29" i="26"/>
  <c r="F29" i="26" s="1"/>
  <c r="C28" i="26"/>
  <c r="F28" i="26" s="1"/>
  <c r="C20" i="26"/>
  <c r="F20" i="26" s="1"/>
  <c r="C27" i="26"/>
  <c r="F27" i="26" s="1"/>
  <c r="C26" i="26"/>
  <c r="F26" i="26" s="1"/>
  <c r="C25" i="26"/>
  <c r="F25" i="26" s="1"/>
  <c r="C24" i="26"/>
  <c r="F24" i="26" s="1"/>
  <c r="C23" i="26"/>
  <c r="F23" i="26" s="1"/>
  <c r="C22" i="26"/>
  <c r="F22" i="26" s="1"/>
  <c r="C21" i="26"/>
  <c r="F21" i="26" s="1"/>
  <c r="C19" i="26"/>
  <c r="F19" i="26" s="1"/>
  <c r="C18" i="26"/>
  <c r="F18" i="26" s="1"/>
  <c r="C17" i="26"/>
  <c r="F17" i="26" s="1"/>
  <c r="C16" i="26"/>
  <c r="F16" i="26" s="1"/>
  <c r="C15" i="26"/>
  <c r="F15" i="26" s="1"/>
  <c r="C14" i="26"/>
  <c r="F14" i="26" s="1"/>
  <c r="C13" i="26"/>
  <c r="F13" i="26" s="1"/>
  <c r="C12" i="26"/>
  <c r="F12" i="26" s="1"/>
  <c r="C11" i="26"/>
  <c r="F11" i="26" s="1"/>
  <c r="C10" i="26"/>
  <c r="F10" i="26" s="1"/>
  <c r="C9" i="26"/>
  <c r="F9" i="26" s="1"/>
  <c r="R40" i="26"/>
  <c r="H40" i="26"/>
  <c r="D40" i="26"/>
  <c r="P10" i="26"/>
  <c r="P40" i="26"/>
  <c r="F39" i="25"/>
  <c r="C39" i="25"/>
  <c r="E37" i="25"/>
  <c r="G37" i="25" s="1"/>
  <c r="E36" i="25"/>
  <c r="G36" i="25" s="1"/>
  <c r="E35" i="25"/>
  <c r="G35" i="25" s="1"/>
  <c r="E34" i="25"/>
  <c r="G34" i="25" s="1"/>
  <c r="E33" i="25"/>
  <c r="G33" i="25" s="1"/>
  <c r="E32" i="25"/>
  <c r="G32" i="25" s="1"/>
  <c r="E31" i="25"/>
  <c r="G31" i="25" s="1"/>
  <c r="E30" i="25"/>
  <c r="G30" i="25" s="1"/>
  <c r="E29" i="25"/>
  <c r="G29" i="25" s="1"/>
  <c r="E28" i="25"/>
  <c r="E27" i="25"/>
  <c r="G27" i="25" s="1"/>
  <c r="E19" i="25"/>
  <c r="G19" i="25" s="1"/>
  <c r="E26" i="25"/>
  <c r="G26" i="25" s="1"/>
  <c r="E25" i="25"/>
  <c r="G25" i="25" s="1"/>
  <c r="E24" i="25"/>
  <c r="G24" i="25" s="1"/>
  <c r="E23" i="25"/>
  <c r="G23" i="25" s="1"/>
  <c r="E22" i="25"/>
  <c r="G22" i="25" s="1"/>
  <c r="E21" i="25"/>
  <c r="G21" i="25" s="1"/>
  <c r="E20" i="25"/>
  <c r="G20" i="25" s="1"/>
  <c r="E18" i="25"/>
  <c r="G18" i="25" s="1"/>
  <c r="E17" i="25"/>
  <c r="G17" i="25" s="1"/>
  <c r="E16" i="25"/>
  <c r="G16" i="25" s="1"/>
  <c r="E15" i="25"/>
  <c r="G15" i="25" s="1"/>
  <c r="E14" i="25"/>
  <c r="G14" i="25" s="1"/>
  <c r="E13" i="25"/>
  <c r="G13" i="25" s="1"/>
  <c r="E12" i="25"/>
  <c r="G12" i="25" s="1"/>
  <c r="E11" i="25"/>
  <c r="G11" i="25" s="1"/>
  <c r="E10" i="25"/>
  <c r="G10" i="25" s="1"/>
  <c r="E9" i="25"/>
  <c r="G9" i="25" s="1"/>
  <c r="E8" i="25"/>
  <c r="G8" i="25" s="1"/>
  <c r="C10" i="15"/>
  <c r="F40" i="13"/>
  <c r="E38" i="13"/>
  <c r="E37" i="13"/>
  <c r="E36" i="13"/>
  <c r="E35" i="13"/>
  <c r="E34" i="13"/>
  <c r="E33" i="13"/>
  <c r="E32" i="13"/>
  <c r="E31" i="13"/>
  <c r="E30" i="13"/>
  <c r="E29" i="13"/>
  <c r="E28" i="13"/>
  <c r="E20" i="13"/>
  <c r="E27" i="13"/>
  <c r="E26" i="13"/>
  <c r="E25" i="13"/>
  <c r="E24" i="13"/>
  <c r="E23" i="13"/>
  <c r="E22" i="13"/>
  <c r="E21" i="13"/>
  <c r="E19" i="13"/>
  <c r="E18" i="13"/>
  <c r="E17" i="13"/>
  <c r="E16" i="13"/>
  <c r="E15" i="13"/>
  <c r="E14" i="13"/>
  <c r="E13" i="13"/>
  <c r="E12" i="13"/>
  <c r="E11" i="13"/>
  <c r="E10" i="13"/>
  <c r="E9" i="13"/>
  <c r="C40" i="13"/>
  <c r="D29" i="15"/>
  <c r="F29" i="15" s="1"/>
  <c r="D16" i="15"/>
  <c r="F16" i="15" s="1"/>
  <c r="F8" i="20"/>
  <c r="D37" i="24"/>
  <c r="L37" i="24"/>
  <c r="O39" i="24" s="1"/>
  <c r="N35" i="24" s="1"/>
  <c r="M37" i="24"/>
  <c r="D9" i="15"/>
  <c r="F9" i="15" s="1"/>
  <c r="D37" i="11"/>
  <c r="C39" i="20"/>
  <c r="F33" i="20"/>
  <c r="K19" i="17"/>
  <c r="M19" i="17" s="1"/>
  <c r="E17" i="24" s="1"/>
  <c r="K8" i="17"/>
  <c r="M8" i="17" s="1"/>
  <c r="E6" i="24" s="1"/>
  <c r="K9" i="17"/>
  <c r="M9" i="17" s="1"/>
  <c r="E7" i="24" s="1"/>
  <c r="K10" i="17"/>
  <c r="M10" i="17" s="1"/>
  <c r="E8" i="24" s="1"/>
  <c r="K11" i="17"/>
  <c r="M11" i="17" s="1"/>
  <c r="E9" i="24" s="1"/>
  <c r="K12" i="17"/>
  <c r="M12" i="17" s="1"/>
  <c r="E10" i="24" s="1"/>
  <c r="K13" i="17"/>
  <c r="M13" i="17" s="1"/>
  <c r="E11" i="24" s="1"/>
  <c r="K14" i="17"/>
  <c r="M14" i="17" s="1"/>
  <c r="E12" i="24" s="1"/>
  <c r="K15" i="17"/>
  <c r="M15" i="17" s="1"/>
  <c r="E13" i="24" s="1"/>
  <c r="K16" i="17"/>
  <c r="M16" i="17" s="1"/>
  <c r="E14" i="24" s="1"/>
  <c r="K17" i="17"/>
  <c r="M17" i="17" s="1"/>
  <c r="E15" i="24" s="1"/>
  <c r="K18" i="17"/>
  <c r="M18" i="17" s="1"/>
  <c r="E16" i="24" s="1"/>
  <c r="K20" i="17"/>
  <c r="M20" i="17" s="1"/>
  <c r="E18" i="24" s="1"/>
  <c r="K21" i="17"/>
  <c r="M21" i="17" s="1"/>
  <c r="E19" i="24" s="1"/>
  <c r="K24" i="17"/>
  <c r="M24" i="17" s="1"/>
  <c r="E22" i="24" s="1"/>
  <c r="K25" i="17"/>
  <c r="M25" i="17" s="1"/>
  <c r="E23" i="24" s="1"/>
  <c r="K26" i="17"/>
  <c r="M26" i="17" s="1"/>
  <c r="E24" i="24" s="1"/>
  <c r="M27" i="17"/>
  <c r="E25" i="24" s="1"/>
  <c r="K28" i="17"/>
  <c r="M28" i="17" s="1"/>
  <c r="E26" i="24" s="1"/>
  <c r="K29" i="17"/>
  <c r="M29" i="17" s="1"/>
  <c r="E27" i="24" s="1"/>
  <c r="K30" i="17"/>
  <c r="K31" i="17"/>
  <c r="M31" i="17" s="1"/>
  <c r="E29" i="24" s="1"/>
  <c r="K32" i="17"/>
  <c r="M32" i="17" s="1"/>
  <c r="E30" i="24" s="1"/>
  <c r="K33" i="17"/>
  <c r="M33" i="17" s="1"/>
  <c r="E31" i="24" s="1"/>
  <c r="K34" i="17"/>
  <c r="M34" i="17" s="1"/>
  <c r="E32" i="24" s="1"/>
  <c r="K36" i="17"/>
  <c r="M36" i="17" s="1"/>
  <c r="E34" i="24" s="1"/>
  <c r="K37" i="17"/>
  <c r="M37" i="17" s="1"/>
  <c r="E35" i="24" s="1"/>
  <c r="K35" i="17"/>
  <c r="M35" i="17" s="1"/>
  <c r="E33" i="24" s="1"/>
  <c r="K23" i="17"/>
  <c r="M23" i="17" s="1"/>
  <c r="E21" i="24" s="1"/>
  <c r="K22" i="17"/>
  <c r="M22" i="17" s="1"/>
  <c r="E20" i="24" s="1"/>
  <c r="D10" i="15"/>
  <c r="F10" i="15" s="1"/>
  <c r="D13" i="15"/>
  <c r="F13" i="15" s="1"/>
  <c r="D14" i="15"/>
  <c r="F14" i="15" s="1"/>
  <c r="D19" i="15"/>
  <c r="F19" i="15" s="1"/>
  <c r="D22" i="15"/>
  <c r="F22" i="15" s="1"/>
  <c r="D23" i="15"/>
  <c r="F23" i="15" s="1"/>
  <c r="D24" i="15"/>
  <c r="F24" i="15" s="1"/>
  <c r="D25" i="15"/>
  <c r="F25" i="15" s="1"/>
  <c r="D20" i="15"/>
  <c r="F20" i="15" s="1"/>
  <c r="D31" i="15"/>
  <c r="F31" i="15" s="1"/>
  <c r="D36" i="15"/>
  <c r="F36" i="15" s="1"/>
  <c r="D38" i="15"/>
  <c r="F38" i="15" s="1"/>
  <c r="D11" i="15"/>
  <c r="F11" i="15" s="1"/>
  <c r="D12" i="15"/>
  <c r="F12" i="15" s="1"/>
  <c r="D15" i="15"/>
  <c r="F15" i="15" s="1"/>
  <c r="D17" i="15"/>
  <c r="F17" i="15" s="1"/>
  <c r="D18" i="15"/>
  <c r="F18" i="15" s="1"/>
  <c r="D26" i="15"/>
  <c r="F26" i="15" s="1"/>
  <c r="D27" i="15"/>
  <c r="F27" i="15" s="1"/>
  <c r="D30" i="15"/>
  <c r="F30" i="15" s="1"/>
  <c r="D32" i="15"/>
  <c r="F32" i="15" s="1"/>
  <c r="D33" i="15"/>
  <c r="F33" i="15" s="1"/>
  <c r="D35" i="15"/>
  <c r="F35" i="15" s="1"/>
  <c r="D37" i="15"/>
  <c r="F37" i="15" s="1"/>
  <c r="F37" i="20"/>
  <c r="F36" i="20"/>
  <c r="F35" i="20"/>
  <c r="F34" i="20"/>
  <c r="F32" i="20"/>
  <c r="F31" i="20"/>
  <c r="F30" i="20"/>
  <c r="F29" i="20"/>
  <c r="F28" i="20"/>
  <c r="F27" i="20"/>
  <c r="F19" i="20"/>
  <c r="F26" i="20"/>
  <c r="F25" i="20"/>
  <c r="F24" i="20"/>
  <c r="F23" i="20"/>
  <c r="F22" i="20"/>
  <c r="F21" i="20"/>
  <c r="F20" i="20"/>
  <c r="F18" i="20"/>
  <c r="F17" i="20"/>
  <c r="F16" i="20"/>
  <c r="F15" i="20"/>
  <c r="F14" i="20"/>
  <c r="F13" i="20"/>
  <c r="F12" i="20"/>
  <c r="F11" i="20"/>
  <c r="F10" i="20"/>
  <c r="F9" i="20"/>
  <c r="L39" i="17"/>
  <c r="D34" i="15"/>
  <c r="F34" i="15" s="1"/>
  <c r="A45" i="15"/>
  <c r="A42" i="20"/>
  <c r="A42" i="17"/>
  <c r="E40" i="15"/>
  <c r="I39" i="17"/>
  <c r="H39" i="17"/>
  <c r="G39" i="17"/>
  <c r="F39" i="17"/>
  <c r="E39" i="17"/>
  <c r="C39" i="17"/>
  <c r="B15" i="32"/>
  <c r="C8" i="32"/>
  <c r="B8" i="32"/>
  <c r="B12" i="32"/>
  <c r="C12" i="32"/>
  <c r="L13" i="31" l="1"/>
  <c r="L23" i="31"/>
  <c r="L29" i="31"/>
  <c r="M46" i="31"/>
  <c r="G38" i="26"/>
  <c r="J38" i="26" s="1"/>
  <c r="M43" i="31"/>
  <c r="G23" i="26"/>
  <c r="J23" i="26" s="1"/>
  <c r="K23" i="26" s="1"/>
  <c r="M16" i="31"/>
  <c r="G19" i="26"/>
  <c r="J19" i="26" s="1"/>
  <c r="M26" i="31"/>
  <c r="G26" i="26"/>
  <c r="J26" i="26" s="1"/>
  <c r="M30" i="17"/>
  <c r="E28" i="24" s="1"/>
  <c r="L12" i="31"/>
  <c r="G28" i="25"/>
  <c r="D28" i="20" s="1"/>
  <c r="E28" i="20" s="1"/>
  <c r="G28" i="20" s="1"/>
  <c r="G38" i="15"/>
  <c r="H38" i="15" s="1"/>
  <c r="G35" i="24" s="1"/>
  <c r="L31" i="26"/>
  <c r="D29" i="20"/>
  <c r="E29" i="20" s="1"/>
  <c r="G29" i="20" s="1"/>
  <c r="L28" i="26"/>
  <c r="D25" i="20"/>
  <c r="E25" i="20" s="1"/>
  <c r="G25" i="20" s="1"/>
  <c r="L23" i="26"/>
  <c r="F22" i="13"/>
  <c r="H22" i="13" s="1"/>
  <c r="I19" i="24" s="1"/>
  <c r="D16" i="20"/>
  <c r="E16" i="20" s="1"/>
  <c r="G16" i="20" s="1"/>
  <c r="D15" i="20"/>
  <c r="E15" i="20" s="1"/>
  <c r="G15" i="20" s="1"/>
  <c r="G14" i="15"/>
  <c r="H14" i="15" s="1"/>
  <c r="G11" i="24" s="1"/>
  <c r="D9" i="20"/>
  <c r="E9" i="20" s="1"/>
  <c r="G9" i="20" s="1"/>
  <c r="N15" i="24"/>
  <c r="D36" i="20"/>
  <c r="E36" i="20" s="1"/>
  <c r="G36" i="20" s="1"/>
  <c r="L18" i="31"/>
  <c r="M18" i="31" s="1"/>
  <c r="L11" i="31"/>
  <c r="L7" i="31"/>
  <c r="L11" i="26"/>
  <c r="C40" i="15"/>
  <c r="E48" i="31"/>
  <c r="L42" i="31"/>
  <c r="L34" i="31"/>
  <c r="L32" i="31"/>
  <c r="L30" i="31"/>
  <c r="L28" i="31"/>
  <c r="L22" i="31"/>
  <c r="M22" i="31" s="1"/>
  <c r="L21" i="31"/>
  <c r="M21" i="31" s="1"/>
  <c r="L20" i="31"/>
  <c r="M20" i="31" s="1"/>
  <c r="L17" i="31"/>
  <c r="L25" i="31"/>
  <c r="L9" i="31"/>
  <c r="L8" i="31"/>
  <c r="M8" i="31" s="1"/>
  <c r="D12" i="20"/>
  <c r="E12" i="20" s="1"/>
  <c r="G12" i="20" s="1"/>
  <c r="G13" i="15"/>
  <c r="H13" i="15" s="1"/>
  <c r="G10" i="24" s="1"/>
  <c r="F38" i="13"/>
  <c r="H38" i="13" s="1"/>
  <c r="I35" i="24" s="1"/>
  <c r="F28" i="13"/>
  <c r="H28" i="13" s="1"/>
  <c r="I25" i="24" s="1"/>
  <c r="G28" i="15"/>
  <c r="H28" i="15" s="1"/>
  <c r="G25" i="24" s="1"/>
  <c r="J39" i="17"/>
  <c r="M39" i="17"/>
  <c r="K39" i="17"/>
  <c r="E35" i="27"/>
  <c r="H34" i="24" s="1"/>
  <c r="E19" i="27"/>
  <c r="H18" i="24" s="1"/>
  <c r="E34" i="27"/>
  <c r="H33" i="24" s="1"/>
  <c r="E33" i="27"/>
  <c r="H32" i="24" s="1"/>
  <c r="E22" i="27"/>
  <c r="H21" i="24" s="1"/>
  <c r="E21" i="27"/>
  <c r="H20" i="24" s="1"/>
  <c r="E31" i="27"/>
  <c r="H30" i="24" s="1"/>
  <c r="E27" i="27"/>
  <c r="H26" i="24" s="1"/>
  <c r="E28" i="27"/>
  <c r="H27" i="24" s="1"/>
  <c r="E32" i="27"/>
  <c r="H31" i="24" s="1"/>
  <c r="E26" i="27"/>
  <c r="H25" i="24" s="1"/>
  <c r="E29" i="27"/>
  <c r="H28" i="24" s="1"/>
  <c r="E30" i="27"/>
  <c r="H29" i="24" s="1"/>
  <c r="C38" i="27"/>
  <c r="E20" i="27"/>
  <c r="H19" i="24" s="1"/>
  <c r="E14" i="27"/>
  <c r="H13" i="24" s="1"/>
  <c r="E10" i="27"/>
  <c r="H9" i="24" s="1"/>
  <c r="E24" i="27"/>
  <c r="H23" i="24" s="1"/>
  <c r="E13" i="27"/>
  <c r="H12" i="24" s="1"/>
  <c r="E17" i="27"/>
  <c r="H16" i="24" s="1"/>
  <c r="E11" i="27"/>
  <c r="H10" i="24" s="1"/>
  <c r="E15" i="27"/>
  <c r="H14" i="24" s="1"/>
  <c r="E25" i="27"/>
  <c r="H24" i="24" s="1"/>
  <c r="E23" i="27"/>
  <c r="H22" i="24" s="1"/>
  <c r="D12" i="27"/>
  <c r="E12" i="27" s="1"/>
  <c r="H11" i="24" s="1"/>
  <c r="D7" i="27"/>
  <c r="D8" i="27"/>
  <c r="E8" i="27" s="1"/>
  <c r="H7" i="24" s="1"/>
  <c r="H18" i="35"/>
  <c r="H17" i="35" s="1"/>
  <c r="D18" i="27" s="1"/>
  <c r="E18" i="27" s="1"/>
  <c r="H17" i="24" s="1"/>
  <c r="D9" i="27"/>
  <c r="E9" i="27" s="1"/>
  <c r="H8" i="24" s="1"/>
  <c r="H45" i="35"/>
  <c r="K38" i="26"/>
  <c r="G48" i="31"/>
  <c r="F48" i="31"/>
  <c r="L35" i="31"/>
  <c r="L27" i="31"/>
  <c r="L45" i="31"/>
  <c r="L44" i="31"/>
  <c r="H47" i="31"/>
  <c r="L41" i="31"/>
  <c r="J47" i="31"/>
  <c r="D48" i="31"/>
  <c r="L36" i="31"/>
  <c r="L33" i="31"/>
  <c r="L31" i="31"/>
  <c r="L19" i="31"/>
  <c r="M19" i="31" s="1"/>
  <c r="L24" i="31"/>
  <c r="L15" i="31"/>
  <c r="L14" i="31"/>
  <c r="M14" i="31" s="1"/>
  <c r="J37" i="31"/>
  <c r="L10" i="31"/>
  <c r="H37" i="31"/>
  <c r="L6" i="31"/>
  <c r="K47" i="31"/>
  <c r="C48" i="31"/>
  <c r="K37" i="31"/>
  <c r="B48" i="31"/>
  <c r="N28" i="24"/>
  <c r="E37" i="24"/>
  <c r="K26" i="26"/>
  <c r="K19" i="26"/>
  <c r="E40" i="13"/>
  <c r="D40" i="15"/>
  <c r="F40" i="15"/>
  <c r="F39" i="20"/>
  <c r="F40" i="26"/>
  <c r="C40" i="26"/>
  <c r="L37" i="26"/>
  <c r="G35" i="15"/>
  <c r="H35" i="15" s="1"/>
  <c r="G32" i="24" s="1"/>
  <c r="F35" i="13"/>
  <c r="H35" i="13" s="1"/>
  <c r="I32" i="24" s="1"/>
  <c r="D34" i="20"/>
  <c r="E34" i="20" s="1"/>
  <c r="G34" i="20" s="1"/>
  <c r="L35" i="26"/>
  <c r="D27" i="20"/>
  <c r="E27" i="20" s="1"/>
  <c r="G27" i="20" s="1"/>
  <c r="F17" i="13"/>
  <c r="H17" i="13" s="1"/>
  <c r="I14" i="24" s="1"/>
  <c r="L14" i="26"/>
  <c r="F16" i="13"/>
  <c r="H16" i="13" s="1"/>
  <c r="I13" i="24" s="1"/>
  <c r="L38" i="26"/>
  <c r="L36" i="26"/>
  <c r="G34" i="15"/>
  <c r="H34" i="15" s="1"/>
  <c r="G31" i="24" s="1"/>
  <c r="F34" i="13"/>
  <c r="H34" i="13" s="1"/>
  <c r="I31" i="24" s="1"/>
  <c r="D33" i="20"/>
  <c r="E33" i="20" s="1"/>
  <c r="G33" i="20" s="1"/>
  <c r="L34" i="26"/>
  <c r="F33" i="13"/>
  <c r="H33" i="13" s="1"/>
  <c r="I30" i="24" s="1"/>
  <c r="L33" i="26"/>
  <c r="D30" i="20"/>
  <c r="E30" i="20" s="1"/>
  <c r="G30" i="20" s="1"/>
  <c r="G31" i="15"/>
  <c r="H31" i="15" s="1"/>
  <c r="G28" i="24" s="1"/>
  <c r="F31" i="13"/>
  <c r="H31" i="13" s="1"/>
  <c r="I28" i="24" s="1"/>
  <c r="D19" i="20"/>
  <c r="E19" i="20" s="1"/>
  <c r="G19" i="20" s="1"/>
  <c r="D23" i="20"/>
  <c r="E23" i="20" s="1"/>
  <c r="G23" i="20" s="1"/>
  <c r="F24" i="13"/>
  <c r="H24" i="13" s="1"/>
  <c r="I21" i="24" s="1"/>
  <c r="L24" i="26"/>
  <c r="G24" i="15"/>
  <c r="H24" i="15" s="1"/>
  <c r="G21" i="24" s="1"/>
  <c r="D22" i="20"/>
  <c r="E22" i="20" s="1"/>
  <c r="G22" i="20" s="1"/>
  <c r="G23" i="15"/>
  <c r="H23" i="15" s="1"/>
  <c r="G20" i="24" s="1"/>
  <c r="D21" i="20"/>
  <c r="E21" i="20" s="1"/>
  <c r="G21" i="20" s="1"/>
  <c r="D18" i="20"/>
  <c r="E18" i="20" s="1"/>
  <c r="G18" i="20" s="1"/>
  <c r="F19" i="13"/>
  <c r="H19" i="13" s="1"/>
  <c r="I16" i="24" s="1"/>
  <c r="F15" i="13"/>
  <c r="H15" i="13" s="1"/>
  <c r="I12" i="24" s="1"/>
  <c r="G15" i="15"/>
  <c r="H15" i="15" s="1"/>
  <c r="G12" i="24" s="1"/>
  <c r="L15" i="26"/>
  <c r="D14" i="20"/>
  <c r="E14" i="20" s="1"/>
  <c r="G14" i="20" s="1"/>
  <c r="D13" i="20"/>
  <c r="E13" i="20" s="1"/>
  <c r="G13" i="20" s="1"/>
  <c r="F14" i="13"/>
  <c r="H14" i="13" s="1"/>
  <c r="I11" i="24" s="1"/>
  <c r="D37" i="20"/>
  <c r="E37" i="20" s="1"/>
  <c r="G37" i="20" s="1"/>
  <c r="G37" i="15"/>
  <c r="H37" i="15" s="1"/>
  <c r="G34" i="24" s="1"/>
  <c r="F37" i="13"/>
  <c r="H37" i="13" s="1"/>
  <c r="I34" i="24" s="1"/>
  <c r="G36" i="15"/>
  <c r="H36" i="15" s="1"/>
  <c r="G33" i="24" s="1"/>
  <c r="F36" i="13"/>
  <c r="H36" i="13" s="1"/>
  <c r="I33" i="24" s="1"/>
  <c r="D35" i="20"/>
  <c r="E35" i="20" s="1"/>
  <c r="G35" i="20" s="1"/>
  <c r="G33" i="15"/>
  <c r="H33" i="15" s="1"/>
  <c r="G30" i="24" s="1"/>
  <c r="D32" i="20"/>
  <c r="E32" i="20" s="1"/>
  <c r="G32" i="20" s="1"/>
  <c r="G32" i="15"/>
  <c r="H32" i="15" s="1"/>
  <c r="G29" i="24" s="1"/>
  <c r="L32" i="26"/>
  <c r="D31" i="20"/>
  <c r="E31" i="20" s="1"/>
  <c r="G31" i="20" s="1"/>
  <c r="F32" i="13"/>
  <c r="H32" i="13" s="1"/>
  <c r="I29" i="24" s="1"/>
  <c r="G30" i="15"/>
  <c r="H30" i="15" s="1"/>
  <c r="G27" i="24" s="1"/>
  <c r="L30" i="26"/>
  <c r="F30" i="13"/>
  <c r="H30" i="13" s="1"/>
  <c r="I27" i="24" s="1"/>
  <c r="L29" i="26"/>
  <c r="F29" i="13"/>
  <c r="H29" i="13" s="1"/>
  <c r="I26" i="24" s="1"/>
  <c r="G20" i="15"/>
  <c r="H20" i="15" s="1"/>
  <c r="G17" i="24" s="1"/>
  <c r="L20" i="26"/>
  <c r="F20" i="13"/>
  <c r="H20" i="13" s="1"/>
  <c r="I17" i="24" s="1"/>
  <c r="L27" i="26"/>
  <c r="F27" i="13"/>
  <c r="H27" i="13" s="1"/>
  <c r="I24" i="24" s="1"/>
  <c r="G27" i="15"/>
  <c r="H27" i="15" s="1"/>
  <c r="G24" i="24" s="1"/>
  <c r="D26" i="20"/>
  <c r="E26" i="20" s="1"/>
  <c r="G26" i="20" s="1"/>
  <c r="F26" i="13"/>
  <c r="H26" i="13" s="1"/>
  <c r="I23" i="24" s="1"/>
  <c r="L26" i="26"/>
  <c r="G26" i="15"/>
  <c r="H26" i="15" s="1"/>
  <c r="G23" i="24" s="1"/>
  <c r="L25" i="26"/>
  <c r="F25" i="13"/>
  <c r="H25" i="13" s="1"/>
  <c r="I22" i="24" s="1"/>
  <c r="D24" i="20"/>
  <c r="E24" i="20" s="1"/>
  <c r="G24" i="20" s="1"/>
  <c r="G25" i="15"/>
  <c r="H25" i="15" s="1"/>
  <c r="G22" i="24" s="1"/>
  <c r="F23" i="13"/>
  <c r="H23" i="13" s="1"/>
  <c r="I20" i="24" s="1"/>
  <c r="L22" i="26"/>
  <c r="G22" i="15"/>
  <c r="H22" i="15" s="1"/>
  <c r="G19" i="24" s="1"/>
  <c r="D20" i="20"/>
  <c r="E20" i="20" s="1"/>
  <c r="G20" i="20" s="1"/>
  <c r="F21" i="13"/>
  <c r="H21" i="13" s="1"/>
  <c r="I18" i="24" s="1"/>
  <c r="G21" i="15"/>
  <c r="H21" i="15" s="1"/>
  <c r="G18" i="24" s="1"/>
  <c r="L21" i="26"/>
  <c r="L19" i="26"/>
  <c r="G19" i="15"/>
  <c r="H19" i="15" s="1"/>
  <c r="G16" i="24" s="1"/>
  <c r="D17" i="20"/>
  <c r="E17" i="20" s="1"/>
  <c r="G17" i="20" s="1"/>
  <c r="G18" i="15"/>
  <c r="H18" i="15" s="1"/>
  <c r="G15" i="24" s="1"/>
  <c r="L18" i="26"/>
  <c r="F18" i="13"/>
  <c r="H18" i="13" s="1"/>
  <c r="I15" i="24" s="1"/>
  <c r="L17" i="26"/>
  <c r="G17" i="15"/>
  <c r="H17" i="15" s="1"/>
  <c r="G14" i="24" s="1"/>
  <c r="G16" i="15"/>
  <c r="H16" i="15" s="1"/>
  <c r="G13" i="24" s="1"/>
  <c r="L16" i="26"/>
  <c r="L13" i="26"/>
  <c r="F13" i="13"/>
  <c r="H13" i="13" s="1"/>
  <c r="I10" i="24" s="1"/>
  <c r="D11" i="20"/>
  <c r="E11" i="20" s="1"/>
  <c r="G11" i="20" s="1"/>
  <c r="G12" i="15"/>
  <c r="H12" i="15" s="1"/>
  <c r="G9" i="24" s="1"/>
  <c r="F12" i="13"/>
  <c r="H12" i="13" s="1"/>
  <c r="I9" i="24" s="1"/>
  <c r="L12" i="26"/>
  <c r="E39" i="25"/>
  <c r="G39" i="25" s="1"/>
  <c r="G40" i="15" s="1"/>
  <c r="F11" i="13"/>
  <c r="H11" i="13" s="1"/>
  <c r="I8" i="24" s="1"/>
  <c r="G11" i="15"/>
  <c r="H11" i="15" s="1"/>
  <c r="G8" i="24" s="1"/>
  <c r="D10" i="20"/>
  <c r="E10" i="20" s="1"/>
  <c r="G10" i="20" s="1"/>
  <c r="L10" i="26"/>
  <c r="F10" i="13"/>
  <c r="H10" i="13" s="1"/>
  <c r="I7" i="24" s="1"/>
  <c r="G10" i="15"/>
  <c r="H10" i="15" s="1"/>
  <c r="G7" i="24" s="1"/>
  <c r="F9" i="13"/>
  <c r="H9" i="13" s="1"/>
  <c r="G9" i="15"/>
  <c r="H9" i="15" s="1"/>
  <c r="D8" i="20"/>
  <c r="E8" i="20" s="1"/>
  <c r="L9" i="26"/>
  <c r="N13" i="24"/>
  <c r="N22" i="24"/>
  <c r="N29" i="24"/>
  <c r="N11" i="24"/>
  <c r="N20" i="24"/>
  <c r="N27" i="24"/>
  <c r="N6" i="24"/>
  <c r="N14" i="24"/>
  <c r="N8" i="24"/>
  <c r="N16" i="24"/>
  <c r="N17" i="24"/>
  <c r="N32" i="24"/>
  <c r="N10" i="24"/>
  <c r="N25" i="24"/>
  <c r="N18" i="24"/>
  <c r="N30" i="24"/>
  <c r="N23" i="24"/>
  <c r="N34" i="24"/>
  <c r="N7" i="24"/>
  <c r="N26" i="24"/>
  <c r="N19" i="24"/>
  <c r="N31" i="24"/>
  <c r="N12" i="24"/>
  <c r="N33" i="24"/>
  <c r="N24" i="24"/>
  <c r="N21" i="24"/>
  <c r="N9" i="24"/>
  <c r="C15" i="32"/>
  <c r="G29" i="15" l="1"/>
  <c r="H29" i="15" s="1"/>
  <c r="G26" i="24" s="1"/>
  <c r="M33" i="31"/>
  <c r="G32" i="26"/>
  <c r="J32" i="26" s="1"/>
  <c r="K32" i="26" s="1"/>
  <c r="M27" i="31"/>
  <c r="G27" i="26"/>
  <c r="J27" i="26" s="1"/>
  <c r="K27" i="26" s="1"/>
  <c r="M30" i="31"/>
  <c r="G29" i="26"/>
  <c r="J29" i="26" s="1"/>
  <c r="K29" i="26" s="1"/>
  <c r="M29" i="26" s="1"/>
  <c r="Q29" i="26" s="1"/>
  <c r="S29" i="26" s="1"/>
  <c r="F26" i="24" s="1"/>
  <c r="J26" i="24" s="1"/>
  <c r="M7" i="31"/>
  <c r="G10" i="26"/>
  <c r="J10" i="26" s="1"/>
  <c r="K10" i="26" s="1"/>
  <c r="M10" i="26" s="1"/>
  <c r="Q10" i="26" s="1"/>
  <c r="S10" i="26" s="1"/>
  <c r="F7" i="24" s="1"/>
  <c r="J7" i="24" s="1"/>
  <c r="M12" i="31"/>
  <c r="G15" i="26"/>
  <c r="J15" i="26" s="1"/>
  <c r="K15" i="26" s="1"/>
  <c r="M15" i="26" s="1"/>
  <c r="Q15" i="26" s="1"/>
  <c r="S15" i="26" s="1"/>
  <c r="F12" i="24" s="1"/>
  <c r="J12" i="24" s="1"/>
  <c r="M36" i="31"/>
  <c r="G34" i="26"/>
  <c r="J34" i="26" s="1"/>
  <c r="K34" i="26" s="1"/>
  <c r="M28" i="31"/>
  <c r="G28" i="26"/>
  <c r="J28" i="26" s="1"/>
  <c r="K28" i="26" s="1"/>
  <c r="M15" i="31"/>
  <c r="G17" i="26"/>
  <c r="J17" i="26" s="1"/>
  <c r="K17" i="26" s="1"/>
  <c r="M17" i="26" s="1"/>
  <c r="Q17" i="26" s="1"/>
  <c r="S17" i="26" s="1"/>
  <c r="F14" i="24" s="1"/>
  <c r="J14" i="24" s="1"/>
  <c r="M41" i="31"/>
  <c r="G18" i="26"/>
  <c r="J18" i="26" s="1"/>
  <c r="K18" i="26" s="1"/>
  <c r="M9" i="31"/>
  <c r="G12" i="26"/>
  <c r="J12" i="26" s="1"/>
  <c r="K12" i="26" s="1"/>
  <c r="M32" i="31"/>
  <c r="G31" i="26"/>
  <c r="J31" i="26" s="1"/>
  <c r="K31" i="26" s="1"/>
  <c r="M31" i="26" s="1"/>
  <c r="Q31" i="26" s="1"/>
  <c r="S31" i="26" s="1"/>
  <c r="F28" i="24" s="1"/>
  <c r="J28" i="24" s="1"/>
  <c r="M11" i="31"/>
  <c r="G14" i="26"/>
  <c r="J14" i="26" s="1"/>
  <c r="K14" i="26" s="1"/>
  <c r="M14" i="26" s="1"/>
  <c r="Q14" i="26" s="1"/>
  <c r="S14" i="26" s="1"/>
  <c r="F11" i="24" s="1"/>
  <c r="J11" i="24" s="1"/>
  <c r="M10" i="31"/>
  <c r="G13" i="26"/>
  <c r="J13" i="26" s="1"/>
  <c r="K13" i="26" s="1"/>
  <c r="M25" i="31"/>
  <c r="G25" i="26"/>
  <c r="J25" i="26" s="1"/>
  <c r="K25" i="26" s="1"/>
  <c r="M35" i="31"/>
  <c r="G33" i="26"/>
  <c r="J33" i="26" s="1"/>
  <c r="K33" i="26" s="1"/>
  <c r="M24" i="31"/>
  <c r="G22" i="26"/>
  <c r="J22" i="26" s="1"/>
  <c r="K22" i="26" s="1"/>
  <c r="M22" i="26" s="1"/>
  <c r="Q22" i="26" s="1"/>
  <c r="S22" i="26" s="1"/>
  <c r="F19" i="24" s="1"/>
  <c r="J19" i="24" s="1"/>
  <c r="M34" i="31"/>
  <c r="G37" i="26"/>
  <c r="J37" i="26" s="1"/>
  <c r="K37" i="26" s="1"/>
  <c r="M29" i="31"/>
  <c r="J11" i="26"/>
  <c r="K11" i="26" s="1"/>
  <c r="M11" i="26" s="1"/>
  <c r="Q11" i="26" s="1"/>
  <c r="S11" i="26" s="1"/>
  <c r="F8" i="24" s="1"/>
  <c r="J8" i="24" s="1"/>
  <c r="M44" i="31"/>
  <c r="G36" i="26"/>
  <c r="J36" i="26" s="1"/>
  <c r="K36" i="26" s="1"/>
  <c r="M36" i="26" s="1"/>
  <c r="Q36" i="26" s="1"/>
  <c r="S36" i="26" s="1"/>
  <c r="F33" i="24" s="1"/>
  <c r="J33" i="24" s="1"/>
  <c r="M17" i="31"/>
  <c r="G20" i="26"/>
  <c r="J20" i="26" s="1"/>
  <c r="K20" i="26" s="1"/>
  <c r="M20" i="26" s="1"/>
  <c r="Q20" i="26" s="1"/>
  <c r="S20" i="26" s="1"/>
  <c r="F17" i="24" s="1"/>
  <c r="J17" i="24" s="1"/>
  <c r="M42" i="31"/>
  <c r="G24" i="26"/>
  <c r="J24" i="26" s="1"/>
  <c r="K24" i="26" s="1"/>
  <c r="M24" i="26" s="1"/>
  <c r="Q24" i="26" s="1"/>
  <c r="S24" i="26" s="1"/>
  <c r="F21" i="24" s="1"/>
  <c r="J21" i="24" s="1"/>
  <c r="M23" i="31"/>
  <c r="G21" i="26"/>
  <c r="J21" i="26" s="1"/>
  <c r="K21" i="26" s="1"/>
  <c r="M6" i="31"/>
  <c r="G9" i="26"/>
  <c r="M31" i="31"/>
  <c r="G30" i="26"/>
  <c r="J30" i="26" s="1"/>
  <c r="K30" i="26" s="1"/>
  <c r="M30" i="26" s="1"/>
  <c r="Q30" i="26" s="1"/>
  <c r="S30" i="26" s="1"/>
  <c r="F27" i="24" s="1"/>
  <c r="J27" i="24" s="1"/>
  <c r="M45" i="31"/>
  <c r="G35" i="26"/>
  <c r="J35" i="26" s="1"/>
  <c r="K35" i="26" s="1"/>
  <c r="M13" i="31"/>
  <c r="G16" i="26"/>
  <c r="J16" i="26" s="1"/>
  <c r="K16" i="26" s="1"/>
  <c r="M16" i="26" s="1"/>
  <c r="Q16" i="26" s="1"/>
  <c r="S16" i="26" s="1"/>
  <c r="F13" i="24" s="1"/>
  <c r="J13" i="24" s="1"/>
  <c r="M28" i="26"/>
  <c r="Q28" i="26" s="1"/>
  <c r="S28" i="26" s="1"/>
  <c r="F25" i="24" s="1"/>
  <c r="J25" i="24" s="1"/>
  <c r="M23" i="26"/>
  <c r="Q23" i="26" s="1"/>
  <c r="S23" i="26" s="1"/>
  <c r="F20" i="24" s="1"/>
  <c r="J20" i="24" s="1"/>
  <c r="M25" i="26"/>
  <c r="Q25" i="26" s="1"/>
  <c r="S25" i="26" s="1"/>
  <c r="F22" i="24" s="1"/>
  <c r="J22" i="24" s="1"/>
  <c r="M27" i="26"/>
  <c r="Q27" i="26" s="1"/>
  <c r="S27" i="26" s="1"/>
  <c r="F24" i="24" s="1"/>
  <c r="J24" i="24" s="1"/>
  <c r="K48" i="31"/>
  <c r="M13" i="26"/>
  <c r="Q13" i="26" s="1"/>
  <c r="S13" i="26" s="1"/>
  <c r="F10" i="24" s="1"/>
  <c r="J10" i="24" s="1"/>
  <c r="M33" i="26"/>
  <c r="Q33" i="26" s="1"/>
  <c r="S33" i="26" s="1"/>
  <c r="F30" i="24" s="1"/>
  <c r="J30" i="24" s="1"/>
  <c r="M34" i="26"/>
  <c r="Q34" i="26" s="1"/>
  <c r="S34" i="26" s="1"/>
  <c r="F31" i="24" s="1"/>
  <c r="J31" i="24" s="1"/>
  <c r="M21" i="26"/>
  <c r="Q21" i="26" s="1"/>
  <c r="S21" i="26" s="1"/>
  <c r="F18" i="24" s="1"/>
  <c r="J18" i="24" s="1"/>
  <c r="M38" i="26"/>
  <c r="Q38" i="26" s="1"/>
  <c r="S38" i="26" s="1"/>
  <c r="F35" i="24" s="1"/>
  <c r="J35" i="24" s="1"/>
  <c r="H37" i="35"/>
  <c r="H46" i="35" s="1"/>
  <c r="D38" i="27"/>
  <c r="E7" i="27"/>
  <c r="H6" i="24" s="1"/>
  <c r="M12" i="26"/>
  <c r="Q12" i="26" s="1"/>
  <c r="S12" i="26" s="1"/>
  <c r="F9" i="24" s="1"/>
  <c r="J9" i="24" s="1"/>
  <c r="J48" i="31"/>
  <c r="L47" i="31"/>
  <c r="M47" i="31" s="1"/>
  <c r="H48" i="31"/>
  <c r="I36" i="31" s="1"/>
  <c r="L37" i="31"/>
  <c r="M35" i="26"/>
  <c r="Q35" i="26" s="1"/>
  <c r="S35" i="26" s="1"/>
  <c r="F32" i="24" s="1"/>
  <c r="J32" i="24" s="1"/>
  <c r="M18" i="26"/>
  <c r="Q18" i="26" s="1"/>
  <c r="S18" i="26" s="1"/>
  <c r="F15" i="24" s="1"/>
  <c r="J15" i="24" s="1"/>
  <c r="M19" i="26"/>
  <c r="Q19" i="26" s="1"/>
  <c r="S19" i="26" s="1"/>
  <c r="F16" i="24" s="1"/>
  <c r="J16" i="24" s="1"/>
  <c r="M37" i="26"/>
  <c r="Q37" i="26" s="1"/>
  <c r="S37" i="26" s="1"/>
  <c r="F34" i="24" s="1"/>
  <c r="J34" i="24" s="1"/>
  <c r="M26" i="26"/>
  <c r="Q26" i="26" s="1"/>
  <c r="S26" i="26" s="1"/>
  <c r="F23" i="24" s="1"/>
  <c r="J23" i="24" s="1"/>
  <c r="M32" i="26"/>
  <c r="Q32" i="26" s="1"/>
  <c r="S32" i="26" s="1"/>
  <c r="F29" i="24" s="1"/>
  <c r="J29" i="24" s="1"/>
  <c r="L40" i="26"/>
  <c r="D39" i="20"/>
  <c r="G8" i="20"/>
  <c r="E39" i="20"/>
  <c r="G39" i="20" s="1"/>
  <c r="H40" i="15"/>
  <c r="G6" i="24"/>
  <c r="I6" i="24"/>
  <c r="I37" i="24" s="1"/>
  <c r="H40" i="13"/>
  <c r="N37" i="24"/>
  <c r="G37" i="24" l="1"/>
  <c r="G40" i="26"/>
  <c r="J9" i="26"/>
  <c r="I32" i="31"/>
  <c r="H37" i="24"/>
  <c r="E38" i="27"/>
  <c r="I42" i="31"/>
  <c r="I10" i="31"/>
  <c r="I9" i="31"/>
  <c r="I8" i="31"/>
  <c r="L48" i="31"/>
  <c r="M48" i="31" s="1"/>
  <c r="I16" i="31"/>
  <c r="I27" i="31"/>
  <c r="I13" i="31"/>
  <c r="I33" i="31"/>
  <c r="I23" i="31"/>
  <c r="I25" i="31"/>
  <c r="I29" i="31"/>
  <c r="I43" i="31"/>
  <c r="I15" i="31"/>
  <c r="I31" i="31"/>
  <c r="I46" i="31"/>
  <c r="I22" i="31"/>
  <c r="I44" i="31"/>
  <c r="I41" i="31"/>
  <c r="I26" i="31"/>
  <c r="I30" i="31"/>
  <c r="I21" i="31"/>
  <c r="I35" i="31"/>
  <c r="I7" i="31"/>
  <c r="I34" i="31"/>
  <c r="I24" i="31"/>
  <c r="I45" i="31"/>
  <c r="I40" i="31"/>
  <c r="I19" i="31"/>
  <c r="I18" i="31"/>
  <c r="I20" i="31"/>
  <c r="I28" i="31"/>
  <c r="I6" i="31"/>
  <c r="I11" i="31"/>
  <c r="I12" i="31"/>
  <c r="I14" i="31"/>
  <c r="M37" i="31"/>
  <c r="J40" i="26" l="1"/>
  <c r="K9" i="26"/>
  <c r="I47" i="31"/>
  <c r="I17" i="31"/>
  <c r="I37" i="31" s="1"/>
  <c r="K40" i="26" l="1"/>
  <c r="M9" i="26"/>
  <c r="I48" i="31"/>
  <c r="Q9" i="26" l="1"/>
  <c r="M40" i="26"/>
  <c r="Q40" i="26" l="1"/>
  <c r="S9" i="26"/>
  <c r="F6" i="24" l="1"/>
  <c r="S40" i="26"/>
  <c r="B6" i="32"/>
  <c r="F37" i="24" l="1"/>
  <c r="J6" i="24"/>
  <c r="B9" i="32"/>
  <c r="J37" i="24" l="1"/>
  <c r="K6" i="24" s="1"/>
  <c r="B11" i="32"/>
  <c r="O6" i="24" l="1"/>
  <c r="K31" i="24"/>
  <c r="O31" i="24" s="1"/>
  <c r="P31" i="24" s="1"/>
  <c r="K28" i="24"/>
  <c r="O28" i="24" s="1"/>
  <c r="P28" i="24" s="1"/>
  <c r="K8" i="24"/>
  <c r="O8" i="24" s="1"/>
  <c r="P8" i="24" s="1"/>
  <c r="K16" i="24"/>
  <c r="O16" i="24" s="1"/>
  <c r="P16" i="24" s="1"/>
  <c r="K27" i="24"/>
  <c r="O27" i="24" s="1"/>
  <c r="P27" i="24" s="1"/>
  <c r="K35" i="24"/>
  <c r="O35" i="24" s="1"/>
  <c r="P35" i="24" s="1"/>
  <c r="K21" i="24"/>
  <c r="O21" i="24" s="1"/>
  <c r="P21" i="24" s="1"/>
  <c r="K22" i="24"/>
  <c r="O22" i="24" s="1"/>
  <c r="P22" i="24" s="1"/>
  <c r="K23" i="24"/>
  <c r="O23" i="24" s="1"/>
  <c r="P23" i="24" s="1"/>
  <c r="R23" i="24" s="1"/>
  <c r="K17" i="24"/>
  <c r="O17" i="24" s="1"/>
  <c r="P17" i="24" s="1"/>
  <c r="K18" i="24"/>
  <c r="O18" i="24" s="1"/>
  <c r="P18" i="24" s="1"/>
  <c r="K10" i="24"/>
  <c r="O10" i="24" s="1"/>
  <c r="P10" i="24" s="1"/>
  <c r="K13" i="24"/>
  <c r="O13" i="24" s="1"/>
  <c r="P13" i="24" s="1"/>
  <c r="K15" i="24"/>
  <c r="O15" i="24" s="1"/>
  <c r="P15" i="24" s="1"/>
  <c r="K11" i="24"/>
  <c r="O11" i="24" s="1"/>
  <c r="P11" i="24" s="1"/>
  <c r="K7" i="24"/>
  <c r="O7" i="24" s="1"/>
  <c r="P7" i="24" s="1"/>
  <c r="K34" i="24"/>
  <c r="O34" i="24" s="1"/>
  <c r="P34" i="24" s="1"/>
  <c r="K14" i="24"/>
  <c r="O14" i="24" s="1"/>
  <c r="P14" i="24" s="1"/>
  <c r="K32" i="24"/>
  <c r="O32" i="24" s="1"/>
  <c r="P32" i="24" s="1"/>
  <c r="K29" i="24"/>
  <c r="O29" i="24" s="1"/>
  <c r="P29" i="24" s="1"/>
  <c r="K25" i="24"/>
  <c r="O25" i="24" s="1"/>
  <c r="P25" i="24" s="1"/>
  <c r="K19" i="24"/>
  <c r="O19" i="24" s="1"/>
  <c r="P19" i="24" s="1"/>
  <c r="K24" i="24"/>
  <c r="O24" i="24" s="1"/>
  <c r="P24" i="24" s="1"/>
  <c r="K12" i="24"/>
  <c r="O12" i="24" s="1"/>
  <c r="P12" i="24" s="1"/>
  <c r="K30" i="24"/>
  <c r="O30" i="24" s="1"/>
  <c r="P30" i="24" s="1"/>
  <c r="K20" i="24"/>
  <c r="O20" i="24" s="1"/>
  <c r="P20" i="24" s="1"/>
  <c r="K26" i="24"/>
  <c r="O26" i="24" s="1"/>
  <c r="P26" i="24" s="1"/>
  <c r="K9" i="24"/>
  <c r="O9" i="24" s="1"/>
  <c r="P9" i="24" s="1"/>
  <c r="K33" i="24"/>
  <c r="O33" i="24" s="1"/>
  <c r="P33" i="24" s="1"/>
  <c r="C9" i="32"/>
  <c r="C11" i="32"/>
  <c r="C6" i="32"/>
  <c r="R15" i="24" l="1"/>
  <c r="S15" i="24" s="1"/>
  <c r="R25" i="24"/>
  <c r="S25" i="24" s="1"/>
  <c r="R29" i="24"/>
  <c r="S29" i="24" s="1"/>
  <c r="R26" i="24"/>
  <c r="S26" i="24" s="1"/>
  <c r="R28" i="24"/>
  <c r="S28" i="24" s="1"/>
  <c r="R30" i="24"/>
  <c r="S30" i="24" s="1"/>
  <c r="R34" i="24"/>
  <c r="S34" i="24" s="1"/>
  <c r="S23" i="24"/>
  <c r="R31" i="24"/>
  <c r="S31" i="24" s="1"/>
  <c r="R19" i="24"/>
  <c r="S19" i="24" s="1"/>
  <c r="R33" i="24"/>
  <c r="S33" i="24" s="1"/>
  <c r="R27" i="24"/>
  <c r="S27" i="24" s="1"/>
  <c r="R10" i="24"/>
  <c r="S10" i="24" s="1"/>
  <c r="R32" i="24"/>
  <c r="S32" i="24" s="1"/>
  <c r="R8" i="24"/>
  <c r="S8" i="24" s="1"/>
  <c r="R17" i="24"/>
  <c r="S17" i="24" s="1"/>
  <c r="R12" i="24"/>
  <c r="S12" i="24" s="1"/>
  <c r="R7" i="24"/>
  <c r="S7" i="24" s="1"/>
  <c r="R22" i="24"/>
  <c r="S22" i="24" s="1"/>
  <c r="K37" i="24"/>
  <c r="R35" i="24"/>
  <c r="R13" i="24"/>
  <c r="S13" i="24" s="1"/>
  <c r="R9" i="24"/>
  <c r="S9" i="24" s="1"/>
  <c r="R16" i="24"/>
  <c r="S16" i="24" s="1"/>
  <c r="R18" i="24"/>
  <c r="S18" i="24" s="1"/>
  <c r="R20" i="24"/>
  <c r="S20" i="24" s="1"/>
  <c r="R14" i="24"/>
  <c r="S14" i="24" s="1"/>
  <c r="R24" i="24"/>
  <c r="S24" i="24" s="1"/>
  <c r="R11" i="24"/>
  <c r="S11" i="24" s="1"/>
  <c r="R21" i="24"/>
  <c r="S21" i="24" s="1"/>
  <c r="P6" i="24"/>
  <c r="O37" i="24"/>
  <c r="C5" i="32"/>
  <c r="S35" i="24" l="1"/>
  <c r="B5" i="32"/>
  <c r="P37" i="24"/>
  <c r="Q6" i="24" s="1"/>
  <c r="R6" i="24"/>
  <c r="R37" i="24" l="1"/>
  <c r="S37" i="24" s="1"/>
  <c r="S6" i="24"/>
  <c r="Q35" i="24"/>
  <c r="Q18" i="24"/>
  <c r="Q11" i="24"/>
  <c r="Q14" i="24"/>
  <c r="Q29" i="24"/>
  <c r="Q33" i="24"/>
  <c r="Q22" i="24"/>
  <c r="Q16" i="24"/>
  <c r="Q23" i="24"/>
  <c r="Q27" i="24"/>
  <c r="Q15" i="24"/>
  <c r="Q28" i="24"/>
  <c r="Q31" i="24"/>
  <c r="Q10" i="24"/>
  <c r="Q12" i="24"/>
  <c r="Q13" i="24"/>
  <c r="Q20" i="24"/>
  <c r="Q21" i="24"/>
  <c r="Q25" i="24"/>
  <c r="Q30" i="24"/>
  <c r="Q19" i="24"/>
  <c r="Q7" i="24"/>
  <c r="Q9" i="24"/>
  <c r="Q34" i="24"/>
  <c r="Q24" i="24"/>
  <c r="Q32" i="24"/>
  <c r="Q26" i="24"/>
  <c r="Q17" i="24"/>
  <c r="Q8" i="24"/>
  <c r="Q37" i="24" l="1"/>
</calcChain>
</file>

<file path=xl/sharedStrings.xml><?xml version="1.0" encoding="utf-8"?>
<sst xmlns="http://schemas.openxmlformats.org/spreadsheetml/2006/main" count="1033" uniqueCount="336">
  <si>
    <t>Inst ID</t>
  </si>
  <si>
    <t>Institution Name</t>
  </si>
  <si>
    <t>0203</t>
  </si>
  <si>
    <t>Alexandria TC</t>
  </si>
  <si>
    <t>0152</t>
  </si>
  <si>
    <t>0070</t>
  </si>
  <si>
    <t>0301</t>
  </si>
  <si>
    <t>Central Lakes College</t>
  </si>
  <si>
    <t>0304</t>
  </si>
  <si>
    <t>Century College</t>
  </si>
  <si>
    <t>0211</t>
  </si>
  <si>
    <t>Dakota County TC</t>
  </si>
  <si>
    <t>0163</t>
  </si>
  <si>
    <t>Fond du Lac Tribal &amp; CC</t>
  </si>
  <si>
    <t>0204</t>
  </si>
  <si>
    <t>Hennepin TC</t>
  </si>
  <si>
    <t>0302</t>
  </si>
  <si>
    <t>Lake Superior College</t>
  </si>
  <si>
    <t>0076</t>
  </si>
  <si>
    <t>0305</t>
  </si>
  <si>
    <t>Minneapolis College</t>
  </si>
  <si>
    <t>0213</t>
  </si>
  <si>
    <t>0071</t>
  </si>
  <si>
    <t>Minnesota SU, Mankato</t>
  </si>
  <si>
    <t>0209</t>
  </si>
  <si>
    <t>Minnesota West College</t>
  </si>
  <si>
    <t>0072</t>
  </si>
  <si>
    <t>0156</t>
  </si>
  <si>
    <t>Normandale CC</t>
  </si>
  <si>
    <t>0153</t>
  </si>
  <si>
    <t>North Hennepin CC</t>
  </si>
  <si>
    <t>0303</t>
  </si>
  <si>
    <t>Northland College</t>
  </si>
  <si>
    <t>0205</t>
  </si>
  <si>
    <t>Pine TC</t>
  </si>
  <si>
    <t>0308</t>
  </si>
  <si>
    <t>Ridgewater College</t>
  </si>
  <si>
    <t>0307</t>
  </si>
  <si>
    <t>Riverland College</t>
  </si>
  <si>
    <t>0306</t>
  </si>
  <si>
    <t>Rochester College</t>
  </si>
  <si>
    <t>0309</t>
  </si>
  <si>
    <t>0075</t>
  </si>
  <si>
    <t>0073</t>
  </si>
  <si>
    <t>St. Cloud SU</t>
  </si>
  <si>
    <t>0208</t>
  </si>
  <si>
    <t>0206</t>
  </si>
  <si>
    <t>0074</t>
  </si>
  <si>
    <t>Winona SU</t>
  </si>
  <si>
    <t>TOTAL</t>
  </si>
  <si>
    <t>MnSCU Finance Division</t>
  </si>
  <si>
    <t>I</t>
  </si>
  <si>
    <t>A</t>
  </si>
  <si>
    <t>B</t>
  </si>
  <si>
    <t>D</t>
  </si>
  <si>
    <t>C</t>
  </si>
  <si>
    <t>E</t>
  </si>
  <si>
    <t>F</t>
  </si>
  <si>
    <t>G</t>
  </si>
  <si>
    <t>H</t>
  </si>
  <si>
    <t>K</t>
  </si>
  <si>
    <t>M</t>
  </si>
  <si>
    <t>Minnesota SU Moorhead</t>
  </si>
  <si>
    <t>Northeast Higher Education District</t>
  </si>
  <si>
    <t>N</t>
  </si>
  <si>
    <t>O</t>
  </si>
  <si>
    <t>Allocation for Facilities</t>
  </si>
  <si>
    <t>TOTAL ALLOCATION FRAMEWORK</t>
  </si>
  <si>
    <t>Metropolitan SU</t>
  </si>
  <si>
    <t>Southwest Minnesota SU</t>
  </si>
  <si>
    <t>Saint Paul College</t>
  </si>
  <si>
    <t>Minnesota SC-Southeast Technical</t>
  </si>
  <si>
    <t>Minnesota State Colleges and Universities</t>
  </si>
  <si>
    <t>INSTRUCTION AND ACADEMIC SUPPORT</t>
  </si>
  <si>
    <t>b</t>
  </si>
  <si>
    <t>c</t>
  </si>
  <si>
    <t>d</t>
  </si>
  <si>
    <t>e</t>
  </si>
  <si>
    <t>f</t>
  </si>
  <si>
    <t>a</t>
  </si>
  <si>
    <t>10% of LD expended</t>
  </si>
  <si>
    <t>g</t>
  </si>
  <si>
    <t>h</t>
  </si>
  <si>
    <t>Institution</t>
  </si>
  <si>
    <t>Regional Dean of Mgmt Education</t>
  </si>
  <si>
    <t>Departmental Research</t>
  </si>
  <si>
    <t>Instruction &amp; Academic Support Change</t>
  </si>
  <si>
    <t>ACADEMIC SUPPORT PER FYE ADDED TO EACH INSTRUCTIONAL PROGRAM</t>
  </si>
  <si>
    <t>c/d</t>
  </si>
  <si>
    <t>Academic Support Per FYE Added to Each Instructional Program</t>
  </si>
  <si>
    <t>SEPARATELY BUDGETED RESEARCH AND PUBLIC SERVICE</t>
  </si>
  <si>
    <t>Allocation for Separately Budgeted Research and Public Service</t>
  </si>
  <si>
    <t>Total</t>
  </si>
  <si>
    <t>REVENUE OFFSET</t>
  </si>
  <si>
    <t>a-b</t>
  </si>
  <si>
    <t>Less Specific Revenue</t>
  </si>
  <si>
    <t>Net GEN Revenue</t>
  </si>
  <si>
    <t>a * c</t>
  </si>
  <si>
    <t>$500/fye</t>
  </si>
  <si>
    <t>k</t>
  </si>
  <si>
    <t>Dollars per FYE</t>
  </si>
  <si>
    <t xml:space="preserve">Dollars Generated Per FYE   </t>
  </si>
  <si>
    <t>Allocation    Sub-Total</t>
  </si>
  <si>
    <t>Multi Campus Adjustment</t>
  </si>
  <si>
    <t>FACILITIES -- OPERATIONS AND REPAIR/REPLACEMENT</t>
  </si>
  <si>
    <t>Operations and Maintenance</t>
  </si>
  <si>
    <t>Multiple Campus Factor</t>
  </si>
  <si>
    <t>Gross Operations</t>
  </si>
  <si>
    <t>SQ FT</t>
  </si>
  <si>
    <t>0442</t>
  </si>
  <si>
    <t>0403</t>
  </si>
  <si>
    <t>i</t>
  </si>
  <si>
    <t>Minnesota State College</t>
  </si>
  <si>
    <t>Bemidji SU &amp; Northwest TC-Bemidji</t>
  </si>
  <si>
    <t>50% Allocation Framework % Share</t>
  </si>
  <si>
    <t>P</t>
  </si>
  <si>
    <t>a*(1-b)</t>
  </si>
  <si>
    <t>South Central College</t>
  </si>
  <si>
    <t>0411</t>
  </si>
  <si>
    <t>Revenue Buydown</t>
  </si>
  <si>
    <t>J</t>
  </si>
  <si>
    <t>90/110</t>
  </si>
  <si>
    <t>St. Cloud College</t>
  </si>
  <si>
    <t>j</t>
  </si>
  <si>
    <t>Anoka Ramsey CC - Anoka TC</t>
  </si>
  <si>
    <t>*MnSCU funds 110 and 830; excludes auxiliary/agency activities and transfers</t>
  </si>
  <si>
    <t>STUDENT SUPPORT SERVICES AND INSTITUTIONAL SUPPORT</t>
  </si>
  <si>
    <t>Enter Base #</t>
  </si>
  <si>
    <t>Alexandria TCC</t>
  </si>
  <si>
    <t>Minneapolis CTC</t>
  </si>
  <si>
    <t>Pine TCC</t>
  </si>
  <si>
    <t>Riverland Community College</t>
  </si>
  <si>
    <t>Normandale Community College</t>
  </si>
  <si>
    <t>North Hennepin Community College</t>
  </si>
  <si>
    <t>Northland CTC</t>
  </si>
  <si>
    <t>Rochester CTC</t>
  </si>
  <si>
    <t>St. Cloud TCC</t>
  </si>
  <si>
    <t>Minnesota West CTC</t>
  </si>
  <si>
    <t>Q</t>
  </si>
  <si>
    <t>Hennepin Technical College</t>
  </si>
  <si>
    <t>Metropolitan State University</t>
  </si>
  <si>
    <t>Minnesota State CTC</t>
  </si>
  <si>
    <t>2 Year Average Allocation Instruction</t>
  </si>
  <si>
    <t>e=c*(1-d)</t>
  </si>
  <si>
    <t>Research</t>
  </si>
  <si>
    <t>Public Service</t>
  </si>
  <si>
    <t>Dakota County TC - Inver Hills CC</t>
  </si>
  <si>
    <t>Allocation for Student Success</t>
  </si>
  <si>
    <t>Sum A thru E</t>
  </si>
  <si>
    <t>F/tot F</t>
  </si>
  <si>
    <t>H/tot H</t>
  </si>
  <si>
    <t>i*$X</t>
  </si>
  <si>
    <t>L</t>
  </si>
  <si>
    <t>j+k</t>
  </si>
  <si>
    <t>g*$X</t>
  </si>
  <si>
    <t>L/tot L</t>
  </si>
  <si>
    <t>L-H</t>
  </si>
  <si>
    <t>N/H</t>
  </si>
  <si>
    <t>The lower the %, the more expenses are recognized</t>
  </si>
  <si>
    <t>(c-d)/c</t>
  </si>
  <si>
    <t xml:space="preserve"> c</t>
  </si>
  <si>
    <t>Student Support and Institutional Support Regression Split and Headcount Recognition</t>
  </si>
  <si>
    <t>Student Support and Institutional Support Regression Splt and Headcount Recognition</t>
  </si>
  <si>
    <t>e*g</t>
  </si>
  <si>
    <t>b + d + f +h</t>
  </si>
  <si>
    <t>i*(1-f)</t>
  </si>
  <si>
    <t>k + l</t>
  </si>
  <si>
    <t>l</t>
  </si>
  <si>
    <t>m</t>
  </si>
  <si>
    <t>n</t>
  </si>
  <si>
    <t>Institutional Support Core</t>
  </si>
  <si>
    <t>Student Services Core</t>
  </si>
  <si>
    <t>Dollars per Headcount</t>
  </si>
  <si>
    <t>Dollars Generated Per Headcount</t>
  </si>
  <si>
    <t>Core plus Dollars per Headcount/FYE</t>
  </si>
  <si>
    <t>2 Year Average Allocation Student Services &amp; Institutional Support</t>
  </si>
  <si>
    <t>Includes Library Spending</t>
  </si>
  <si>
    <t xml:space="preserve">Minnesota SC-Southeast </t>
  </si>
  <si>
    <t>Student Success Measures</t>
  </si>
  <si>
    <t>Exceeding Expected Rates</t>
  </si>
  <si>
    <t>Improved Rates for SOC</t>
  </si>
  <si>
    <t>Colleges / Universities</t>
  </si>
  <si>
    <t>Cohort</t>
  </si>
  <si>
    <t>Success-ful</t>
  </si>
  <si>
    <t>Actual Rate</t>
  </si>
  <si>
    <t>Expected Rate</t>
  </si>
  <si>
    <t>Upper Limit One SD</t>
  </si>
  <si>
    <t>Expected Successful One SD</t>
  </si>
  <si>
    <t>Allocation</t>
  </si>
  <si>
    <t>Alexandria Technical and Community College</t>
  </si>
  <si>
    <t>Anoka-Ramsey Community College</t>
  </si>
  <si>
    <t>Anoka Technical College</t>
  </si>
  <si>
    <t>Dakota County Technical College</t>
  </si>
  <si>
    <t>Inver Hills Community College</t>
  </si>
  <si>
    <t>Minneapolis Community and Technical College</t>
  </si>
  <si>
    <t>Minnesota State College - Southeast Technical</t>
  </si>
  <si>
    <t>Minnesota State Community and Technical College</t>
  </si>
  <si>
    <t xml:space="preserve">   Hibbing Community College</t>
  </si>
  <si>
    <t xml:space="preserve">   Itasca Community College</t>
  </si>
  <si>
    <t xml:space="preserve">   Mesabi Range College</t>
  </si>
  <si>
    <t xml:space="preserve">   Rainy River Community College</t>
  </si>
  <si>
    <t xml:space="preserve">   Vermilion Community College</t>
  </si>
  <si>
    <t>Northland Community &amp; Technical College</t>
  </si>
  <si>
    <t>Northwest Technical College - Bemidji</t>
  </si>
  <si>
    <t>Pine Technical and Community College</t>
  </si>
  <si>
    <t>Rochester Community and Technical College</t>
  </si>
  <si>
    <t>St. Cloud Technical and Community College</t>
  </si>
  <si>
    <t>Colleges</t>
  </si>
  <si>
    <t>Bemidji State University</t>
  </si>
  <si>
    <t>Minnesota State University, Mankato</t>
  </si>
  <si>
    <t>Minnesota State University Moorhead</t>
  </si>
  <si>
    <t>St. Cloud State University</t>
  </si>
  <si>
    <t>Southwest Minnesota State University</t>
  </si>
  <si>
    <t>Winona State University</t>
  </si>
  <si>
    <t>Universities</t>
  </si>
  <si>
    <t>System</t>
  </si>
  <si>
    <t>Change</t>
  </si>
  <si>
    <t>Addnl Success-</t>
  </si>
  <si>
    <t>College / University</t>
  </si>
  <si>
    <t>Denominator</t>
  </si>
  <si>
    <t>ful Students</t>
  </si>
  <si>
    <t>Fond du Lac Tribal and Community College</t>
  </si>
  <si>
    <t>Minnesota State College Southeast</t>
  </si>
  <si>
    <t>Minnesota West Community and Technical College</t>
  </si>
  <si>
    <t>Hibbing Community College</t>
  </si>
  <si>
    <t>Itasca Community College</t>
  </si>
  <si>
    <t>Mesabi Range College</t>
  </si>
  <si>
    <t>Rainy River Community College</t>
  </si>
  <si>
    <t>Vermilion Community College</t>
  </si>
  <si>
    <t>Northland Community and Technical College</t>
  </si>
  <si>
    <t>Additional Weight Modeling based on total headcount and underrepresented headcount</t>
  </si>
  <si>
    <t xml:space="preserve">Additional Weight </t>
  </si>
  <si>
    <t>Concurrrent Weight</t>
  </si>
  <si>
    <t>g=c+d+e-f</t>
  </si>
  <si>
    <t>h=g x weight</t>
  </si>
  <si>
    <t>j=(a-b)+h+i</t>
  </si>
  <si>
    <t>k=j-a/a</t>
  </si>
  <si>
    <t>Total Students</t>
  </si>
  <si>
    <t>Concurrent Headcount</t>
  </si>
  <si>
    <t xml:space="preserve">First Generation </t>
  </si>
  <si>
    <t xml:space="preserve">Pell Eligible </t>
  </si>
  <si>
    <t>Students of Color</t>
  </si>
  <si>
    <t>Concurrent Under represented</t>
  </si>
  <si>
    <t>First Generation + Pell Eligible + Students of Color</t>
  </si>
  <si>
    <t>Percent of Total</t>
  </si>
  <si>
    <t>Additional Weight for First Generation and Pell Eligible</t>
  </si>
  <si>
    <t>Concurrent Weigh</t>
  </si>
  <si>
    <t>Total Adjusted Headcount</t>
  </si>
  <si>
    <t>Percent Change in Adjusted Student Headcount</t>
  </si>
  <si>
    <t>Subtotal:  Colleges</t>
  </si>
  <si>
    <t>Subtotal:  Universities</t>
  </si>
  <si>
    <t>Total: System</t>
  </si>
  <si>
    <t>Total To Be Allocated</t>
  </si>
  <si>
    <t>Minnesota State</t>
  </si>
  <si>
    <t xml:space="preserve">Minnesota State </t>
  </si>
  <si>
    <t>Metro Colleges</t>
  </si>
  <si>
    <t>Non-Metro Colleges</t>
  </si>
  <si>
    <t>Allocation Framework Sector Differences</t>
  </si>
  <si>
    <t>Metro all</t>
  </si>
  <si>
    <t>Non-Metro all</t>
  </si>
  <si>
    <t>Overall shift</t>
  </si>
  <si>
    <t>$ change</t>
  </si>
  <si>
    <t>% of $508 million</t>
  </si>
  <si>
    <t>Instruction &amp; Academic Support</t>
  </si>
  <si>
    <t>Facilities</t>
  </si>
  <si>
    <t>Student Success</t>
  </si>
  <si>
    <t>Student Services &amp; Institutional Support</t>
  </si>
  <si>
    <t>Research &amp; Public Service</t>
  </si>
  <si>
    <t>% Share of Allocation Framework</t>
  </si>
  <si>
    <t>R</t>
  </si>
  <si>
    <t xml:space="preserve">  Hibbing Community College</t>
  </si>
  <si>
    <t xml:space="preserve">  Itasca Community College</t>
  </si>
  <si>
    <t xml:space="preserve">  Mesabi Range College</t>
  </si>
  <si>
    <t xml:space="preserve">  Rainy River Community College</t>
  </si>
  <si>
    <t xml:space="preserve">  Vermilion Community College</t>
  </si>
  <si>
    <t>Expected Success-ful</t>
  </si>
  <si>
    <t>Addnl Success-ful Students One SD</t>
  </si>
  <si>
    <t>Funds per Successful Student</t>
  </si>
  <si>
    <t>Rural College Campus Aid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</si>
  <si>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</si>
  <si>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</si>
  <si>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</si>
  <si>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</si>
  <si>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</si>
  <si>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</si>
  <si>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</si>
  <si>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</si>
  <si>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</si>
  <si>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</si>
  <si>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FY2018 FYE</t>
  </si>
  <si>
    <t>Instruction &amp; Academic Support State Appro Expended</t>
  </si>
  <si>
    <t>Concurrent Enrollment Change</t>
  </si>
  <si>
    <t>Lower Division Change</t>
  </si>
  <si>
    <t>Upper Division Change</t>
  </si>
  <si>
    <t>Graduate Change</t>
  </si>
  <si>
    <t>b+c+d+e+f+g</t>
  </si>
  <si>
    <t>a=h</t>
  </si>
  <si>
    <t>Avg (i+j)</t>
  </si>
  <si>
    <t>FY14-18 Tuition Relief Allocation</t>
  </si>
  <si>
    <t>Actual and Expected Third Term Persistence and Completion Rates and Additional Successful Students</t>
  </si>
  <si>
    <t>Persistence and Completion at Third Term - Students of Color</t>
  </si>
  <si>
    <t xml:space="preserve">FY2022 Base Allocation </t>
  </si>
  <si>
    <t>% Share of FY2022 Allocation</t>
  </si>
  <si>
    <t>FY2022 Allocation for Instruction &amp; Academic Support</t>
  </si>
  <si>
    <t>FY2022 Allocation for Student Services &amp; Institutional Support</t>
  </si>
  <si>
    <t>FP&amp;A - February 2021</t>
  </si>
  <si>
    <t>FY2020</t>
  </si>
  <si>
    <t>FY2023 Allocation for Instruction &amp; Academic Support</t>
  </si>
  <si>
    <t>FY2023 Allocation for Student Services &amp; Institutional Support</t>
  </si>
  <si>
    <t xml:space="preserve">BASED ON FY2021 System DATA </t>
  </si>
  <si>
    <t>FY2021 Total GEN Revenue</t>
  </si>
  <si>
    <t>FY2021 Total State Appropriation</t>
  </si>
  <si>
    <t>FP&amp;A - February 2022</t>
  </si>
  <si>
    <t>FY2021 FYE</t>
  </si>
  <si>
    <t>BASED ON FY2021 System DATA -- February 2022</t>
  </si>
  <si>
    <t>FY2021 Academic Support Net Expenditures</t>
  </si>
  <si>
    <t>FY2021 Academic Support State Appro Expended</t>
  </si>
  <si>
    <t>s:\finance\bargain\FY23 allocation\Summary of FY2023 Institutional Allocation Draft</t>
  </si>
  <si>
    <t>BASED ON FY2021 System DATA and FY2020 NATIONAL DATA -- February 2022</t>
  </si>
  <si>
    <t>Fiscal Year 2023 Based on FY2021 Headcount</t>
  </si>
  <si>
    <t xml:space="preserve">FY2023 Base Allocation </t>
  </si>
  <si>
    <t>% Share of FY2023 Allocation</t>
  </si>
  <si>
    <t>$ Change Over FY2022</t>
  </si>
  <si>
    <t>BASED ON FY2020 System DATA  -- February 2022</t>
  </si>
  <si>
    <t>2018-2020</t>
  </si>
  <si>
    <t xml:space="preserve">Fiscal Years 2018 to 2020 Entering Students </t>
  </si>
  <si>
    <t>Based on FY2018-2020 Enrollment Data</t>
  </si>
  <si>
    <t xml:space="preserve">FY2023 Access &amp; Opportunity </t>
  </si>
  <si>
    <t>Based on FY2021 System Data</t>
  </si>
  <si>
    <t>BASED ON FY2021 System DATA and FY2020 NATIONAL DATA --February 2022</t>
  </si>
  <si>
    <t>FP&amp;A - March 2022</t>
  </si>
  <si>
    <t>Minnesota North College (NHED)</t>
  </si>
  <si>
    <t>Fiscal Year 2020 Entering Students</t>
  </si>
  <si>
    <t>% Change Over FY2022</t>
  </si>
  <si>
    <t>Adjusted FY2021 Headcount</t>
  </si>
  <si>
    <t>50% FY2022 Base %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</si>
</sst>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#,##0.0000_);[Red]\(#,##0.0000\)"/>
    <numFmt numFmtId="166" formatCode="#,##0.00000_);[Red]\(#,##0.00000\)"/>
    <numFmt numFmtId="167" formatCode="0.0%"/>
    <numFmt numFmtId="168" formatCode="_(* #,##0_);_(* \(#,##0\);_(* &quot;-&quot;??_);_(@_)"/>
    <numFmt numFmtId="169" formatCode="&quot;$&quot;#,##0"/>
    <numFmt numFmtId="170" formatCode="#,##0.0000000000"/>
    <numFmt numFmtId="171" formatCode="_(&quot;$&quot;* #,##0_);_(&quot;$&quot;* \(#,##0\);_(&quot;$&quot;* &quot;-&quot;??_);_(@_)"/>
    <numFmt numFmtId="172" formatCode="#,##0.000000000000_);[Red]\(#,##0.000000000000\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 New"/>
      <family val="3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b/>
      <sz val="10"/>
      <name val="Calibri"/>
      <family val="2"/>
      <scheme val="minor"/>
    </font>
    <font>
      <sz val="8"/>
      <name val="Microsoft Sans Serif"/>
      <family val="2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5" fillId="0" borderId="0"/>
    <xf numFmtId="0" fontId="6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29" fillId="0" borderId="0"/>
  </cellStyleXfs>
  <cellXfs count="512">
    <xf numFmtId="0" fontId="0" fillId="0" borderId="0" xfId="0"/>
    <xf numFmtId="0" fontId="4" fillId="2" borderId="1" xfId="7" applyFont="1" applyFill="1" applyBorder="1" applyAlignment="1">
      <alignment horizontal="center" wrapText="1"/>
    </xf>
    <xf numFmtId="0" fontId="6" fillId="2" borderId="0" xfId="7" applyFont="1" applyFill="1" applyBorder="1" applyAlignment="1">
      <alignment horizontal="center" wrapText="1"/>
    </xf>
    <xf numFmtId="0" fontId="6" fillId="0" borderId="1" xfId="7" applyFont="1" applyFill="1" applyBorder="1" applyAlignment="1">
      <alignment horizontal="left" wrapText="1"/>
    </xf>
    <xf numFmtId="0" fontId="7" fillId="0" borderId="0" xfId="0" applyFont="1"/>
    <xf numFmtId="38" fontId="7" fillId="0" borderId="0" xfId="0" applyNumberFormat="1" applyFont="1"/>
    <xf numFmtId="10" fontId="0" fillId="0" borderId="0" xfId="0" applyNumberFormat="1"/>
    <xf numFmtId="10" fontId="7" fillId="0" borderId="0" xfId="0" applyNumberFormat="1" applyFont="1"/>
    <xf numFmtId="38" fontId="0" fillId="0" borderId="1" xfId="0" applyNumberFormat="1" applyBorder="1"/>
    <xf numFmtId="10" fontId="0" fillId="0" borderId="1" xfId="0" applyNumberFormat="1" applyBorder="1"/>
    <xf numFmtId="0" fontId="6" fillId="0" borderId="1" xfId="7" applyFont="1" applyFill="1" applyBorder="1" applyAlignment="1">
      <alignment horizontal="center" wrapText="1"/>
    </xf>
    <xf numFmtId="38" fontId="0" fillId="0" borderId="0" xfId="0" applyNumberFormat="1"/>
    <xf numFmtId="3" fontId="7" fillId="0" borderId="0" xfId="0" applyNumberFormat="1" applyFont="1"/>
    <xf numFmtId="0" fontId="7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0" fillId="0" borderId="0" xfId="0" applyBorder="1"/>
    <xf numFmtId="49" fontId="8" fillId="0" borderId="0" xfId="0" applyNumberFormat="1" applyFont="1" applyAlignment="1">
      <alignment horizontal="left"/>
    </xf>
    <xf numFmtId="3" fontId="0" fillId="0" borderId="0" xfId="0" applyNumberFormat="1"/>
    <xf numFmtId="3" fontId="0" fillId="0" borderId="4" xfId="0" applyNumberFormat="1" applyBorder="1"/>
    <xf numFmtId="0" fontId="7" fillId="0" borderId="0" xfId="0" applyFont="1" applyBorder="1"/>
    <xf numFmtId="10" fontId="7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10" fontId="9" fillId="0" borderId="3" xfId="0" applyNumberFormat="1" applyFont="1" applyBorder="1" applyAlignment="1">
      <alignment horizontal="center"/>
    </xf>
    <xf numFmtId="168" fontId="0" fillId="0" borderId="0" xfId="1" applyNumberFormat="1" applyFont="1"/>
    <xf numFmtId="1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8" fontId="0" fillId="2" borderId="0" xfId="0" applyNumberFormat="1" applyFill="1"/>
    <xf numFmtId="10" fontId="0" fillId="0" borderId="0" xfId="0" applyNumberFormat="1" applyBorder="1"/>
    <xf numFmtId="0" fontId="10" fillId="0" borderId="0" xfId="0" applyFont="1" applyBorder="1"/>
    <xf numFmtId="0" fontId="7" fillId="0" borderId="4" xfId="0" applyFont="1" applyBorder="1" applyAlignment="1">
      <alignment horizontal="center" wrapText="1"/>
    </xf>
    <xf numFmtId="38" fontId="7" fillId="2" borderId="4" xfId="0" applyNumberFormat="1" applyFont="1" applyFill="1" applyBorder="1" applyAlignment="1">
      <alignment horizontal="center" wrapText="1"/>
    </xf>
    <xf numFmtId="38" fontId="7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6" fillId="2" borderId="0" xfId="8" applyFont="1" applyFill="1" applyBorder="1" applyAlignment="1">
      <alignment horizontal="center"/>
    </xf>
    <xf numFmtId="38" fontId="0" fillId="0" borderId="4" xfId="0" applyNumberFormat="1" applyBorder="1"/>
    <xf numFmtId="0" fontId="13" fillId="0" borderId="0" xfId="0" applyFont="1"/>
    <xf numFmtId="49" fontId="6" fillId="0" borderId="1" xfId="7" applyNumberFormat="1" applyFont="1" applyFill="1" applyBorder="1" applyAlignment="1">
      <alignment horizontal="center" wrapText="1"/>
    </xf>
    <xf numFmtId="38" fontId="0" fillId="2" borderId="4" xfId="0" applyNumberFormat="1" applyFill="1" applyBorder="1"/>
    <xf numFmtId="0" fontId="7" fillId="0" borderId="0" xfId="0" applyFont="1" applyBorder="1" applyAlignment="1">
      <alignment horizontal="left"/>
    </xf>
    <xf numFmtId="10" fontId="7" fillId="2" borderId="12" xfId="0" applyNumberFormat="1" applyFont="1" applyFill="1" applyBorder="1" applyAlignment="1">
      <alignment horizontal="center" wrapText="1"/>
    </xf>
    <xf numFmtId="10" fontId="0" fillId="2" borderId="0" xfId="0" applyNumberFormat="1" applyFill="1"/>
    <xf numFmtId="10" fontId="0" fillId="2" borderId="4" xfId="0" applyNumberFormat="1" applyFill="1" applyBorder="1"/>
    <xf numFmtId="0" fontId="0" fillId="2" borderId="0" xfId="0" applyFill="1"/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7" fontId="0" fillId="0" borderId="4" xfId="9" applyNumberFormat="1" applyFont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0" fontId="0" fillId="2" borderId="1" xfId="9" applyNumberFormat="1" applyFont="1" applyFill="1" applyBorder="1"/>
    <xf numFmtId="10" fontId="7" fillId="2" borderId="0" xfId="0" applyNumberFormat="1" applyFont="1" applyFill="1"/>
    <xf numFmtId="3" fontId="0" fillId="0" borderId="0" xfId="0" applyNumberFormat="1" applyFill="1"/>
    <xf numFmtId="3" fontId="0" fillId="0" borderId="4" xfId="0" applyNumberFormat="1" applyFill="1" applyBorder="1"/>
    <xf numFmtId="0" fontId="0" fillId="0" borderId="0" xfId="0" applyFill="1"/>
    <xf numFmtId="38" fontId="0" fillId="0" borderId="0" xfId="0" applyNumberFormat="1" applyFill="1"/>
    <xf numFmtId="38" fontId="7" fillId="0" borderId="0" xfId="0" applyNumberFormat="1" applyFont="1" applyFill="1"/>
    <xf numFmtId="168" fontId="0" fillId="0" borderId="0" xfId="1" applyNumberFormat="1" applyFont="1" applyFill="1"/>
    <xf numFmtId="0" fontId="0" fillId="0" borderId="0" xfId="0" applyFill="1" applyBorder="1"/>
    <xf numFmtId="0" fontId="9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38" fontId="7" fillId="3" borderId="4" xfId="0" applyNumberFormat="1" applyFont="1" applyFill="1" applyBorder="1" applyAlignment="1">
      <alignment horizontal="center" wrapText="1"/>
    </xf>
    <xf numFmtId="38" fontId="0" fillId="3" borderId="0" xfId="0" applyNumberFormat="1" applyFill="1"/>
    <xf numFmtId="38" fontId="0" fillId="3" borderId="4" xfId="0" applyNumberFormat="1" applyFill="1" applyBorder="1"/>
    <xf numFmtId="0" fontId="0" fillId="4" borderId="0" xfId="0" applyFill="1"/>
    <xf numFmtId="3" fontId="7" fillId="4" borderId="0" xfId="0" applyNumberFormat="1" applyFont="1" applyFill="1"/>
    <xf numFmtId="10" fontId="9" fillId="4" borderId="0" xfId="0" applyNumberFormat="1" applyFont="1" applyFill="1" applyBorder="1" applyAlignment="1">
      <alignment horizontal="center"/>
    </xf>
    <xf numFmtId="10" fontId="9" fillId="4" borderId="3" xfId="0" applyNumberFormat="1" applyFont="1" applyFill="1" applyBorder="1" applyAlignment="1">
      <alignment horizontal="center"/>
    </xf>
    <xf numFmtId="10" fontId="0" fillId="4" borderId="0" xfId="0" applyNumberFormat="1" applyFill="1"/>
    <xf numFmtId="38" fontId="0" fillId="4" borderId="1" xfId="0" applyNumberFormat="1" applyFill="1" applyBorder="1"/>
    <xf numFmtId="10" fontId="7" fillId="4" borderId="0" xfId="0" applyNumberFormat="1" applyFont="1" applyFill="1"/>
    <xf numFmtId="0" fontId="13" fillId="4" borderId="0" xfId="0" applyFont="1" applyFill="1" applyAlignment="1">
      <alignment horizontal="left"/>
    </xf>
    <xf numFmtId="38" fontId="0" fillId="4" borderId="0" xfId="0" applyNumberForma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8" fontId="7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4" fillId="4" borderId="1" xfId="8" applyFont="1" applyFill="1" applyBorder="1" applyAlignment="1">
      <alignment horizontal="center" wrapText="1"/>
    </xf>
    <xf numFmtId="38" fontId="7" fillId="4" borderId="1" xfId="0" applyNumberFormat="1" applyFont="1" applyFill="1" applyBorder="1" applyAlignment="1">
      <alignment horizontal="center" wrapText="1"/>
    </xf>
    <xf numFmtId="0" fontId="7" fillId="4" borderId="0" xfId="0" applyFont="1" applyFill="1" applyAlignment="1">
      <alignment wrapText="1"/>
    </xf>
    <xf numFmtId="0" fontId="6" fillId="4" borderId="0" xfId="8" applyFont="1" applyFill="1" applyBorder="1" applyAlignment="1">
      <alignment horizontal="center"/>
    </xf>
    <xf numFmtId="0" fontId="6" fillId="4" borderId="1" xfId="7" applyFont="1" applyFill="1" applyBorder="1" applyAlignment="1">
      <alignment horizontal="center" wrapText="1"/>
    </xf>
    <xf numFmtId="49" fontId="6" fillId="4" borderId="1" xfId="7" applyNumberFormat="1" applyFont="1" applyFill="1" applyBorder="1" applyAlignment="1">
      <alignment horizontal="center" wrapText="1"/>
    </xf>
    <xf numFmtId="49" fontId="8" fillId="4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/>
    <xf numFmtId="38" fontId="0" fillId="0" borderId="0" xfId="0" applyNumberFormat="1" applyFill="1" applyBorder="1"/>
    <xf numFmtId="38" fontId="7" fillId="0" borderId="0" xfId="0" applyNumberFormat="1" applyFont="1" applyFill="1" applyAlignment="1">
      <alignment horizontal="center"/>
    </xf>
    <xf numFmtId="3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8" fontId="0" fillId="0" borderId="1" xfId="0" applyNumberFormat="1" applyFill="1" applyBorder="1"/>
    <xf numFmtId="38" fontId="6" fillId="0" borderId="1" xfId="7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5" fontId="0" fillId="0" borderId="0" xfId="0" applyNumberFormat="1" applyFill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7" fontId="7" fillId="0" borderId="4" xfId="0" applyNumberFormat="1" applyFont="1" applyFill="1" applyBorder="1" applyAlignment="1">
      <alignment horizontal="center"/>
    </xf>
    <xf numFmtId="7" fontId="7" fillId="0" borderId="0" xfId="0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right"/>
    </xf>
    <xf numFmtId="169" fontId="7" fillId="0" borderId="4" xfId="2" applyNumberFormat="1" applyFont="1" applyFill="1" applyBorder="1" applyAlignment="1">
      <alignment horizontal="center"/>
    </xf>
    <xf numFmtId="169" fontId="7" fillId="0" borderId="0" xfId="2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1" fontId="0" fillId="0" borderId="0" xfId="0" applyNumberFormat="1" applyFill="1"/>
    <xf numFmtId="38" fontId="7" fillId="0" borderId="4" xfId="0" applyNumberFormat="1" applyFont="1" applyFill="1" applyBorder="1" applyAlignment="1">
      <alignment horizontal="center" wrapText="1"/>
    </xf>
    <xf numFmtId="0" fontId="13" fillId="0" borderId="0" xfId="0" applyFont="1" applyFill="1"/>
    <xf numFmtId="6" fontId="0" fillId="0" borderId="0" xfId="0" applyNumberFormat="1" applyFill="1"/>
    <xf numFmtId="0" fontId="7" fillId="0" borderId="0" xfId="0" applyFont="1" applyFill="1" applyAlignment="1"/>
    <xf numFmtId="0" fontId="7" fillId="0" borderId="0" xfId="0" applyFont="1" applyFill="1" applyBorder="1" applyAlignment="1">
      <alignment horizontal="right" vertical="top"/>
    </xf>
    <xf numFmtId="0" fontId="4" fillId="0" borderId="3" xfId="7" applyFont="1" applyFill="1" applyBorder="1" applyAlignment="1">
      <alignment horizontal="center"/>
    </xf>
    <xf numFmtId="6" fontId="7" fillId="0" borderId="3" xfId="0" applyNumberFormat="1" applyFont="1" applyFill="1" applyBorder="1" applyAlignment="1">
      <alignment horizontal="center"/>
    </xf>
    <xf numFmtId="0" fontId="0" fillId="0" borderId="10" xfId="0" applyFill="1" applyBorder="1"/>
    <xf numFmtId="169" fontId="0" fillId="0" borderId="10" xfId="0" applyNumberFormat="1" applyFill="1" applyBorder="1"/>
    <xf numFmtId="0" fontId="0" fillId="0" borderId="11" xfId="0" applyFill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6" fontId="0" fillId="0" borderId="0" xfId="0" applyNumberFormat="1" applyFill="1" applyBorder="1" applyAlignment="1"/>
    <xf numFmtId="10" fontId="6" fillId="0" borderId="1" xfId="7" applyNumberFormat="1" applyFont="1" applyFill="1" applyBorder="1" applyAlignment="1">
      <alignment horizontal="right" wrapText="1"/>
    </xf>
    <xf numFmtId="38" fontId="0" fillId="0" borderId="4" xfId="0" applyNumberFormat="1" applyFill="1" applyBorder="1" applyAlignment="1">
      <alignment horizontal="right"/>
    </xf>
    <xf numFmtId="0" fontId="6" fillId="0" borderId="1" xfId="7" applyFont="1" applyFill="1" applyBorder="1" applyAlignment="1">
      <alignment horizontal="left"/>
    </xf>
    <xf numFmtId="0" fontId="6" fillId="0" borderId="0" xfId="7" applyFont="1" applyFill="1" applyBorder="1" applyAlignment="1">
      <alignment horizontal="center" wrapText="1"/>
    </xf>
    <xf numFmtId="0" fontId="6" fillId="0" borderId="0" xfId="7" applyFont="1" applyFill="1" applyBorder="1" applyAlignment="1">
      <alignment horizontal="left" wrapText="1"/>
    </xf>
    <xf numFmtId="6" fontId="0" fillId="0" borderId="0" xfId="0" applyNumberFormat="1" applyFill="1" applyBorder="1" applyAlignment="1">
      <alignment horizontal="right"/>
    </xf>
    <xf numFmtId="0" fontId="14" fillId="0" borderId="0" xfId="0" applyFont="1" applyFill="1"/>
    <xf numFmtId="0" fontId="14" fillId="0" borderId="0" xfId="0" applyFont="1" applyFill="1" applyBorder="1"/>
    <xf numFmtId="10" fontId="6" fillId="0" borderId="0" xfId="7" applyNumberFormat="1" applyFont="1" applyFill="1" applyBorder="1" applyAlignment="1">
      <alignment horizontal="right" wrapText="1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0" fontId="0" fillId="0" borderId="0" xfId="0" applyNumberFormat="1" applyFill="1"/>
    <xf numFmtId="38" fontId="6" fillId="0" borderId="1" xfId="7" applyNumberFormat="1" applyFont="1" applyFill="1" applyBorder="1" applyAlignment="1">
      <alignment horizontal="right" wrapText="1"/>
    </xf>
    <xf numFmtId="0" fontId="6" fillId="0" borderId="14" xfId="5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right" wrapText="1"/>
    </xf>
    <xf numFmtId="10" fontId="0" fillId="0" borderId="0" xfId="0" applyNumberFormat="1" applyFill="1"/>
    <xf numFmtId="38" fontId="6" fillId="0" borderId="1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center" wrapText="1"/>
    </xf>
    <xf numFmtId="10" fontId="0" fillId="0" borderId="1" xfId="0" applyNumberFormat="1" applyFill="1" applyBorder="1"/>
    <xf numFmtId="10" fontId="0" fillId="0" borderId="4" xfId="0" applyNumberFormat="1" applyFill="1" applyBorder="1"/>
    <xf numFmtId="167" fontId="0" fillId="0" borderId="4" xfId="9" applyNumberFormat="1" applyFont="1" applyFill="1" applyBorder="1"/>
    <xf numFmtId="1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4" fillId="0" borderId="1" xfId="7" applyFont="1" applyFill="1" applyBorder="1" applyAlignment="1">
      <alignment horizontal="center" wrapText="1"/>
    </xf>
    <xf numFmtId="3" fontId="4" fillId="0" borderId="1" xfId="7" applyNumberFormat="1" applyFont="1" applyFill="1" applyBorder="1" applyAlignment="1">
      <alignment horizontal="center" wrapText="1"/>
    </xf>
    <xf numFmtId="10" fontId="7" fillId="0" borderId="1" xfId="0" applyNumberFormat="1" applyFont="1" applyFill="1" applyBorder="1" applyAlignment="1">
      <alignment horizontal="center" wrapText="1"/>
    </xf>
    <xf numFmtId="1" fontId="4" fillId="0" borderId="1" xfId="7" applyNumberFormat="1" applyFont="1" applyFill="1" applyBorder="1" applyAlignment="1">
      <alignment horizontal="center" wrapText="1" shrinkToFit="1"/>
    </xf>
    <xf numFmtId="0" fontId="4" fillId="0" borderId="6" xfId="7" applyFont="1" applyFill="1" applyBorder="1" applyAlignment="1">
      <alignment horizontal="center" wrapText="1"/>
    </xf>
    <xf numFmtId="38" fontId="6" fillId="0" borderId="6" xfId="3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horizontal="center" wrapText="1"/>
    </xf>
    <xf numFmtId="3" fontId="4" fillId="0" borderId="0" xfId="7" applyNumberFormat="1" applyFont="1" applyFill="1" applyBorder="1" applyAlignment="1">
      <alignment horizontal="center"/>
    </xf>
    <xf numFmtId="38" fontId="6" fillId="0" borderId="4" xfId="3" applyNumberFormat="1" applyFont="1" applyFill="1" applyBorder="1" applyAlignment="1">
      <alignment horizontal="right" wrapText="1"/>
    </xf>
    <xf numFmtId="10" fontId="6" fillId="0" borderId="8" xfId="7" applyNumberFormat="1" applyFont="1" applyFill="1" applyBorder="1" applyAlignment="1">
      <alignment horizontal="right" wrapText="1"/>
    </xf>
    <xf numFmtId="3" fontId="6" fillId="0" borderId="1" xfId="7" applyNumberFormat="1" applyFont="1" applyFill="1" applyBorder="1" applyAlignment="1">
      <alignment horizontal="right" wrapText="1"/>
    </xf>
    <xf numFmtId="10" fontId="0" fillId="0" borderId="0" xfId="9" applyNumberFormat="1" applyFont="1" applyFill="1"/>
    <xf numFmtId="4" fontId="0" fillId="0" borderId="0" xfId="0" applyNumberFormat="1" applyFill="1"/>
    <xf numFmtId="170" fontId="0" fillId="0" borderId="0" xfId="0" applyNumberFormat="1" applyFill="1"/>
    <xf numFmtId="0" fontId="13" fillId="0" borderId="0" xfId="0" applyFont="1" applyFill="1" applyAlignment="1"/>
    <xf numFmtId="0" fontId="0" fillId="0" borderId="0" xfId="0" applyFill="1" applyAlignment="1"/>
    <xf numFmtId="0" fontId="3" fillId="0" borderId="0" xfId="0" applyFont="1" applyFill="1"/>
    <xf numFmtId="0" fontId="16" fillId="0" borderId="0" xfId="0" applyFont="1" applyFill="1"/>
    <xf numFmtId="0" fontId="16" fillId="0" borderId="0" xfId="0" applyFont="1" applyFill="1" applyBorder="1" applyAlignment="1"/>
    <xf numFmtId="38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38" fontId="4" fillId="0" borderId="0" xfId="7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168" fontId="0" fillId="0" borderId="0" xfId="0" applyNumberFormat="1" applyFill="1"/>
    <xf numFmtId="3" fontId="0" fillId="0" borderId="0" xfId="0" applyNumberFormat="1" applyFill="1" applyBorder="1"/>
    <xf numFmtId="49" fontId="8" fillId="0" borderId="0" xfId="0" applyNumberFormat="1" applyFont="1" applyFill="1" applyAlignment="1"/>
    <xf numFmtId="10" fontId="4" fillId="0" borderId="0" xfId="7" applyNumberFormat="1" applyFont="1" applyFill="1" applyBorder="1" applyAlignment="1">
      <alignment horizontal="right" wrapText="1"/>
    </xf>
    <xf numFmtId="49" fontId="0" fillId="0" borderId="0" xfId="0" applyNumberFormat="1" applyFill="1" applyAlignment="1"/>
    <xf numFmtId="168" fontId="6" fillId="0" borderId="0" xfId="1" applyNumberFormat="1" applyFont="1" applyFill="1" applyBorder="1" applyAlignment="1">
      <alignment horizontal="right" wrapText="1"/>
    </xf>
    <xf numFmtId="0" fontId="7" fillId="5" borderId="0" xfId="0" applyFont="1" applyFill="1" applyBorder="1"/>
    <xf numFmtId="168" fontId="6" fillId="0" borderId="4" xfId="1" applyNumberFormat="1" applyFont="1" applyFill="1" applyBorder="1" applyAlignment="1">
      <alignment horizontal="right" wrapText="1"/>
    </xf>
    <xf numFmtId="0" fontId="7" fillId="6" borderId="19" xfId="0" applyFont="1" applyFill="1" applyBorder="1" applyAlignment="1">
      <alignment horizontal="center" wrapText="1"/>
    </xf>
    <xf numFmtId="0" fontId="0" fillId="6" borderId="0" xfId="0" applyFill="1"/>
    <xf numFmtId="168" fontId="0" fillId="0" borderId="0" xfId="0" applyNumberFormat="1"/>
    <xf numFmtId="0" fontId="13" fillId="0" borderId="0" xfId="0" applyFont="1" applyFill="1" applyBorder="1"/>
    <xf numFmtId="0" fontId="7" fillId="0" borderId="3" xfId="0" applyFont="1" applyFill="1" applyBorder="1"/>
    <xf numFmtId="0" fontId="4" fillId="0" borderId="2" xfId="7" applyFont="1" applyFill="1" applyBorder="1" applyAlignment="1">
      <alignment horizontal="center" wrapText="1"/>
    </xf>
    <xf numFmtId="0" fontId="6" fillId="0" borderId="1" xfId="4" applyFont="1" applyFill="1" applyBorder="1" applyAlignment="1">
      <alignment horizontal="center"/>
    </xf>
    <xf numFmtId="3" fontId="7" fillId="0" borderId="0" xfId="0" applyNumberFormat="1" applyFont="1" applyFill="1"/>
    <xf numFmtId="49" fontId="7" fillId="0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/>
    </xf>
    <xf numFmtId="38" fontId="7" fillId="0" borderId="5" xfId="0" applyNumberFormat="1" applyFont="1" applyFill="1" applyBorder="1" applyAlignment="1">
      <alignment horizontal="center" wrapText="1"/>
    </xf>
    <xf numFmtId="0" fontId="6" fillId="0" borderId="15" xfId="5" applyFont="1" applyFill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38" fontId="6" fillId="0" borderId="1" xfId="5" applyNumberFormat="1" applyFont="1" applyFill="1" applyBorder="1" applyAlignment="1">
      <alignment horizontal="right" wrapText="1"/>
    </xf>
    <xf numFmtId="164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/>
    <xf numFmtId="43" fontId="0" fillId="0" borderId="0" xfId="0" applyNumberFormat="1"/>
    <xf numFmtId="3" fontId="7" fillId="0" borderId="2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10" xfId="7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/>
    </xf>
    <xf numFmtId="38" fontId="15" fillId="0" borderId="1" xfId="7" applyNumberFormat="1" applyFont="1" applyFill="1" applyBorder="1" applyAlignment="1">
      <alignment horizontal="right"/>
    </xf>
    <xf numFmtId="38" fontId="6" fillId="0" borderId="4" xfId="7" applyNumberFormat="1" applyFont="1" applyFill="1" applyBorder="1" applyAlignment="1">
      <alignment horizontal="right"/>
    </xf>
    <xf numFmtId="3" fontId="6" fillId="0" borderId="0" xfId="7" applyNumberFormat="1" applyFont="1" applyFill="1" applyBorder="1" applyAlignment="1">
      <alignment horizontal="right"/>
    </xf>
    <xf numFmtId="9" fontId="0" fillId="0" borderId="0" xfId="9" applyFont="1" applyFill="1"/>
    <xf numFmtId="167" fontId="0" fillId="0" borderId="0" xfId="9" applyNumberFormat="1" applyFont="1" applyFill="1"/>
    <xf numFmtId="9" fontId="7" fillId="0" borderId="0" xfId="0" applyNumberFormat="1" applyFont="1" applyFill="1"/>
    <xf numFmtId="0" fontId="7" fillId="0" borderId="0" xfId="0" applyFont="1" applyAlignment="1">
      <alignment horizontal="center"/>
    </xf>
    <xf numFmtId="3" fontId="6" fillId="0" borderId="0" xfId="7" applyNumberFormat="1" applyFont="1" applyFill="1" applyBorder="1" applyAlignment="1">
      <alignment horizontal="center" wrapText="1"/>
    </xf>
    <xf numFmtId="0" fontId="3" fillId="0" borderId="0" xfId="0" applyFont="1"/>
    <xf numFmtId="168" fontId="7" fillId="0" borderId="0" xfId="0" applyNumberFormat="1" applyFont="1"/>
    <xf numFmtId="167" fontId="7" fillId="0" borderId="0" xfId="9" applyNumberFormat="1" applyFont="1" applyFill="1" applyBorder="1"/>
    <xf numFmtId="3" fontId="3" fillId="7" borderId="19" xfId="1" applyNumberFormat="1" applyFont="1" applyFill="1" applyBorder="1"/>
    <xf numFmtId="38" fontId="7" fillId="0" borderId="2" xfId="0" applyNumberFormat="1" applyFont="1" applyFill="1" applyBorder="1" applyAlignment="1">
      <alignment horizontal="center" wrapText="1"/>
    </xf>
    <xf numFmtId="9" fontId="0" fillId="0" borderId="0" xfId="9" applyNumberFormat="1" applyFont="1" applyFill="1"/>
    <xf numFmtId="38" fontId="4" fillId="0" borderId="0" xfId="7" applyNumberFormat="1" applyFont="1" applyFill="1" applyBorder="1" applyAlignment="1">
      <alignment horizontal="right" wrapText="1"/>
    </xf>
    <xf numFmtId="168" fontId="0" fillId="0" borderId="0" xfId="1" applyNumberFormat="1" applyFont="1" applyBorder="1"/>
    <xf numFmtId="0" fontId="7" fillId="2" borderId="21" xfId="0" applyFont="1" applyFill="1" applyBorder="1" applyAlignment="1">
      <alignment horizontal="center" wrapText="1"/>
    </xf>
    <xf numFmtId="0" fontId="4" fillId="2" borderId="21" xfId="8" applyFont="1" applyFill="1" applyBorder="1" applyAlignment="1">
      <alignment horizontal="center" wrapText="1"/>
    </xf>
    <xf numFmtId="38" fontId="7" fillId="2" borderId="20" xfId="0" applyNumberFormat="1" applyFont="1" applyFill="1" applyBorder="1" applyAlignment="1">
      <alignment horizontal="center" wrapText="1"/>
    </xf>
    <xf numFmtId="49" fontId="6" fillId="0" borderId="21" xfId="7" applyNumberFormat="1" applyFont="1" applyFill="1" applyBorder="1" applyAlignment="1">
      <alignment horizontal="center" wrapText="1"/>
    </xf>
    <xf numFmtId="0" fontId="6" fillId="0" borderId="21" xfId="7" applyFont="1" applyFill="1" applyBorder="1" applyAlignment="1">
      <alignment horizontal="left" wrapText="1"/>
    </xf>
    <xf numFmtId="38" fontId="0" fillId="0" borderId="21" xfId="0" applyNumberFormat="1" applyBorder="1"/>
    <xf numFmtId="10" fontId="0" fillId="0" borderId="21" xfId="9" applyNumberFormat="1" applyFont="1" applyBorder="1"/>
    <xf numFmtId="38" fontId="0" fillId="0" borderId="21" xfId="0" applyNumberFormat="1" applyFill="1" applyBorder="1"/>
    <xf numFmtId="3" fontId="0" fillId="0" borderId="21" xfId="0" applyNumberFormat="1" applyFill="1" applyBorder="1"/>
    <xf numFmtId="3" fontId="0" fillId="0" borderId="21" xfId="0" applyNumberFormat="1" applyBorder="1"/>
    <xf numFmtId="0" fontId="6" fillId="0" borderId="21" xfId="7" applyFont="1" applyFill="1" applyBorder="1" applyAlignment="1">
      <alignment horizontal="left"/>
    </xf>
    <xf numFmtId="38" fontId="3" fillId="0" borderId="0" xfId="0" applyNumberFormat="1" applyFont="1"/>
    <xf numFmtId="10" fontId="3" fillId="0" borderId="0" xfId="9" applyNumberFormat="1" applyFont="1"/>
    <xf numFmtId="0" fontId="13" fillId="0" borderId="0" xfId="10" applyFont="1" applyFill="1"/>
    <xf numFmtId="0" fontId="3" fillId="0" borderId="0" xfId="10" applyFill="1"/>
    <xf numFmtId="3" fontId="3" fillId="0" borderId="0" xfId="10" applyNumberFormat="1" applyFill="1"/>
    <xf numFmtId="38" fontId="3" fillId="0" borderId="0" xfId="10" applyNumberFormat="1" applyFill="1"/>
    <xf numFmtId="10" fontId="3" fillId="0" borderId="0" xfId="10" applyNumberFormat="1" applyFill="1"/>
    <xf numFmtId="0" fontId="7" fillId="0" borderId="0" xfId="10" applyFont="1" applyFill="1"/>
    <xf numFmtId="0" fontId="7" fillId="0" borderId="0" xfId="10" applyFont="1" applyFill="1" applyAlignment="1">
      <alignment horizontal="left"/>
    </xf>
    <xf numFmtId="0" fontId="7" fillId="0" borderId="0" xfId="10" applyFont="1" applyFill="1" applyAlignment="1">
      <alignment horizontal="center"/>
    </xf>
    <xf numFmtId="3" fontId="7" fillId="0" borderId="0" xfId="10" applyNumberFormat="1" applyFont="1" applyFill="1" applyAlignment="1">
      <alignment horizontal="center"/>
    </xf>
    <xf numFmtId="38" fontId="7" fillId="0" borderId="0" xfId="10" applyNumberFormat="1" applyFont="1" applyFill="1" applyAlignment="1">
      <alignment horizontal="center"/>
    </xf>
    <xf numFmtId="10" fontId="7" fillId="0" borderId="0" xfId="10" applyNumberFormat="1" applyFont="1" applyFill="1" applyAlignment="1">
      <alignment horizontal="center"/>
    </xf>
    <xf numFmtId="0" fontId="3" fillId="0" borderId="0" xfId="10" applyFill="1" applyAlignment="1">
      <alignment horizontal="center"/>
    </xf>
    <xf numFmtId="0" fontId="4" fillId="0" borderId="22" xfId="7" applyFont="1" applyFill="1" applyBorder="1" applyAlignment="1">
      <alignment horizontal="center" wrapText="1"/>
    </xf>
    <xf numFmtId="3" fontId="17" fillId="0" borderId="22" xfId="7" applyNumberFormat="1" applyFont="1" applyFill="1" applyBorder="1" applyAlignment="1">
      <alignment horizontal="center" wrapText="1"/>
    </xf>
    <xf numFmtId="38" fontId="18" fillId="0" borderId="22" xfId="10" applyNumberFormat="1" applyFont="1" applyFill="1" applyBorder="1" applyAlignment="1">
      <alignment horizontal="center" wrapText="1"/>
    </xf>
    <xf numFmtId="38" fontId="17" fillId="0" borderId="22" xfId="7" applyNumberFormat="1" applyFont="1" applyFill="1" applyBorder="1" applyAlignment="1">
      <alignment horizontal="center" wrapText="1"/>
    </xf>
    <xf numFmtId="10" fontId="7" fillId="0" borderId="0" xfId="10" applyNumberFormat="1" applyFont="1" applyFill="1" applyBorder="1" applyAlignment="1">
      <alignment horizontal="center" wrapText="1"/>
    </xf>
    <xf numFmtId="10" fontId="7" fillId="0" borderId="22" xfId="10" applyNumberFormat="1" applyFont="1" applyFill="1" applyBorder="1" applyAlignment="1">
      <alignment horizontal="center" wrapText="1"/>
    </xf>
    <xf numFmtId="0" fontId="3" fillId="0" borderId="0" xfId="10" applyFill="1" applyAlignment="1">
      <alignment wrapText="1"/>
    </xf>
    <xf numFmtId="38" fontId="4" fillId="0" borderId="22" xfId="7" applyNumberFormat="1" applyFont="1" applyFill="1" applyBorder="1" applyAlignment="1">
      <alignment horizontal="center" wrapText="1"/>
    </xf>
    <xf numFmtId="38" fontId="3" fillId="0" borderId="0" xfId="10" applyNumberFormat="1" applyFill="1" applyBorder="1" applyAlignment="1">
      <alignment horizontal="center" wrapText="1"/>
    </xf>
    <xf numFmtId="10" fontId="3" fillId="0" borderId="0" xfId="10" applyNumberFormat="1" applyFill="1" applyAlignment="1">
      <alignment wrapText="1"/>
    </xf>
    <xf numFmtId="0" fontId="6" fillId="0" borderId="23" xfId="7" applyFont="1" applyFill="1" applyBorder="1" applyAlignment="1">
      <alignment horizontal="center" wrapText="1"/>
    </xf>
    <xf numFmtId="0" fontId="6" fillId="0" borderId="22" xfId="7" applyFont="1" applyFill="1" applyBorder="1" applyAlignment="1">
      <alignment horizontal="left" wrapText="1"/>
    </xf>
    <xf numFmtId="168" fontId="6" fillId="0" borderId="23" xfId="6" applyNumberFormat="1" applyFont="1" applyFill="1" applyBorder="1" applyAlignment="1">
      <alignment horizontal="right" wrapText="1"/>
    </xf>
    <xf numFmtId="38" fontId="6" fillId="0" borderId="25" xfId="7" applyNumberFormat="1" applyFont="1" applyFill="1" applyBorder="1" applyAlignment="1">
      <alignment horizontal="right" wrapText="1"/>
    </xf>
    <xf numFmtId="10" fontId="3" fillId="0" borderId="0" xfId="10" applyNumberFormat="1" applyFill="1" applyBorder="1" applyAlignment="1">
      <alignment horizontal="right"/>
    </xf>
    <xf numFmtId="168" fontId="6" fillId="0" borderId="23" xfId="1" applyNumberFormat="1" applyFont="1" applyFill="1" applyBorder="1" applyAlignment="1">
      <alignment horizontal="right" wrapText="1"/>
    </xf>
    <xf numFmtId="0" fontId="6" fillId="0" borderId="22" xfId="7" applyFont="1" applyFill="1" applyBorder="1" applyAlignment="1">
      <alignment horizontal="left"/>
    </xf>
    <xf numFmtId="49" fontId="6" fillId="0" borderId="22" xfId="7" applyNumberFormat="1" applyFont="1" applyFill="1" applyBorder="1" applyAlignment="1">
      <alignment horizontal="center" wrapText="1"/>
    </xf>
    <xf numFmtId="49" fontId="6" fillId="0" borderId="23" xfId="7" applyNumberFormat="1" applyFont="1" applyFill="1" applyBorder="1" applyAlignment="1">
      <alignment horizontal="center" wrapText="1"/>
    </xf>
    <xf numFmtId="3" fontId="3" fillId="0" borderId="0" xfId="10" applyNumberFormat="1" applyFill="1" applyAlignment="1">
      <alignment horizontal="right"/>
    </xf>
    <xf numFmtId="38" fontId="3" fillId="0" borderId="0" xfId="10" applyNumberFormat="1" applyFill="1" applyAlignment="1">
      <alignment horizontal="right"/>
    </xf>
    <xf numFmtId="0" fontId="3" fillId="0" borderId="0" xfId="10" applyFill="1" applyAlignment="1">
      <alignment horizontal="right"/>
    </xf>
    <xf numFmtId="10" fontId="3" fillId="0" borderId="0" xfId="10" applyNumberFormat="1" applyFill="1" applyAlignment="1">
      <alignment horizontal="right"/>
    </xf>
    <xf numFmtId="0" fontId="3" fillId="0" borderId="0" xfId="10" applyFont="1" applyFill="1" applyAlignment="1">
      <alignment horizontal="left"/>
    </xf>
    <xf numFmtId="0" fontId="3" fillId="0" borderId="0" xfId="10" applyFill="1" applyAlignment="1">
      <alignment horizontal="left"/>
    </xf>
    <xf numFmtId="49" fontId="8" fillId="0" borderId="0" xfId="10" applyNumberFormat="1" applyFont="1" applyFill="1" applyAlignment="1">
      <alignment horizontal="left"/>
    </xf>
    <xf numFmtId="0" fontId="7" fillId="0" borderId="0" xfId="0" applyFont="1" applyFill="1" applyBorder="1"/>
    <xf numFmtId="0" fontId="19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wrapText="1"/>
    </xf>
    <xf numFmtId="0" fontId="4" fillId="0" borderId="22" xfId="7" applyFont="1" applyFill="1" applyBorder="1" applyAlignment="1">
      <alignment horizontal="center"/>
    </xf>
    <xf numFmtId="0" fontId="4" fillId="10" borderId="22" xfId="7" applyFont="1" applyFill="1" applyBorder="1" applyAlignment="1">
      <alignment horizontal="center" wrapText="1"/>
    </xf>
    <xf numFmtId="38" fontId="4" fillId="10" borderId="22" xfId="7" applyNumberFormat="1" applyFont="1" applyFill="1" applyBorder="1" applyAlignment="1">
      <alignment horizontal="center" wrapText="1"/>
    </xf>
    <xf numFmtId="38" fontId="4" fillId="8" borderId="22" xfId="7" applyNumberFormat="1" applyFont="1" applyFill="1" applyBorder="1" applyAlignment="1">
      <alignment horizontal="center" wrapText="1"/>
    </xf>
    <xf numFmtId="10" fontId="7" fillId="0" borderId="22" xfId="0" applyNumberFormat="1" applyFont="1" applyFill="1" applyBorder="1" applyAlignment="1">
      <alignment horizontal="center" wrapText="1"/>
    </xf>
    <xf numFmtId="3" fontId="7" fillId="0" borderId="23" xfId="0" applyNumberFormat="1" applyFont="1" applyFill="1" applyBorder="1" applyAlignment="1">
      <alignment horizontal="center" wrapText="1"/>
    </xf>
    <xf numFmtId="0" fontId="4" fillId="0" borderId="25" xfId="7" applyFont="1" applyFill="1" applyBorder="1" applyAlignment="1">
      <alignment horizontal="center"/>
    </xf>
    <xf numFmtId="38" fontId="4" fillId="10" borderId="0" xfId="7" applyNumberFormat="1" applyFont="1" applyFill="1" applyBorder="1" applyAlignment="1">
      <alignment horizontal="center" wrapText="1"/>
    </xf>
    <xf numFmtId="38" fontId="4" fillId="10" borderId="25" xfId="7" applyNumberFormat="1" applyFont="1" applyFill="1" applyBorder="1" applyAlignment="1">
      <alignment horizontal="center" wrapText="1"/>
    </xf>
    <xf numFmtId="38" fontId="4" fillId="8" borderId="25" xfId="7" applyNumberFormat="1" applyFont="1" applyFill="1" applyBorder="1" applyAlignment="1">
      <alignment horizontal="center" wrapText="1"/>
    </xf>
    <xf numFmtId="38" fontId="4" fillId="0" borderId="25" xfId="7" applyNumberFormat="1" applyFont="1" applyFill="1" applyBorder="1" applyAlignment="1">
      <alignment horizontal="center" wrapText="1"/>
    </xf>
    <xf numFmtId="3" fontId="7" fillId="0" borderId="26" xfId="0" applyNumberFormat="1" applyFont="1" applyFill="1" applyBorder="1" applyAlignment="1">
      <alignment horizontal="center" wrapText="1"/>
    </xf>
    <xf numFmtId="0" fontId="6" fillId="0" borderId="22" xfId="7" applyFont="1" applyFill="1" applyBorder="1" applyAlignment="1">
      <alignment horizontal="center" wrapText="1"/>
    </xf>
    <xf numFmtId="3" fontId="0" fillId="10" borderId="23" xfId="0" applyNumberFormat="1" applyFill="1" applyBorder="1"/>
    <xf numFmtId="38" fontId="6" fillId="10" borderId="22" xfId="7" applyNumberFormat="1" applyFont="1" applyFill="1" applyBorder="1" applyAlignment="1">
      <alignment horizontal="right" wrapText="1"/>
    </xf>
    <xf numFmtId="38" fontId="6" fillId="8" borderId="22" xfId="7" applyNumberFormat="1" applyFont="1" applyFill="1" applyBorder="1" applyAlignment="1">
      <alignment horizontal="right" wrapText="1"/>
    </xf>
    <xf numFmtId="38" fontId="6" fillId="0" borderId="22" xfId="7" applyNumberFormat="1" applyFont="1" applyFill="1" applyBorder="1" applyAlignment="1">
      <alignment horizontal="right" wrapText="1"/>
    </xf>
    <xf numFmtId="10" fontId="0" fillId="0" borderId="23" xfId="0" applyNumberFormat="1" applyFill="1" applyBorder="1" applyAlignment="1">
      <alignment horizontal="right"/>
    </xf>
    <xf numFmtId="168" fontId="6" fillId="0" borderId="22" xfId="1" applyNumberFormat="1" applyFont="1" applyFill="1" applyBorder="1" applyAlignment="1">
      <alignment horizontal="right" wrapText="1"/>
    </xf>
    <xf numFmtId="3" fontId="0" fillId="0" borderId="23" xfId="0" applyNumberFormat="1" applyFill="1" applyBorder="1"/>
    <xf numFmtId="168" fontId="0" fillId="0" borderId="19" xfId="0" applyNumberFormat="1" applyFill="1" applyBorder="1"/>
    <xf numFmtId="9" fontId="7" fillId="0" borderId="0" xfId="9" applyFont="1" applyFill="1"/>
    <xf numFmtId="38" fontId="0" fillId="0" borderId="0" xfId="0" applyNumberFormat="1" applyBorder="1"/>
    <xf numFmtId="0" fontId="22" fillId="0" borderId="10" xfId="13" applyFont="1" applyFill="1" applyBorder="1" applyAlignment="1">
      <alignment horizontal="center"/>
    </xf>
    <xf numFmtId="0" fontId="22" fillId="0" borderId="23" xfId="13" applyFont="1" applyFill="1" applyBorder="1" applyAlignment="1">
      <alignment horizontal="center"/>
    </xf>
    <xf numFmtId="0" fontId="24" fillId="0" borderId="11" xfId="14" applyFont="1" applyFill="1" applyBorder="1" applyAlignment="1">
      <alignment wrapText="1"/>
    </xf>
    <xf numFmtId="0" fontId="22" fillId="0" borderId="11" xfId="14" applyFont="1" applyFill="1" applyBorder="1" applyAlignment="1">
      <alignment wrapText="1"/>
    </xf>
    <xf numFmtId="0" fontId="22" fillId="0" borderId="29" xfId="14" applyFont="1" applyFill="1" applyBorder="1" applyAlignment="1">
      <alignment wrapText="1"/>
    </xf>
    <xf numFmtId="38" fontId="0" fillId="0" borderId="4" xfId="0" applyNumberFormat="1" applyFill="1" applyBorder="1"/>
    <xf numFmtId="167" fontId="0" fillId="0" borderId="0" xfId="9" applyNumberFormat="1" applyFont="1"/>
    <xf numFmtId="0" fontId="26" fillId="0" borderId="0" xfId="18" applyFont="1" applyAlignment="1">
      <alignment horizontal="left"/>
    </xf>
    <xf numFmtId="0" fontId="26" fillId="0" borderId="0" xfId="18" applyFont="1" applyFill="1" applyAlignment="1">
      <alignment horizontal="left"/>
    </xf>
    <xf numFmtId="0" fontId="25" fillId="0" borderId="0" xfId="18" applyAlignment="1">
      <alignment horizontal="centerContinuous"/>
    </xf>
    <xf numFmtId="0" fontId="25" fillId="0" borderId="0" xfId="18"/>
    <xf numFmtId="0" fontId="25" fillId="5" borderId="23" xfId="18" applyFill="1" applyBorder="1"/>
    <xf numFmtId="0" fontId="27" fillId="0" borderId="30" xfId="18" applyFont="1" applyFill="1" applyBorder="1" applyAlignment="1">
      <alignment horizontal="center"/>
    </xf>
    <xf numFmtId="0" fontId="25" fillId="0" borderId="30" xfId="18" applyBorder="1"/>
    <xf numFmtId="0" fontId="27" fillId="0" borderId="30" xfId="18" applyFont="1" applyBorder="1" applyAlignment="1">
      <alignment horizontal="center"/>
    </xf>
    <xf numFmtId="0" fontId="7" fillId="0" borderId="31" xfId="18" applyNumberFormat="1" applyFont="1" applyBorder="1" applyAlignment="1" applyProtection="1">
      <alignment horizontal="left"/>
      <protection locked="0"/>
    </xf>
    <xf numFmtId="3" fontId="7" fillId="10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0" borderId="31" xfId="18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18" applyFont="1" applyBorder="1" applyAlignment="1" applyProtection="1">
      <alignment horizontal="center" vertical="center" wrapText="1"/>
      <protection locked="0"/>
    </xf>
    <xf numFmtId="0" fontId="7" fillId="10" borderId="31" xfId="18" applyFont="1" applyFill="1" applyBorder="1" applyAlignment="1" applyProtection="1">
      <alignment horizontal="center" vertical="center" wrapText="1"/>
      <protection locked="0"/>
    </xf>
    <xf numFmtId="0" fontId="7" fillId="11" borderId="31" xfId="18" applyFont="1" applyFill="1" applyBorder="1" applyAlignment="1" applyProtection="1">
      <alignment horizontal="center" vertical="center" wrapText="1"/>
      <protection locked="0"/>
    </xf>
    <xf numFmtId="3" fontId="7" fillId="0" borderId="32" xfId="18" applyNumberFormat="1" applyFont="1" applyBorder="1" applyAlignment="1" applyProtection="1">
      <alignment horizontal="center" vertical="center" wrapText="1"/>
      <protection locked="0"/>
    </xf>
    <xf numFmtId="0" fontId="3" fillId="0" borderId="0" xfId="18" applyFont="1" applyAlignment="1" applyProtection="1">
      <alignment horizontal="right"/>
      <protection locked="0"/>
    </xf>
    <xf numFmtId="0" fontId="6" fillId="0" borderId="23" xfId="19" applyFont="1" applyFill="1" applyBorder="1" applyAlignment="1">
      <alignment wrapText="1"/>
    </xf>
    <xf numFmtId="3" fontId="3" fillId="10" borderId="33" xfId="18" quotePrefix="1" applyNumberFormat="1" applyFont="1" applyFill="1" applyBorder="1" applyProtection="1">
      <protection locked="0"/>
    </xf>
    <xf numFmtId="3" fontId="3" fillId="11" borderId="33" xfId="18" quotePrefix="1" applyNumberFormat="1" applyFont="1" applyFill="1" applyBorder="1" applyProtection="1">
      <protection locked="0"/>
    </xf>
    <xf numFmtId="3" fontId="3" fillId="0" borderId="33" xfId="18" quotePrefix="1" applyNumberFormat="1" applyFont="1" applyFill="1" applyBorder="1" applyProtection="1">
      <protection locked="0"/>
    </xf>
    <xf numFmtId="3" fontId="3" fillId="0" borderId="34" xfId="18" applyNumberFormat="1" applyFont="1" applyFill="1" applyBorder="1" applyProtection="1">
      <protection locked="0"/>
    </xf>
    <xf numFmtId="167" fontId="3" fillId="0" borderId="35" xfId="20" applyNumberFormat="1" applyFont="1" applyBorder="1" applyProtection="1">
      <protection locked="0"/>
    </xf>
    <xf numFmtId="1" fontId="3" fillId="10" borderId="29" xfId="18" applyNumberFormat="1" applyFont="1" applyFill="1" applyBorder="1" applyProtection="1">
      <protection locked="0"/>
    </xf>
    <xf numFmtId="1" fontId="3" fillId="11" borderId="29" xfId="18" applyNumberFormat="1" applyFont="1" applyFill="1" applyBorder="1" applyProtection="1">
      <protection locked="0"/>
    </xf>
    <xf numFmtId="3" fontId="3" fillId="10" borderId="29" xfId="18" applyNumberFormat="1" applyFont="1" applyFill="1" applyBorder="1" applyProtection="1">
      <protection locked="0"/>
    </xf>
    <xf numFmtId="167" fontId="3" fillId="0" borderId="23" xfId="20" applyNumberFormat="1" applyFont="1" applyBorder="1" applyProtection="1">
      <protection locked="0"/>
    </xf>
    <xf numFmtId="0" fontId="3" fillId="0" borderId="0" xfId="18" applyFont="1" applyProtection="1">
      <protection locked="0"/>
    </xf>
    <xf numFmtId="0" fontId="3" fillId="0" borderId="36" xfId="18" quotePrefix="1" applyNumberFormat="1" applyFont="1" applyBorder="1" applyProtection="1">
      <protection locked="0"/>
    </xf>
    <xf numFmtId="3" fontId="3" fillId="0" borderId="28" xfId="18" quotePrefix="1" applyNumberFormat="1" applyFont="1" applyFill="1" applyBorder="1" applyProtection="1">
      <protection locked="0"/>
    </xf>
    <xf numFmtId="3" fontId="3" fillId="11" borderId="28" xfId="18" quotePrefix="1" applyNumberFormat="1" applyFont="1" applyFill="1" applyBorder="1" applyProtection="1">
      <protection locked="0"/>
    </xf>
    <xf numFmtId="3" fontId="3" fillId="0" borderId="23" xfId="18" applyNumberFormat="1" applyFont="1" applyFill="1" applyBorder="1" applyProtection="1">
      <protection locked="0"/>
    </xf>
    <xf numFmtId="1" fontId="3" fillId="10" borderId="23" xfId="18" applyNumberFormat="1" applyFont="1" applyFill="1" applyBorder="1" applyProtection="1">
      <protection locked="0"/>
    </xf>
    <xf numFmtId="168" fontId="3" fillId="11" borderId="23" xfId="21" applyNumberFormat="1" applyFont="1" applyFill="1" applyBorder="1" applyProtection="1">
      <protection locked="0"/>
    </xf>
    <xf numFmtId="3" fontId="3" fillId="10" borderId="23" xfId="18" applyNumberFormat="1" applyFont="1" applyFill="1" applyBorder="1" applyProtection="1">
      <protection locked="0"/>
    </xf>
    <xf numFmtId="0" fontId="3" fillId="0" borderId="36" xfId="18" quotePrefix="1" applyNumberFormat="1" applyFont="1" applyBorder="1" applyAlignment="1" applyProtection="1">
      <alignment horizontal="left"/>
      <protection locked="0"/>
    </xf>
    <xf numFmtId="0" fontId="7" fillId="0" borderId="37" xfId="18" applyNumberFormat="1" applyFont="1" applyBorder="1" applyProtection="1">
      <protection locked="0"/>
    </xf>
    <xf numFmtId="3" fontId="7" fillId="10" borderId="23" xfId="18" quotePrefix="1" applyNumberFormat="1" applyFont="1" applyFill="1" applyBorder="1" applyProtection="1">
      <protection locked="0"/>
    </xf>
    <xf numFmtId="3" fontId="7" fillId="11" borderId="23" xfId="18" quotePrefix="1" applyNumberFormat="1" applyFont="1" applyFill="1" applyBorder="1" applyProtection="1">
      <protection locked="0"/>
    </xf>
    <xf numFmtId="3" fontId="7" fillId="0" borderId="23" xfId="18" quotePrefix="1" applyNumberFormat="1" applyFont="1" applyFill="1" applyBorder="1" applyProtection="1">
      <protection locked="0"/>
    </xf>
    <xf numFmtId="3" fontId="7" fillId="0" borderId="23" xfId="18" applyNumberFormat="1" applyFont="1" applyFill="1" applyBorder="1" applyProtection="1">
      <protection locked="0"/>
    </xf>
    <xf numFmtId="167" fontId="7" fillId="0" borderId="23" xfId="20" quotePrefix="1" applyNumberFormat="1" applyFont="1" applyBorder="1" applyProtection="1">
      <protection locked="0"/>
    </xf>
    <xf numFmtId="1" fontId="7" fillId="10" borderId="23" xfId="18" applyNumberFormat="1" applyFont="1" applyFill="1" applyBorder="1" applyProtection="1">
      <protection locked="0"/>
    </xf>
    <xf numFmtId="168" fontId="7" fillId="11" borderId="23" xfId="21" applyNumberFormat="1" applyFont="1" applyFill="1" applyBorder="1" applyProtection="1">
      <protection locked="0"/>
    </xf>
    <xf numFmtId="3" fontId="7" fillId="10" borderId="23" xfId="18" applyNumberFormat="1" applyFont="1" applyFill="1" applyBorder="1" applyProtection="1">
      <protection locked="0"/>
    </xf>
    <xf numFmtId="0" fontId="3" fillId="0" borderId="36" xfId="18" applyNumberFormat="1" applyFont="1" applyBorder="1" applyAlignment="1" applyProtection="1">
      <alignment horizontal="left" indent="2"/>
      <protection locked="0"/>
    </xf>
    <xf numFmtId="0" fontId="3" fillId="0" borderId="38" xfId="18" quotePrefix="1" applyNumberFormat="1" applyFont="1" applyBorder="1" applyProtection="1">
      <protection locked="0"/>
    </xf>
    <xf numFmtId="167" fontId="3" fillId="0" borderId="30" xfId="20" applyNumberFormat="1" applyFont="1" applyBorder="1" applyProtection="1">
      <protection locked="0"/>
    </xf>
    <xf numFmtId="1" fontId="3" fillId="11" borderId="23" xfId="18" applyNumberFormat="1" applyFont="1" applyFill="1" applyBorder="1" applyProtection="1">
      <protection locked="0"/>
    </xf>
    <xf numFmtId="0" fontId="7" fillId="0" borderId="39" xfId="18" applyNumberFormat="1" applyFont="1" applyBorder="1" applyProtection="1">
      <protection locked="0"/>
    </xf>
    <xf numFmtId="3" fontId="7" fillId="10" borderId="40" xfId="18" applyNumberFormat="1" applyFont="1" applyFill="1" applyBorder="1" applyProtection="1">
      <protection locked="0"/>
    </xf>
    <xf numFmtId="3" fontId="7" fillId="11" borderId="40" xfId="18" applyNumberFormat="1" applyFont="1" applyFill="1" applyBorder="1" applyProtection="1">
      <protection locked="0"/>
    </xf>
    <xf numFmtId="3" fontId="7" fillId="0" borderId="40" xfId="18" applyNumberFormat="1" applyFont="1" applyFill="1" applyBorder="1" applyProtection="1">
      <protection locked="0"/>
    </xf>
    <xf numFmtId="167" fontId="7" fillId="0" borderId="41" xfId="20" applyNumberFormat="1" applyFont="1" applyBorder="1" applyProtection="1">
      <protection locked="0"/>
    </xf>
    <xf numFmtId="0" fontId="7" fillId="0" borderId="0" xfId="18" applyFont="1" applyProtection="1">
      <protection locked="0"/>
    </xf>
    <xf numFmtId="0" fontId="7" fillId="0" borderId="0" xfId="18" applyNumberFormat="1" applyFont="1" applyBorder="1" applyProtection="1">
      <protection locked="0"/>
    </xf>
    <xf numFmtId="3" fontId="3" fillId="0" borderId="0" xfId="18" applyNumberFormat="1" applyFont="1" applyBorder="1" applyProtection="1">
      <protection locked="0"/>
    </xf>
    <xf numFmtId="3" fontId="3" fillId="0" borderId="0" xfId="18" applyNumberFormat="1" applyFont="1" applyFill="1" applyBorder="1" applyProtection="1">
      <protection locked="0"/>
    </xf>
    <xf numFmtId="0" fontId="3" fillId="0" borderId="0" xfId="18" applyFont="1" applyFill="1" applyProtection="1">
      <protection locked="0"/>
    </xf>
    <xf numFmtId="167" fontId="3" fillId="0" borderId="0" xfId="20" applyNumberFormat="1" applyFont="1" applyProtection="1">
      <protection locked="0"/>
    </xf>
    <xf numFmtId="0" fontId="7" fillId="0" borderId="31" xfId="18" applyNumberFormat="1" applyFont="1" applyBorder="1" applyProtection="1">
      <protection locked="0"/>
    </xf>
    <xf numFmtId="3" fontId="3" fillId="0" borderId="42" xfId="18" quotePrefix="1" applyNumberFormat="1" applyFont="1" applyBorder="1" applyProtection="1">
      <protection locked="0"/>
    </xf>
    <xf numFmtId="3" fontId="3" fillId="0" borderId="42" xfId="18" quotePrefix="1" applyNumberFormat="1" applyFont="1" applyFill="1" applyBorder="1" applyProtection="1">
      <protection locked="0"/>
    </xf>
    <xf numFmtId="3" fontId="3" fillId="0" borderId="0" xfId="18" quotePrefix="1" applyNumberFormat="1" applyFont="1" applyFill="1" applyBorder="1" applyProtection="1">
      <protection locked="0"/>
    </xf>
    <xf numFmtId="0" fontId="3" fillId="0" borderId="0" xfId="18" applyFont="1" applyFill="1" applyBorder="1" applyProtection="1">
      <protection locked="0"/>
    </xf>
    <xf numFmtId="0" fontId="3" fillId="0" borderId="0" xfId="18" applyFont="1" applyBorder="1" applyProtection="1">
      <protection locked="0"/>
    </xf>
    <xf numFmtId="0" fontId="3" fillId="0" borderId="33" xfId="18" quotePrefix="1" applyNumberFormat="1" applyFont="1" applyBorder="1" applyProtection="1">
      <protection locked="0"/>
    </xf>
    <xf numFmtId="3" fontId="3" fillId="0" borderId="35" xfId="18" quotePrefix="1" applyNumberFormat="1" applyFont="1" applyFill="1" applyBorder="1" applyProtection="1">
      <protection locked="0"/>
    </xf>
    <xf numFmtId="3" fontId="3" fillId="11" borderId="35" xfId="18" quotePrefix="1" applyNumberFormat="1" applyFont="1" applyFill="1" applyBorder="1" applyProtection="1">
      <protection locked="0"/>
    </xf>
    <xf numFmtId="3" fontId="3" fillId="0" borderId="35" xfId="18" applyNumberFormat="1" applyFont="1" applyFill="1" applyBorder="1" applyProtection="1">
      <protection locked="0"/>
    </xf>
    <xf numFmtId="167" fontId="3" fillId="0" borderId="10" xfId="20" applyNumberFormat="1" applyFont="1" applyBorder="1" applyProtection="1">
      <protection locked="0"/>
    </xf>
    <xf numFmtId="3" fontId="7" fillId="12" borderId="40" xfId="18" applyNumberFormat="1" applyFont="1" applyFill="1" applyBorder="1" applyProtection="1">
      <protection locked="0"/>
    </xf>
    <xf numFmtId="0" fontId="7" fillId="0" borderId="43" xfId="18" applyNumberFormat="1" applyFont="1" applyBorder="1" applyProtection="1">
      <protection locked="0"/>
    </xf>
    <xf numFmtId="3" fontId="7" fillId="10" borderId="43" xfId="18" applyNumberFormat="1" applyFont="1" applyFill="1" applyBorder="1" applyProtection="1">
      <protection locked="0"/>
    </xf>
    <xf numFmtId="3" fontId="7" fillId="11" borderId="43" xfId="18" applyNumberFormat="1" applyFont="1" applyFill="1" applyBorder="1" applyProtection="1">
      <protection locked="0"/>
    </xf>
    <xf numFmtId="3" fontId="7" fillId="0" borderId="43" xfId="18" applyNumberFormat="1" applyFont="1" applyFill="1" applyBorder="1" applyProtection="1">
      <protection locked="0"/>
    </xf>
    <xf numFmtId="167" fontId="7" fillId="0" borderId="43" xfId="20" applyNumberFormat="1" applyFont="1" applyBorder="1" applyProtection="1">
      <protection locked="0"/>
    </xf>
    <xf numFmtId="0" fontId="7" fillId="0" borderId="44" xfId="18" applyFont="1" applyBorder="1"/>
    <xf numFmtId="0" fontId="25" fillId="0" borderId="45" xfId="18" applyBorder="1"/>
    <xf numFmtId="0" fontId="25" fillId="0" borderId="46" xfId="18" applyBorder="1"/>
    <xf numFmtId="0" fontId="25" fillId="0" borderId="47" xfId="18" applyFill="1" applyBorder="1"/>
    <xf numFmtId="0" fontId="25" fillId="0" borderId="47" xfId="18" applyBorder="1"/>
    <xf numFmtId="1" fontId="3" fillId="0" borderId="29" xfId="18" applyNumberFormat="1" applyFont="1" applyBorder="1" applyProtection="1">
      <protection locked="0"/>
    </xf>
    <xf numFmtId="1" fontId="3" fillId="0" borderId="0" xfId="18" applyNumberFormat="1" applyFont="1" applyBorder="1" applyProtection="1">
      <protection locked="0"/>
    </xf>
    <xf numFmtId="0" fontId="25" fillId="0" borderId="0" xfId="18" applyFill="1"/>
    <xf numFmtId="3" fontId="25" fillId="0" borderId="0" xfId="18" applyNumberFormat="1"/>
    <xf numFmtId="0" fontId="7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8" fontId="3" fillId="0" borderId="0" xfId="1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3" fillId="0" borderId="0" xfId="0" applyNumberFormat="1" applyFont="1" applyAlignment="1">
      <alignment horizontal="left"/>
    </xf>
    <xf numFmtId="3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7" fontId="0" fillId="0" borderId="0" xfId="9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0" fontId="0" fillId="0" borderId="0" xfId="0" applyNumberFormat="1" applyFill="1" applyBorder="1"/>
    <xf numFmtId="3" fontId="3" fillId="6" borderId="19" xfId="1" applyNumberFormat="1" applyFont="1" applyFill="1" applyBorder="1"/>
    <xf numFmtId="168" fontId="0" fillId="9" borderId="0" xfId="1" applyNumberFormat="1" applyFont="1" applyFill="1"/>
    <xf numFmtId="167" fontId="8" fillId="0" borderId="0" xfId="9" applyNumberFormat="1" applyFont="1" applyFill="1" applyBorder="1" applyAlignment="1">
      <alignment horizontal="center"/>
    </xf>
    <xf numFmtId="10" fontId="3" fillId="0" borderId="23" xfId="10" applyNumberFormat="1" applyFill="1" applyBorder="1" applyAlignment="1">
      <alignment horizontal="right"/>
    </xf>
    <xf numFmtId="0" fontId="7" fillId="12" borderId="19" xfId="0" applyFont="1" applyFill="1" applyBorder="1" applyAlignment="1">
      <alignment horizontal="center" wrapText="1"/>
    </xf>
    <xf numFmtId="0" fontId="0" fillId="12" borderId="0" xfId="0" applyFill="1"/>
    <xf numFmtId="168" fontId="3" fillId="13" borderId="19" xfId="1" applyNumberFormat="1" applyFont="1" applyFill="1" applyBorder="1"/>
    <xf numFmtId="168" fontId="3" fillId="12" borderId="19" xfId="1" applyNumberFormat="1" applyFont="1" applyFill="1" applyBorder="1"/>
    <xf numFmtId="0" fontId="21" fillId="0" borderId="0" xfId="22" applyFont="1"/>
    <xf numFmtId="167" fontId="21" fillId="0" borderId="0" xfId="22" applyNumberFormat="1" applyFont="1"/>
    <xf numFmtId="0" fontId="20" fillId="0" borderId="23" xfId="22" applyFont="1" applyBorder="1" applyAlignment="1">
      <alignment wrapText="1"/>
    </xf>
    <xf numFmtId="167" fontId="20" fillId="0" borderId="27" xfId="22" applyNumberFormat="1" applyFont="1" applyBorder="1" applyAlignment="1">
      <alignment horizontal="center" vertical="center" wrapText="1"/>
    </xf>
    <xf numFmtId="0" fontId="21" fillId="0" borderId="0" xfId="22" applyFont="1" applyAlignment="1">
      <alignment wrapText="1"/>
    </xf>
    <xf numFmtId="0" fontId="21" fillId="0" borderId="11" xfId="22" applyFont="1" applyBorder="1"/>
    <xf numFmtId="171" fontId="21" fillId="0" borderId="10" xfId="22" applyNumberFormat="1" applyFont="1" applyBorder="1"/>
    <xf numFmtId="171" fontId="21" fillId="0" borderId="11" xfId="24" applyNumberFormat="1" applyFont="1" applyBorder="1"/>
    <xf numFmtId="171" fontId="21" fillId="0" borderId="11" xfId="22" applyNumberFormat="1" applyFont="1" applyBorder="1"/>
    <xf numFmtId="0" fontId="20" fillId="0" borderId="11" xfId="22" applyFont="1" applyBorder="1"/>
    <xf numFmtId="171" fontId="20" fillId="0" borderId="11" xfId="24" applyNumberFormat="1" applyFont="1" applyBorder="1"/>
    <xf numFmtId="171" fontId="20" fillId="0" borderId="11" xfId="22" applyNumberFormat="1" applyFont="1" applyBorder="1"/>
    <xf numFmtId="171" fontId="20" fillId="0" borderId="29" xfId="24" applyNumberFormat="1" applyFont="1" applyBorder="1"/>
    <xf numFmtId="0" fontId="20" fillId="0" borderId="29" xfId="22" applyFont="1" applyBorder="1"/>
    <xf numFmtId="3" fontId="21" fillId="0" borderId="0" xfId="22" applyNumberFormat="1" applyFont="1"/>
    <xf numFmtId="3" fontId="20" fillId="0" borderId="23" xfId="22" applyNumberFormat="1" applyFont="1" applyBorder="1" applyAlignment="1">
      <alignment horizontal="center" vertical="center" wrapText="1"/>
    </xf>
    <xf numFmtId="4" fontId="20" fillId="0" borderId="23" xfId="22" applyNumberFormat="1" applyFont="1" applyBorder="1" applyAlignment="1">
      <alignment horizontal="center" vertical="center" wrapText="1"/>
    </xf>
    <xf numFmtId="167" fontId="20" fillId="0" borderId="24" xfId="22" applyNumberFormat="1" applyFont="1" applyBorder="1" applyAlignment="1">
      <alignment horizontal="center" vertical="center" wrapText="1"/>
    </xf>
    <xf numFmtId="3" fontId="21" fillId="0" borderId="11" xfId="22" applyNumberFormat="1" applyFont="1" applyBorder="1"/>
    <xf numFmtId="171" fontId="21" fillId="0" borderId="17" xfId="24" applyNumberFormat="1" applyFont="1" applyBorder="1"/>
    <xf numFmtId="3" fontId="20" fillId="0" borderId="11" xfId="22" applyNumberFormat="1" applyFont="1" applyBorder="1"/>
    <xf numFmtId="171" fontId="20" fillId="0" borderId="17" xfId="24" applyNumberFormat="1" applyFont="1" applyBorder="1"/>
    <xf numFmtId="3" fontId="20" fillId="0" borderId="29" xfId="22" applyNumberFormat="1" applyFont="1" applyBorder="1"/>
    <xf numFmtId="171" fontId="20" fillId="0" borderId="48" xfId="24" applyNumberFormat="1" applyFont="1" applyBorder="1"/>
    <xf numFmtId="0" fontId="20" fillId="0" borderId="13" xfId="22" applyFont="1" applyBorder="1"/>
    <xf numFmtId="3" fontId="20" fillId="0" borderId="26" xfId="22" applyNumberFormat="1" applyFont="1" applyBorder="1"/>
    <xf numFmtId="171" fontId="20" fillId="0" borderId="23" xfId="24" applyNumberFormat="1" applyFont="1" applyBorder="1"/>
    <xf numFmtId="0" fontId="24" fillId="0" borderId="10" xfId="14" applyFont="1" applyFill="1" applyBorder="1" applyAlignment="1">
      <alignment wrapText="1"/>
    </xf>
    <xf numFmtId="0" fontId="22" fillId="0" borderId="11" xfId="17" applyFont="1" applyFill="1" applyBorder="1" applyAlignment="1">
      <alignment wrapText="1"/>
    </xf>
    <xf numFmtId="0" fontId="24" fillId="0" borderId="11" xfId="14" applyFont="1" applyFill="1" applyBorder="1" applyAlignment="1"/>
    <xf numFmtId="38" fontId="6" fillId="0" borderId="9" xfId="7" applyNumberFormat="1" applyFont="1" applyFill="1" applyBorder="1" applyAlignment="1">
      <alignment horizontal="right" wrapText="1"/>
    </xf>
    <xf numFmtId="168" fontId="6" fillId="0" borderId="7" xfId="5" applyNumberFormat="1" applyFont="1" applyFill="1" applyBorder="1" applyAlignment="1">
      <alignment horizontal="right" wrapText="1"/>
    </xf>
    <xf numFmtId="168" fontId="6" fillId="0" borderId="9" xfId="7" applyNumberFormat="1" applyFont="1" applyFill="1" applyBorder="1" applyAlignment="1">
      <alignment horizontal="right" wrapText="1"/>
    </xf>
    <xf numFmtId="0" fontId="28" fillId="0" borderId="0" xfId="0" applyFont="1" applyBorder="1" applyAlignment="1">
      <alignment horizontal="center"/>
    </xf>
    <xf numFmtId="0" fontId="27" fillId="0" borderId="0" xfId="18" applyFont="1" applyAlignment="1">
      <alignment horizontal="centerContinuous"/>
    </xf>
    <xf numFmtId="6" fontId="7" fillId="0" borderId="0" xfId="0" applyNumberFormat="1" applyFont="1" applyFill="1"/>
    <xf numFmtId="0" fontId="20" fillId="0" borderId="0" xfId="22" applyFont="1" applyAlignment="1">
      <alignment horizontal="right"/>
    </xf>
    <xf numFmtId="0" fontId="7" fillId="0" borderId="0" xfId="0" applyFont="1" applyAlignment="1">
      <alignment horizontal="right"/>
    </xf>
    <xf numFmtId="38" fontId="7" fillId="0" borderId="0" xfId="0" applyNumberFormat="1" applyFont="1" applyAlignment="1">
      <alignment horizontal="right"/>
    </xf>
    <xf numFmtId="10" fontId="7" fillId="0" borderId="0" xfId="10" applyNumberFormat="1" applyFont="1" applyFill="1" applyAlignment="1">
      <alignment horizontal="right"/>
    </xf>
    <xf numFmtId="0" fontId="28" fillId="0" borderId="0" xfId="0" applyFont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168" fontId="0" fillId="9" borderId="23" xfId="1" applyNumberFormat="1" applyFont="1" applyFill="1" applyBorder="1"/>
    <xf numFmtId="0" fontId="4" fillId="8" borderId="22" xfId="7" applyFont="1" applyFill="1" applyBorder="1" applyAlignment="1">
      <alignment horizontal="center" wrapText="1"/>
    </xf>
    <xf numFmtId="38" fontId="4" fillId="8" borderId="0" xfId="7" applyNumberFormat="1" applyFont="1" applyFill="1" applyBorder="1" applyAlignment="1">
      <alignment horizontal="center" wrapText="1"/>
    </xf>
    <xf numFmtId="3" fontId="0" fillId="8" borderId="23" xfId="0" applyNumberFormat="1" applyFill="1" applyBorder="1"/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167" fontId="21" fillId="0" borderId="11" xfId="9" applyNumberFormat="1" applyFont="1" applyBorder="1"/>
    <xf numFmtId="167" fontId="20" fillId="0" borderId="11" xfId="9" applyNumberFormat="1" applyFont="1" applyBorder="1"/>
    <xf numFmtId="38" fontId="6" fillId="0" borderId="22" xfId="1" applyNumberFormat="1" applyFont="1" applyFill="1" applyBorder="1" applyAlignment="1">
      <alignment horizontal="right" wrapText="1"/>
    </xf>
    <xf numFmtId="49" fontId="7" fillId="0" borderId="26" xfId="0" applyNumberFormat="1" applyFont="1" applyFill="1" applyBorder="1" applyAlignment="1">
      <alignment horizontal="center"/>
    </xf>
    <xf numFmtId="38" fontId="7" fillId="0" borderId="13" xfId="0" applyNumberFormat="1" applyFont="1" applyFill="1" applyBorder="1" applyAlignment="1">
      <alignment horizontal="center"/>
    </xf>
    <xf numFmtId="38" fontId="7" fillId="0" borderId="23" xfId="0" applyNumberFormat="1" applyFont="1" applyFill="1" applyBorder="1" applyAlignment="1">
      <alignment horizontal="center" wrapText="1"/>
    </xf>
    <xf numFmtId="38" fontId="6" fillId="0" borderId="49" xfId="5" applyNumberFormat="1" applyFont="1" applyFill="1" applyBorder="1" applyAlignment="1">
      <alignment horizontal="center"/>
    </xf>
    <xf numFmtId="0" fontId="7" fillId="9" borderId="50" xfId="0" applyFont="1" applyFill="1" applyBorder="1" applyAlignment="1">
      <alignment horizontal="center" wrapText="1"/>
    </xf>
    <xf numFmtId="168" fontId="6" fillId="0" borderId="8" xfId="1" applyNumberFormat="1" applyFont="1" applyFill="1" applyBorder="1" applyAlignment="1">
      <alignment horizontal="right" wrapText="1"/>
    </xf>
    <xf numFmtId="0" fontId="6" fillId="0" borderId="1" xfId="7" applyFont="1" applyFill="1" applyBorder="1" applyAlignment="1"/>
    <xf numFmtId="38" fontId="3" fillId="0" borderId="0" xfId="0" applyNumberFormat="1" applyFont="1" applyFill="1"/>
    <xf numFmtId="167" fontId="24" fillId="0" borderId="51" xfId="9" applyNumberFormat="1" applyFont="1" applyFill="1" applyBorder="1" applyAlignment="1">
      <alignment horizontal="right" wrapText="1"/>
    </xf>
    <xf numFmtId="168" fontId="21" fillId="0" borderId="0" xfId="1" applyNumberFormat="1" applyFont="1"/>
    <xf numFmtId="167" fontId="24" fillId="0" borderId="11" xfId="9" applyNumberFormat="1" applyFont="1" applyFill="1" applyBorder="1" applyAlignment="1">
      <alignment horizontal="right" wrapText="1"/>
    </xf>
    <xf numFmtId="167" fontId="22" fillId="0" borderId="11" xfId="9" applyNumberFormat="1" applyFont="1" applyFill="1" applyBorder="1" applyAlignment="1">
      <alignment horizontal="right" wrapText="1"/>
    </xf>
    <xf numFmtId="168" fontId="20" fillId="0" borderId="0" xfId="1" applyNumberFormat="1" applyFont="1"/>
    <xf numFmtId="168" fontId="20" fillId="0" borderId="11" xfId="1" applyNumberFormat="1" applyFont="1" applyBorder="1"/>
    <xf numFmtId="167" fontId="22" fillId="0" borderId="52" xfId="9" applyNumberFormat="1" applyFont="1" applyFill="1" applyBorder="1" applyAlignment="1">
      <alignment horizontal="right" wrapText="1"/>
    </xf>
    <xf numFmtId="168" fontId="20" fillId="0" borderId="52" xfId="1" applyNumberFormat="1" applyFont="1" applyBorder="1"/>
    <xf numFmtId="0" fontId="23" fillId="0" borderId="50" xfId="26" applyFont="1" applyFill="1" applyBorder="1" applyAlignment="1">
      <alignment horizontal="center" wrapText="1"/>
    </xf>
    <xf numFmtId="0" fontId="22" fillId="0" borderId="50" xfId="13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0" fillId="0" borderId="0" xfId="9" applyNumberFormat="1" applyFont="1"/>
    <xf numFmtId="38" fontId="0" fillId="5" borderId="0" xfId="0" applyNumberFormat="1" applyFill="1"/>
    <xf numFmtId="168" fontId="6" fillId="0" borderId="24" xfId="7" applyNumberFormat="1" applyFont="1" applyFill="1" applyBorder="1" applyAlignment="1">
      <alignment horizontal="right" wrapText="1"/>
    </xf>
    <xf numFmtId="168" fontId="3" fillId="0" borderId="23" xfId="10" applyNumberFormat="1" applyFill="1" applyBorder="1" applyAlignment="1">
      <alignment horizontal="right"/>
    </xf>
    <xf numFmtId="167" fontId="21" fillId="0" borderId="0" xfId="9" applyNumberFormat="1" applyFont="1"/>
    <xf numFmtId="167" fontId="20" fillId="0" borderId="23" xfId="9" applyNumberFormat="1" applyFont="1" applyBorder="1" applyAlignment="1">
      <alignment horizontal="center" vertical="center" wrapText="1"/>
    </xf>
    <xf numFmtId="167" fontId="20" fillId="0" borderId="29" xfId="9" applyNumberFormat="1" applyFont="1" applyBorder="1"/>
    <xf numFmtId="167" fontId="20" fillId="0" borderId="26" xfId="9" applyNumberFormat="1" applyFont="1" applyBorder="1"/>
    <xf numFmtId="38" fontId="3" fillId="0" borderId="1" xfId="0" applyNumberFormat="1" applyFont="1" applyFill="1" applyBorder="1"/>
    <xf numFmtId="0" fontId="21" fillId="0" borderId="51" xfId="0" applyFont="1" applyBorder="1"/>
    <xf numFmtId="0" fontId="21" fillId="0" borderId="11" xfId="0" applyFont="1" applyBorder="1"/>
    <xf numFmtId="0" fontId="20" fillId="0" borderId="11" xfId="0" applyFont="1" applyBorder="1"/>
    <xf numFmtId="0" fontId="20" fillId="0" borderId="52" xfId="0" applyFont="1" applyBorder="1"/>
    <xf numFmtId="0" fontId="20" fillId="0" borderId="54" xfId="0" applyFont="1" applyBorder="1"/>
    <xf numFmtId="172" fontId="0" fillId="0" borderId="0" xfId="0" applyNumberFormat="1"/>
    <xf numFmtId="3" fontId="30" fillId="0" borderId="0" xfId="0" applyNumberFormat="1" applyFont="1"/>
    <xf numFmtId="167" fontId="30" fillId="0" borderId="0" xfId="0" applyNumberFormat="1" applyFont="1"/>
    <xf numFmtId="167" fontId="30" fillId="0" borderId="0" xfId="9" applyNumberFormat="1" applyFont="1"/>
    <xf numFmtId="38" fontId="6" fillId="0" borderId="1" xfId="4" applyNumberFormat="1" applyFont="1" applyFill="1" applyBorder="1" applyAlignment="1">
      <alignment horizontal="right" wrapText="1"/>
    </xf>
    <xf numFmtId="38" fontId="3" fillId="0" borderId="1" xfId="4" applyNumberFormat="1" applyFont="1" applyFill="1" applyBorder="1" applyAlignment="1">
      <alignment horizontal="right" wrapText="1"/>
    </xf>
    <xf numFmtId="9" fontId="0" fillId="0" borderId="0" xfId="9" applyFont="1"/>
    <xf numFmtId="49" fontId="8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26" fillId="0" borderId="0" xfId="18" applyFont="1" applyAlignment="1">
      <alignment horizontal="left"/>
    </xf>
    <xf numFmtId="0" fontId="7" fillId="0" borderId="0" xfId="18" applyFont="1" applyFill="1" applyAlignment="1" applyProtection="1">
      <alignment horizontal="left"/>
      <protection locked="0"/>
    </xf>
    <xf numFmtId="0" fontId="7" fillId="0" borderId="16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/>
    <xf numFmtId="0" fontId="20" fillId="0" borderId="0" xfId="22" applyFont="1" applyAlignment="1">
      <alignment horizontal="center"/>
    </xf>
    <xf numFmtId="0" fontId="20" fillId="0" borderId="0" xfId="0" applyFont="1" applyBorder="1" applyAlignment="1">
      <alignment horizontal="center"/>
    </xf>
    <xf numFmtId="167" fontId="7" fillId="0" borderId="0" xfId="0" applyNumberFormat="1" applyFont="1" applyFill="1"/>
    <xf numFmtId="3" fontId="3" fillId="0" borderId="0" xfId="18" applyNumberFormat="1" applyFont="1" applyProtection="1">
      <protection locked="0"/>
    </xf>
  </cellXfs>
  <cellStyles count="28">
    <cellStyle name="Comma" xfId="1" builtinId="3"/>
    <cellStyle name="Comma 2" xfId="16"/>
    <cellStyle name="Comma 3" xfId="21"/>
    <cellStyle name="Comma 4" xfId="23"/>
    <cellStyle name="Currency" xfId="2" builtinId="4"/>
    <cellStyle name="Currency 2" xfId="12"/>
    <cellStyle name="Currency 3" xfId="24"/>
    <cellStyle name="Normal" xfId="0" builtinId="0"/>
    <cellStyle name="Normal 2" xfId="10"/>
    <cellStyle name="Normal 3" xfId="11"/>
    <cellStyle name="Normal 4" xfId="18"/>
    <cellStyle name="Normal 5" xfId="22"/>
    <cellStyle name="Normal 6" xfId="27"/>
    <cellStyle name="Normal_Academic Support Per FYE" xfId="3"/>
    <cellStyle name="Normal_Denominator 2" xfId="26"/>
    <cellStyle name="Normal_FY2006 Detail" xfId="4"/>
    <cellStyle name="Normal_INSTRUCTION" xfId="5"/>
    <cellStyle name="Normal_Revenue Offset" xfId="6"/>
    <cellStyle name="Normal_Sheet1" xfId="7"/>
    <cellStyle name="Normal_Sheet1 2" xfId="13"/>
    <cellStyle name="Normal_Sheet1 3" xfId="19"/>
    <cellStyle name="Normal_Sheet2" xfId="8"/>
    <cellStyle name="Normal_Sheet2 2" xfId="17"/>
    <cellStyle name="Normal_Sheet3" xfId="14"/>
    <cellStyle name="Percent" xfId="9" builtinId="5"/>
    <cellStyle name="Percent 2" xfId="15"/>
    <cellStyle name="Percent 3" xfId="20"/>
    <cellStyle name="Percent 4" xfId="2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bargain\000_Allocation%20Framework\TAC\FY2017%20meetings\Analysis\Transition\FY2017%20Institutional%20Allocations%20for%20analysis%20all%20recs%20except%20student%20success_0928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5 Detail"/>
      <sheetName val="Alloc Dif (2)"/>
      <sheetName val="Alloc Dif"/>
      <sheetName val="FY15 Detail"/>
      <sheetName val="Instruction"/>
      <sheetName val="Academic Support Per FYE"/>
      <sheetName val="Student Success"/>
      <sheetName val="Student &amp; Institutional Sup (2"/>
      <sheetName val="Student &amp; Institutional Support"/>
      <sheetName val="Facilities"/>
      <sheetName val="Library"/>
      <sheetName val="Research"/>
      <sheetName val="Enrollment"/>
      <sheetName val="Enrollment Detail"/>
      <sheetName val="Revenue Offset"/>
      <sheetName val="Research (2)"/>
      <sheetName val="Revenue Offse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0">
          <cell r="G40">
            <v>0.58953142624222721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39997558519241921"/>
  </sheetPr>
  <dimension ref="A1:D40"/>
  <sheetViews>
    <sheetView zoomScale="80" workbookViewId="0">
      <pane xSplit="3" ySplit="5" topLeftCell="D30" activePane="bottomRight" state="frozen"/>
      <selection activeCell="F2" sqref="F2"/>
      <selection pane="topRight" activeCell="F2" sqref="F2"/>
      <selection pane="bottomLeft" activeCell="F2" sqref="F2"/>
      <selection pane="bottomRight" activeCell="B41" sqref="B41"/>
    </sheetView>
  </sheetViews>
  <sheetFormatPr defaultRowHeight="12.75" x14ac:dyDescent="0.2"/>
  <cols>
    <col min="1" max="1" width="4.7109375" hidden="1" customWidth="1"/>
    <col min="2" max="2" width="5" customWidth="1"/>
    <col min="3" max="3" width="30.7109375" customWidth="1"/>
    <col min="4" max="4" width="8" style="54" customWidth="1"/>
  </cols>
  <sheetData>
    <row r="1" spans="1:4" s="15" customFormat="1" ht="15.75" x14ac:dyDescent="0.25">
      <c r="A1" s="21"/>
      <c r="B1" s="39"/>
      <c r="D1" s="177"/>
    </row>
    <row r="2" spans="1:4" s="15" customFormat="1" ht="24.75" customHeight="1" x14ac:dyDescent="0.2">
      <c r="A2" s="21"/>
      <c r="B2" s="21"/>
      <c r="C2" s="21"/>
      <c r="D2" s="91"/>
    </row>
    <row r="3" spans="1:4" s="15" customFormat="1" x14ac:dyDescent="0.2">
      <c r="A3" s="29"/>
      <c r="B3" s="19"/>
      <c r="C3" s="19"/>
      <c r="D3" s="178"/>
    </row>
    <row r="4" spans="1:4" ht="92.25" customHeight="1" x14ac:dyDescent="0.2">
      <c r="B4" s="1" t="s">
        <v>0</v>
      </c>
      <c r="C4" s="1" t="s">
        <v>1</v>
      </c>
      <c r="D4" s="179" t="s">
        <v>289</v>
      </c>
    </row>
    <row r="5" spans="1:4" x14ac:dyDescent="0.2">
      <c r="B5" s="2"/>
      <c r="C5" s="2"/>
      <c r="D5" s="180"/>
    </row>
    <row r="6" spans="1:4" x14ac:dyDescent="0.2">
      <c r="A6">
        <v>1</v>
      </c>
      <c r="B6" s="10" t="s">
        <v>2</v>
      </c>
      <c r="C6" s="3" t="s">
        <v>3</v>
      </c>
    </row>
    <row r="7" spans="1:4" s="54" customFormat="1" x14ac:dyDescent="0.2">
      <c r="A7" s="54">
        <v>2</v>
      </c>
      <c r="B7" s="10" t="s">
        <v>4</v>
      </c>
      <c r="C7" s="3" t="s">
        <v>124</v>
      </c>
    </row>
    <row r="8" spans="1:4" ht="12" customHeight="1" x14ac:dyDescent="0.2">
      <c r="A8">
        <v>4</v>
      </c>
      <c r="B8" s="10" t="s">
        <v>5</v>
      </c>
      <c r="C8" s="3" t="s">
        <v>113</v>
      </c>
    </row>
    <row r="9" spans="1:4" x14ac:dyDescent="0.2">
      <c r="A9">
        <v>3</v>
      </c>
      <c r="B9" s="37" t="s">
        <v>6</v>
      </c>
      <c r="C9" s="3" t="s">
        <v>7</v>
      </c>
    </row>
    <row r="10" spans="1:4" x14ac:dyDescent="0.2">
      <c r="A10">
        <v>3</v>
      </c>
      <c r="B10" s="37" t="s">
        <v>8</v>
      </c>
      <c r="C10" s="3" t="s">
        <v>9</v>
      </c>
    </row>
    <row r="11" spans="1:4" x14ac:dyDescent="0.2">
      <c r="A11">
        <v>1</v>
      </c>
      <c r="B11" s="37" t="s">
        <v>10</v>
      </c>
      <c r="C11" s="3" t="s">
        <v>11</v>
      </c>
    </row>
    <row r="12" spans="1:4" x14ac:dyDescent="0.2">
      <c r="A12">
        <v>2</v>
      </c>
      <c r="B12" s="37" t="s">
        <v>12</v>
      </c>
      <c r="C12" s="3" t="s">
        <v>13</v>
      </c>
    </row>
    <row r="13" spans="1:4" x14ac:dyDescent="0.2">
      <c r="A13">
        <v>1</v>
      </c>
      <c r="B13" s="37" t="s">
        <v>14</v>
      </c>
      <c r="C13" s="3" t="s">
        <v>15</v>
      </c>
    </row>
    <row r="14" spans="1:4" x14ac:dyDescent="0.2">
      <c r="A14">
        <v>3</v>
      </c>
      <c r="B14" s="37" t="s">
        <v>16</v>
      </c>
      <c r="C14" s="3" t="s">
        <v>17</v>
      </c>
    </row>
    <row r="15" spans="1:4" x14ac:dyDescent="0.2">
      <c r="A15">
        <v>4</v>
      </c>
      <c r="B15" s="37" t="s">
        <v>18</v>
      </c>
      <c r="C15" s="3" t="s">
        <v>68</v>
      </c>
    </row>
    <row r="16" spans="1:4" x14ac:dyDescent="0.2">
      <c r="A16">
        <v>3</v>
      </c>
      <c r="B16" s="37" t="s">
        <v>19</v>
      </c>
      <c r="C16" s="3" t="s">
        <v>20</v>
      </c>
    </row>
    <row r="17" spans="1:3" ht="12" customHeight="1" x14ac:dyDescent="0.2">
      <c r="A17">
        <v>1</v>
      </c>
      <c r="B17" s="37" t="s">
        <v>21</v>
      </c>
      <c r="C17" s="3" t="s">
        <v>71</v>
      </c>
    </row>
    <row r="18" spans="1:3" ht="12" customHeight="1" x14ac:dyDescent="0.2">
      <c r="B18" s="37" t="s">
        <v>109</v>
      </c>
      <c r="C18" s="3" t="s">
        <v>112</v>
      </c>
    </row>
    <row r="19" spans="1:3" x14ac:dyDescent="0.2">
      <c r="A19">
        <v>4</v>
      </c>
      <c r="B19" s="37" t="s">
        <v>26</v>
      </c>
      <c r="C19" s="3" t="s">
        <v>62</v>
      </c>
    </row>
    <row r="20" spans="1:3" x14ac:dyDescent="0.2">
      <c r="A20">
        <v>4</v>
      </c>
      <c r="B20" s="37" t="s">
        <v>22</v>
      </c>
      <c r="C20" s="3" t="s">
        <v>23</v>
      </c>
    </row>
    <row r="21" spans="1:3" x14ac:dyDescent="0.2">
      <c r="A21">
        <v>3</v>
      </c>
      <c r="B21" s="37" t="s">
        <v>24</v>
      </c>
      <c r="C21" s="3" t="s">
        <v>25</v>
      </c>
    </row>
    <row r="22" spans="1:3" x14ac:dyDescent="0.2">
      <c r="A22">
        <v>2</v>
      </c>
      <c r="B22" s="37" t="s">
        <v>27</v>
      </c>
      <c r="C22" s="3" t="s">
        <v>28</v>
      </c>
    </row>
    <row r="23" spans="1:3" x14ac:dyDescent="0.2">
      <c r="A23">
        <v>2</v>
      </c>
      <c r="B23" s="37" t="s">
        <v>29</v>
      </c>
      <c r="C23" s="3" t="s">
        <v>30</v>
      </c>
    </row>
    <row r="24" spans="1:3" ht="12.75" customHeight="1" x14ac:dyDescent="0.2">
      <c r="A24">
        <v>3</v>
      </c>
      <c r="B24" s="37" t="s">
        <v>118</v>
      </c>
      <c r="C24" s="3" t="s">
        <v>63</v>
      </c>
    </row>
    <row r="25" spans="1:3" x14ac:dyDescent="0.2">
      <c r="A25">
        <v>3</v>
      </c>
      <c r="B25" s="37" t="s">
        <v>110</v>
      </c>
      <c r="C25" s="3" t="s">
        <v>32</v>
      </c>
    </row>
    <row r="26" spans="1:3" x14ac:dyDescent="0.2">
      <c r="A26">
        <v>1</v>
      </c>
      <c r="B26" s="37" t="s">
        <v>33</v>
      </c>
      <c r="C26" s="3" t="s">
        <v>34</v>
      </c>
    </row>
    <row r="27" spans="1:3" x14ac:dyDescent="0.2">
      <c r="A27">
        <v>3</v>
      </c>
      <c r="B27" s="37" t="s">
        <v>35</v>
      </c>
      <c r="C27" s="3" t="s">
        <v>36</v>
      </c>
    </row>
    <row r="28" spans="1:3" x14ac:dyDescent="0.2">
      <c r="A28">
        <v>3</v>
      </c>
      <c r="B28" s="37" t="s">
        <v>37</v>
      </c>
      <c r="C28" s="3" t="s">
        <v>38</v>
      </c>
    </row>
    <row r="29" spans="1:3" x14ac:dyDescent="0.2">
      <c r="A29">
        <v>3</v>
      </c>
      <c r="B29" s="37" t="s">
        <v>39</v>
      </c>
      <c r="C29" s="3" t="s">
        <v>40</v>
      </c>
    </row>
    <row r="30" spans="1:3" x14ac:dyDescent="0.2">
      <c r="A30">
        <v>1</v>
      </c>
      <c r="B30" s="37" t="s">
        <v>46</v>
      </c>
      <c r="C30" s="3" t="s">
        <v>70</v>
      </c>
    </row>
    <row r="31" spans="1:3" x14ac:dyDescent="0.2">
      <c r="A31">
        <v>4</v>
      </c>
      <c r="B31" s="37" t="s">
        <v>41</v>
      </c>
      <c r="C31" s="3" t="s">
        <v>117</v>
      </c>
    </row>
    <row r="32" spans="1:3" x14ac:dyDescent="0.2">
      <c r="A32">
        <v>4</v>
      </c>
      <c r="B32" s="37" t="s">
        <v>42</v>
      </c>
      <c r="C32" s="3" t="s">
        <v>69</v>
      </c>
    </row>
    <row r="33" spans="1:4" x14ac:dyDescent="0.2">
      <c r="A33">
        <v>1</v>
      </c>
      <c r="B33" s="37" t="s">
        <v>43</v>
      </c>
      <c r="C33" s="3" t="s">
        <v>44</v>
      </c>
    </row>
    <row r="34" spans="1:4" x14ac:dyDescent="0.2">
      <c r="A34">
        <v>1</v>
      </c>
      <c r="B34" s="37" t="s">
        <v>45</v>
      </c>
      <c r="C34" s="3" t="s">
        <v>122</v>
      </c>
    </row>
    <row r="35" spans="1:4" x14ac:dyDescent="0.2">
      <c r="A35">
        <v>4</v>
      </c>
      <c r="B35" s="37" t="s">
        <v>47</v>
      </c>
      <c r="C35" s="3" t="s">
        <v>48</v>
      </c>
    </row>
    <row r="37" spans="1:4" x14ac:dyDescent="0.2">
      <c r="B37" s="4"/>
      <c r="C37" s="4" t="s">
        <v>49</v>
      </c>
      <c r="D37" s="181">
        <f>SUM(D36:D36)</f>
        <v>0</v>
      </c>
    </row>
    <row r="38" spans="1:4" ht="14.25" customHeight="1" x14ac:dyDescent="0.2">
      <c r="B38" s="4"/>
      <c r="C38" s="4"/>
      <c r="D38" s="181"/>
    </row>
    <row r="39" spans="1:4" ht="16.5" customHeight="1" x14ac:dyDescent="0.2">
      <c r="B39" s="16" t="s">
        <v>50</v>
      </c>
    </row>
    <row r="40" spans="1:4" ht="12" customHeight="1" x14ac:dyDescent="0.2">
      <c r="B40" s="497" t="s">
        <v>317</v>
      </c>
      <c r="C40" s="498"/>
    </row>
  </sheetData>
  <mergeCells count="1">
    <mergeCell ref="B40:C40"/>
  </mergeCells>
  <phoneticPr fontId="11" type="noConversion"/>
  <pageMargins left="0.3" right="0.08" top="0.82" bottom="0.13" header="0.18" footer="0.13"/>
  <pageSetup scale="80" orientation="landscape" copies="4" r:id="rId1"/>
  <headerFooter alignWithMargins="0">
    <oddHeader xml:space="preserve">&amp;C&amp;"Arial,Bold"Minnesota State Colleges and Universities
FY2015
COLLEGE/UNIVERSITY ALLOCATIONS
(FRAMEWORK BASED ON FY2013 DATA) -  Draft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pane xSplit="1" ySplit="5" topLeftCell="B6" activePane="bottomRight" state="frozen"/>
      <selection activeCell="B30" sqref="B30"/>
      <selection pane="topRight" activeCell="B30" sqref="B30"/>
      <selection pane="bottomLeft" activeCell="B30" sqref="B30"/>
      <selection pane="bottomRight" activeCell="J8" sqref="J8"/>
    </sheetView>
  </sheetViews>
  <sheetFormatPr defaultColWidth="9.140625" defaultRowHeight="12.75" x14ac:dyDescent="0.2"/>
  <cols>
    <col min="1" max="1" width="40.28515625" style="405" customWidth="1"/>
    <col min="2" max="2" width="6.42578125" style="419" bestFit="1" customWidth="1"/>
    <col min="3" max="3" width="7.28515625" style="419" bestFit="1" customWidth="1"/>
    <col min="4" max="4" width="7.42578125" style="480" bestFit="1" customWidth="1"/>
    <col min="5" max="5" width="8.140625" style="480" bestFit="1" customWidth="1"/>
    <col min="6" max="6" width="8.140625" style="419" customWidth="1"/>
    <col min="7" max="7" width="6.5703125" style="480" customWidth="1"/>
    <col min="8" max="8" width="8.5703125" style="419" customWidth="1"/>
    <col min="9" max="9" width="8.140625" style="419" customWidth="1"/>
    <col min="10" max="10" width="11.140625" style="405" customWidth="1"/>
    <col min="11" max="11" width="4.28515625" style="405" customWidth="1"/>
    <col min="12" max="16384" width="9.140625" style="405"/>
  </cols>
  <sheetData>
    <row r="1" spans="1:14" ht="15" customHeight="1" x14ac:dyDescent="0.2">
      <c r="A1" s="508" t="s">
        <v>299</v>
      </c>
      <c r="B1" s="508"/>
      <c r="C1" s="508"/>
      <c r="D1" s="508"/>
      <c r="E1" s="508"/>
      <c r="F1" s="508"/>
      <c r="G1" s="508"/>
      <c r="H1" s="508"/>
      <c r="I1" s="508"/>
      <c r="J1" s="508"/>
    </row>
    <row r="2" spans="1:14" ht="15" customHeight="1" x14ac:dyDescent="0.2">
      <c r="A2" s="508" t="s">
        <v>72</v>
      </c>
      <c r="B2" s="508"/>
      <c r="C2" s="508"/>
      <c r="D2" s="508"/>
      <c r="E2" s="508"/>
      <c r="F2" s="508"/>
      <c r="G2" s="508"/>
      <c r="H2" s="508"/>
      <c r="I2" s="508"/>
      <c r="J2" s="508"/>
    </row>
    <row r="3" spans="1:14" ht="15" customHeight="1" x14ac:dyDescent="0.2">
      <c r="A3" s="508" t="s">
        <v>332</v>
      </c>
      <c r="B3" s="508"/>
      <c r="C3" s="508"/>
      <c r="D3" s="508"/>
      <c r="E3" s="508"/>
      <c r="F3" s="508"/>
      <c r="G3" s="508"/>
      <c r="H3" s="508"/>
      <c r="I3" s="508"/>
      <c r="J3" s="508"/>
    </row>
    <row r="4" spans="1:14" ht="15" customHeight="1" x14ac:dyDescent="0.2">
      <c r="J4" s="441" t="s">
        <v>285</v>
      </c>
    </row>
    <row r="5" spans="1:14" ht="63.75" x14ac:dyDescent="0.2">
      <c r="A5" s="407" t="s">
        <v>181</v>
      </c>
      <c r="B5" s="420" t="s">
        <v>182</v>
      </c>
      <c r="C5" s="420" t="s">
        <v>183</v>
      </c>
      <c r="D5" s="481" t="s">
        <v>184</v>
      </c>
      <c r="E5" s="481" t="s">
        <v>185</v>
      </c>
      <c r="F5" s="421" t="s">
        <v>275</v>
      </c>
      <c r="G5" s="481" t="s">
        <v>186</v>
      </c>
      <c r="H5" s="421" t="s">
        <v>187</v>
      </c>
      <c r="I5" s="408" t="s">
        <v>276</v>
      </c>
      <c r="J5" s="422" t="s">
        <v>188</v>
      </c>
      <c r="K5" s="409"/>
    </row>
    <row r="6" spans="1:14" ht="15" customHeight="1" x14ac:dyDescent="0.2">
      <c r="A6" s="410" t="s">
        <v>189</v>
      </c>
      <c r="B6" s="423">
        <v>679</v>
      </c>
      <c r="C6" s="423">
        <v>489</v>
      </c>
      <c r="D6" s="454">
        <v>0.72017673048600883</v>
      </c>
      <c r="E6" s="454">
        <v>0.72409867002792705</v>
      </c>
      <c r="F6" s="423">
        <v>491.66299694896247</v>
      </c>
      <c r="G6" s="454">
        <v>0.72932891142061618</v>
      </c>
      <c r="H6" s="423">
        <v>495.21433085459836</v>
      </c>
      <c r="I6" s="423">
        <v>0</v>
      </c>
      <c r="J6" s="424">
        <f t="shared" ref="J6:J27" si="0">I6*$J$47</f>
        <v>0</v>
      </c>
      <c r="M6" s="406"/>
      <c r="N6" s="406"/>
    </row>
    <row r="7" spans="1:14" ht="15" customHeight="1" x14ac:dyDescent="0.2">
      <c r="A7" s="410" t="s">
        <v>190</v>
      </c>
      <c r="B7" s="423">
        <v>2302</v>
      </c>
      <c r="C7" s="423">
        <v>1490</v>
      </c>
      <c r="D7" s="454">
        <v>0.64726324934839274</v>
      </c>
      <c r="E7" s="454">
        <v>0.66566071710605934</v>
      </c>
      <c r="F7" s="423">
        <v>1532.3509707781486</v>
      </c>
      <c r="G7" s="454">
        <v>0.66886382003907885</v>
      </c>
      <c r="H7" s="423">
        <v>1539.7245137299594</v>
      </c>
      <c r="I7" s="423">
        <v>0</v>
      </c>
      <c r="J7" s="424">
        <f t="shared" si="0"/>
        <v>0</v>
      </c>
      <c r="M7" s="406"/>
      <c r="N7" s="406"/>
    </row>
    <row r="8" spans="1:14" ht="15" customHeight="1" x14ac:dyDescent="0.2">
      <c r="A8" s="410" t="s">
        <v>191</v>
      </c>
      <c r="B8" s="423">
        <v>950</v>
      </c>
      <c r="C8" s="423">
        <v>648</v>
      </c>
      <c r="D8" s="454">
        <v>0.68210526315789477</v>
      </c>
      <c r="E8" s="454">
        <v>0.67424605690456341</v>
      </c>
      <c r="F8" s="423">
        <v>640.53375405933525</v>
      </c>
      <c r="G8" s="454">
        <v>0.67840724915431794</v>
      </c>
      <c r="H8" s="423">
        <v>644.48688669660203</v>
      </c>
      <c r="I8" s="423">
        <v>3.5131133033979909</v>
      </c>
      <c r="J8" s="424">
        <f t="shared" si="0"/>
        <v>35131.13303397991</v>
      </c>
      <c r="M8" s="406"/>
      <c r="N8" s="406"/>
    </row>
    <row r="9" spans="1:14" ht="15" customHeight="1" x14ac:dyDescent="0.2">
      <c r="A9" s="410" t="s">
        <v>7</v>
      </c>
      <c r="B9" s="423">
        <v>943</v>
      </c>
      <c r="C9" s="423">
        <v>618</v>
      </c>
      <c r="D9" s="454">
        <v>0.65535524920466592</v>
      </c>
      <c r="E9" s="454">
        <v>0.67794505483709155</v>
      </c>
      <c r="F9" s="423">
        <v>639.30218671137732</v>
      </c>
      <c r="G9" s="454">
        <v>0.68094473117029597</v>
      </c>
      <c r="H9" s="423">
        <v>642.13088149358907</v>
      </c>
      <c r="I9" s="423">
        <v>0</v>
      </c>
      <c r="J9" s="424">
        <f t="shared" si="0"/>
        <v>0</v>
      </c>
      <c r="M9" s="406"/>
      <c r="N9" s="406"/>
    </row>
    <row r="10" spans="1:14" ht="15" customHeight="1" x14ac:dyDescent="0.2">
      <c r="A10" s="410" t="s">
        <v>9</v>
      </c>
      <c r="B10" s="423">
        <v>3201</v>
      </c>
      <c r="C10" s="423">
        <v>2031</v>
      </c>
      <c r="D10" s="454">
        <v>0.63448922211808811</v>
      </c>
      <c r="E10" s="454">
        <v>0.66093729637011878</v>
      </c>
      <c r="F10" s="423">
        <v>2115.6602856807503</v>
      </c>
      <c r="G10" s="454">
        <v>0.66473339043747981</v>
      </c>
      <c r="H10" s="423">
        <v>2127.811582790373</v>
      </c>
      <c r="I10" s="423">
        <v>0</v>
      </c>
      <c r="J10" s="424">
        <f t="shared" si="0"/>
        <v>0</v>
      </c>
      <c r="M10" s="406"/>
      <c r="N10" s="406"/>
    </row>
    <row r="11" spans="1:14" ht="15" customHeight="1" x14ac:dyDescent="0.2">
      <c r="A11" s="410" t="s">
        <v>192</v>
      </c>
      <c r="B11" s="423">
        <v>1188</v>
      </c>
      <c r="C11" s="423">
        <v>857</v>
      </c>
      <c r="D11" s="454">
        <v>0.72138047138047134</v>
      </c>
      <c r="E11" s="454">
        <v>0.69488336916367011</v>
      </c>
      <c r="F11" s="423">
        <v>825.5214425664401</v>
      </c>
      <c r="G11" s="454">
        <v>0.699544746957386</v>
      </c>
      <c r="H11" s="423">
        <v>831.05915938537453</v>
      </c>
      <c r="I11" s="423">
        <v>25.94084061462539</v>
      </c>
      <c r="J11" s="424">
        <f t="shared" si="0"/>
        <v>259408.4061462539</v>
      </c>
      <c r="M11" s="406"/>
      <c r="N11" s="406"/>
    </row>
    <row r="12" spans="1:14" ht="15" customHeight="1" x14ac:dyDescent="0.2">
      <c r="A12" s="294" t="s">
        <v>221</v>
      </c>
      <c r="B12" s="423">
        <v>287</v>
      </c>
      <c r="C12" s="423">
        <v>162</v>
      </c>
      <c r="D12" s="454">
        <v>0.56445993031358888</v>
      </c>
      <c r="E12" s="454">
        <v>0.65972079568239295</v>
      </c>
      <c r="F12" s="423">
        <v>189.33986836084676</v>
      </c>
      <c r="G12" s="454">
        <v>0.66631282251843993</v>
      </c>
      <c r="H12" s="423">
        <v>191.23178006279227</v>
      </c>
      <c r="I12" s="423">
        <v>0</v>
      </c>
      <c r="J12" s="424">
        <f t="shared" si="0"/>
        <v>0</v>
      </c>
      <c r="M12" s="406"/>
      <c r="N12" s="406"/>
    </row>
    <row r="13" spans="1:14" ht="15" customHeight="1" x14ac:dyDescent="0.2">
      <c r="A13" s="410" t="s">
        <v>139</v>
      </c>
      <c r="B13" s="423">
        <v>1746</v>
      </c>
      <c r="C13" s="423">
        <v>1168</v>
      </c>
      <c r="D13" s="454">
        <v>0.66895761741122561</v>
      </c>
      <c r="E13" s="454">
        <v>0.65705588308069007</v>
      </c>
      <c r="F13" s="423">
        <v>1147.2195718588848</v>
      </c>
      <c r="G13" s="454">
        <v>0.66278283245776137</v>
      </c>
      <c r="H13" s="423">
        <v>1157.2188254712514</v>
      </c>
      <c r="I13" s="423">
        <v>10.781174528748565</v>
      </c>
      <c r="J13" s="424">
        <f t="shared" si="0"/>
        <v>107811.74528748565</v>
      </c>
      <c r="M13" s="406"/>
      <c r="N13" s="406"/>
    </row>
    <row r="14" spans="1:14" ht="15" customHeight="1" x14ac:dyDescent="0.2">
      <c r="A14" s="410" t="s">
        <v>193</v>
      </c>
      <c r="B14" s="423">
        <v>1237</v>
      </c>
      <c r="C14" s="423">
        <v>820</v>
      </c>
      <c r="D14" s="454">
        <v>0.66289409862570736</v>
      </c>
      <c r="E14" s="454">
        <v>0.66211666406063474</v>
      </c>
      <c r="F14" s="423">
        <v>819.03831344300522</v>
      </c>
      <c r="G14" s="454">
        <v>0.66645448837189469</v>
      </c>
      <c r="H14" s="423">
        <v>824.40420211603373</v>
      </c>
      <c r="I14" s="423">
        <v>0</v>
      </c>
      <c r="J14" s="424">
        <f t="shared" si="0"/>
        <v>0</v>
      </c>
      <c r="M14" s="406"/>
      <c r="N14" s="406"/>
    </row>
    <row r="15" spans="1:14" ht="15" customHeight="1" x14ac:dyDescent="0.2">
      <c r="A15" s="410" t="s">
        <v>17</v>
      </c>
      <c r="B15" s="423">
        <v>1424</v>
      </c>
      <c r="C15" s="423">
        <v>914</v>
      </c>
      <c r="D15" s="454">
        <v>0.6418539325842697</v>
      </c>
      <c r="E15" s="454">
        <v>0.66905799307862779</v>
      </c>
      <c r="F15" s="423">
        <v>952.73858214396591</v>
      </c>
      <c r="G15" s="454">
        <v>0.67377062726032266</v>
      </c>
      <c r="H15" s="423">
        <v>959.44937321869952</v>
      </c>
      <c r="I15" s="423">
        <v>0</v>
      </c>
      <c r="J15" s="424">
        <f t="shared" si="0"/>
        <v>0</v>
      </c>
      <c r="M15" s="406"/>
      <c r="N15" s="406"/>
    </row>
    <row r="16" spans="1:14" ht="15" customHeight="1" x14ac:dyDescent="0.2">
      <c r="A16" s="410" t="s">
        <v>194</v>
      </c>
      <c r="B16" s="423">
        <v>2653</v>
      </c>
      <c r="C16" s="423">
        <v>1523</v>
      </c>
      <c r="D16" s="454">
        <v>0.57406709385601207</v>
      </c>
      <c r="E16" s="454">
        <v>0.62360552899445854</v>
      </c>
      <c r="F16" s="423">
        <v>1654.4254684222985</v>
      </c>
      <c r="G16" s="454">
        <v>0.62805536902169279</v>
      </c>
      <c r="H16" s="423">
        <v>1666.230894014551</v>
      </c>
      <c r="I16" s="423">
        <v>0</v>
      </c>
      <c r="J16" s="424">
        <f t="shared" si="0"/>
        <v>0</v>
      </c>
      <c r="M16" s="406"/>
      <c r="N16" s="406"/>
    </row>
    <row r="17" spans="1:14" ht="15" customHeight="1" x14ac:dyDescent="0.2">
      <c r="A17" s="414" t="s">
        <v>331</v>
      </c>
      <c r="B17" s="425">
        <f>B18+B19+B20+B21+B22</f>
        <v>1589</v>
      </c>
      <c r="C17" s="425">
        <f>C18+C19+C20+C21+C22</f>
        <v>1068</v>
      </c>
      <c r="D17" s="455">
        <f>AVERAGE(D18:D22)</f>
        <v>0.65921223160983455</v>
      </c>
      <c r="E17" s="455">
        <f>AVERAGE(E18:E22)</f>
        <v>0.69692139733968017</v>
      </c>
      <c r="F17" s="425">
        <f>F18+F19+F20+F21+F22</f>
        <v>1106.9550008765275</v>
      </c>
      <c r="G17" s="455">
        <f>AVERAGE(G18:G22)</f>
        <v>0.7014793889593538</v>
      </c>
      <c r="H17" s="425">
        <v>441.04365638698124</v>
      </c>
      <c r="I17" s="425">
        <f>I18+I19+I20+I21+I22</f>
        <v>8.0997232808963311</v>
      </c>
      <c r="J17" s="426">
        <f t="shared" si="0"/>
        <v>80997.232808963308</v>
      </c>
      <c r="M17" s="406"/>
      <c r="N17" s="406"/>
    </row>
    <row r="18" spans="1:14" ht="15" customHeight="1" x14ac:dyDescent="0.2">
      <c r="A18" s="410" t="s">
        <v>197</v>
      </c>
      <c r="B18" s="423">
        <v>430</v>
      </c>
      <c r="C18" s="423">
        <v>304</v>
      </c>
      <c r="D18" s="454">
        <v>0.7069767441860465</v>
      </c>
      <c r="E18" s="454">
        <v>0.70476483353295716</v>
      </c>
      <c r="F18" s="423">
        <v>303.04887841917156</v>
      </c>
      <c r="G18" s="454">
        <v>0.70969593726952296</v>
      </c>
      <c r="H18" s="423">
        <v>305.16925302589488</v>
      </c>
      <c r="I18" s="423">
        <v>0</v>
      </c>
      <c r="J18" s="424">
        <f t="shared" si="0"/>
        <v>0</v>
      </c>
      <c r="M18" s="406"/>
      <c r="N18" s="406"/>
    </row>
    <row r="19" spans="1:14" ht="15" customHeight="1" x14ac:dyDescent="0.2">
      <c r="A19" s="410" t="s">
        <v>198</v>
      </c>
      <c r="B19" s="423">
        <v>428</v>
      </c>
      <c r="C19" s="423">
        <v>296</v>
      </c>
      <c r="D19" s="454">
        <v>0.69158878504672894</v>
      </c>
      <c r="E19" s="454">
        <v>0.6693071703184178</v>
      </c>
      <c r="F19" s="423">
        <v>286.46346889628279</v>
      </c>
      <c r="G19" s="454">
        <v>0.67266419794183097</v>
      </c>
      <c r="H19" s="423">
        <v>287.90027671910366</v>
      </c>
      <c r="I19" s="423">
        <v>8.0997232808963311</v>
      </c>
      <c r="J19" s="424">
        <f t="shared" si="0"/>
        <v>80997.232808963308</v>
      </c>
      <c r="M19" s="406"/>
      <c r="N19" s="406"/>
    </row>
    <row r="20" spans="1:14" ht="15" customHeight="1" x14ac:dyDescent="0.2">
      <c r="A20" s="410" t="s">
        <v>199</v>
      </c>
      <c r="B20" s="423">
        <v>398</v>
      </c>
      <c r="C20" s="423">
        <v>247</v>
      </c>
      <c r="D20" s="454">
        <v>0.62060301507537685</v>
      </c>
      <c r="E20" s="454">
        <v>0.6987631017198277</v>
      </c>
      <c r="F20" s="423">
        <v>278.1077144844914</v>
      </c>
      <c r="G20" s="454">
        <v>0.70391124567132268</v>
      </c>
      <c r="H20" s="423">
        <v>280.15667577718642</v>
      </c>
      <c r="I20" s="423">
        <v>0</v>
      </c>
      <c r="J20" s="424">
        <f t="shared" si="0"/>
        <v>0</v>
      </c>
      <c r="M20" s="406"/>
      <c r="N20" s="406"/>
    </row>
    <row r="21" spans="1:14" ht="15" customHeight="1" x14ac:dyDescent="0.2">
      <c r="A21" s="410" t="s">
        <v>200</v>
      </c>
      <c r="B21" s="423">
        <v>89</v>
      </c>
      <c r="C21" s="423">
        <v>52</v>
      </c>
      <c r="D21" s="454">
        <v>0.5842696629213483</v>
      </c>
      <c r="E21" s="454">
        <v>0.67830580592551337</v>
      </c>
      <c r="F21" s="423">
        <v>60.369216727370691</v>
      </c>
      <c r="G21" s="454">
        <v>0.68301382638903174</v>
      </c>
      <c r="H21" s="423">
        <v>60.788230548623822</v>
      </c>
      <c r="I21" s="423">
        <v>0</v>
      </c>
      <c r="J21" s="424">
        <f t="shared" si="0"/>
        <v>0</v>
      </c>
      <c r="M21" s="406"/>
      <c r="N21" s="406"/>
    </row>
    <row r="22" spans="1:14" ht="15" customHeight="1" x14ac:dyDescent="0.2">
      <c r="A22" s="410" t="s">
        <v>201</v>
      </c>
      <c r="B22" s="423">
        <v>244</v>
      </c>
      <c r="C22" s="423">
        <v>169</v>
      </c>
      <c r="D22" s="454">
        <v>0.69262295081967218</v>
      </c>
      <c r="E22" s="454">
        <v>0.73346607520168472</v>
      </c>
      <c r="F22" s="423">
        <v>178.96572234921106</v>
      </c>
      <c r="G22" s="454">
        <v>0.7381117375250611</v>
      </c>
      <c r="H22" s="423">
        <v>180.0992639561149</v>
      </c>
      <c r="I22" s="423">
        <v>0</v>
      </c>
      <c r="J22" s="424">
        <f t="shared" si="0"/>
        <v>0</v>
      </c>
      <c r="M22" s="406"/>
      <c r="N22" s="406"/>
    </row>
    <row r="23" spans="1:14" ht="15" customHeight="1" x14ac:dyDescent="0.2">
      <c r="A23" s="410" t="s">
        <v>222</v>
      </c>
      <c r="B23" s="491">
        <v>634</v>
      </c>
      <c r="C23" s="491">
        <v>384</v>
      </c>
      <c r="D23" s="493">
        <v>0.60567823343848581</v>
      </c>
      <c r="E23" s="492">
        <v>0.6913553635509454</v>
      </c>
      <c r="F23" s="491">
        <v>438.31930049129937</v>
      </c>
      <c r="G23" s="492">
        <v>0.69565245486905558</v>
      </c>
      <c r="H23" s="491">
        <v>441.04365638698124</v>
      </c>
      <c r="I23" s="491">
        <v>0</v>
      </c>
      <c r="J23" s="424">
        <f t="shared" si="0"/>
        <v>0</v>
      </c>
      <c r="M23" s="406"/>
      <c r="N23" s="406"/>
    </row>
    <row r="24" spans="1:14" ht="15" customHeight="1" x14ac:dyDescent="0.2">
      <c r="A24" s="410" t="s">
        <v>196</v>
      </c>
      <c r="B24" s="423">
        <v>1679</v>
      </c>
      <c r="C24" s="423">
        <v>1100</v>
      </c>
      <c r="D24" s="454">
        <v>0.6551518761167362</v>
      </c>
      <c r="E24" s="454">
        <v>0.65626227947701699</v>
      </c>
      <c r="F24" s="423">
        <v>1101.8643672419116</v>
      </c>
      <c r="G24" s="454">
        <v>0.65955663404509624</v>
      </c>
      <c r="H24" s="423">
        <v>1107.3955885617165</v>
      </c>
      <c r="I24" s="423">
        <v>0</v>
      </c>
      <c r="J24" s="424">
        <f t="shared" si="0"/>
        <v>0</v>
      </c>
      <c r="M24" s="406"/>
      <c r="N24" s="406"/>
    </row>
    <row r="25" spans="1:14" ht="15" customHeight="1" x14ac:dyDescent="0.2">
      <c r="A25" s="410" t="s">
        <v>223</v>
      </c>
      <c r="B25" s="423">
        <v>715</v>
      </c>
      <c r="C25" s="423">
        <v>462</v>
      </c>
      <c r="D25" s="454">
        <v>0.64615384615384619</v>
      </c>
      <c r="E25" s="454">
        <v>0.6835615502796637</v>
      </c>
      <c r="F25" s="423">
        <v>488.74650844995955</v>
      </c>
      <c r="G25" s="454">
        <v>0.68839715950349356</v>
      </c>
      <c r="H25" s="423">
        <v>492.2039690449979</v>
      </c>
      <c r="I25" s="423">
        <v>0</v>
      </c>
      <c r="J25" s="424">
        <f t="shared" si="0"/>
        <v>0</v>
      </c>
      <c r="M25" s="406"/>
      <c r="N25" s="406"/>
    </row>
    <row r="26" spans="1:14" ht="15" customHeight="1" x14ac:dyDescent="0.2">
      <c r="A26" s="410" t="s">
        <v>132</v>
      </c>
      <c r="B26" s="423">
        <v>3290</v>
      </c>
      <c r="C26" s="423">
        <v>2067</v>
      </c>
      <c r="D26" s="454">
        <v>0.6282674772036474</v>
      </c>
      <c r="E26" s="454">
        <v>0.65585739304367874</v>
      </c>
      <c r="F26" s="423">
        <v>2157.770823113703</v>
      </c>
      <c r="G26" s="454">
        <v>0.66021008553478033</v>
      </c>
      <c r="H26" s="423">
        <v>2172.0911814094275</v>
      </c>
      <c r="I26" s="423">
        <v>0</v>
      </c>
      <c r="J26" s="424">
        <f t="shared" si="0"/>
        <v>0</v>
      </c>
      <c r="M26" s="406"/>
      <c r="N26" s="406"/>
    </row>
    <row r="27" spans="1:14" ht="15" customHeight="1" x14ac:dyDescent="0.2">
      <c r="A27" s="410" t="s">
        <v>133</v>
      </c>
      <c r="B27" s="423">
        <v>1991</v>
      </c>
      <c r="C27" s="423">
        <v>1175</v>
      </c>
      <c r="D27" s="454">
        <v>0.59015570065293821</v>
      </c>
      <c r="E27" s="454">
        <v>0.62592216880365614</v>
      </c>
      <c r="F27" s="423">
        <v>1246.2110380880795</v>
      </c>
      <c r="G27" s="454">
        <v>0.63002793265729751</v>
      </c>
      <c r="H27" s="423">
        <v>1254.3856139206794</v>
      </c>
      <c r="I27" s="423">
        <v>0</v>
      </c>
      <c r="J27" s="424">
        <f t="shared" si="0"/>
        <v>0</v>
      </c>
      <c r="M27" s="406"/>
      <c r="N27" s="406"/>
    </row>
    <row r="28" spans="1:14" ht="15" customHeight="1" x14ac:dyDescent="0.2">
      <c r="A28" s="410" t="s">
        <v>202</v>
      </c>
      <c r="B28" s="423">
        <v>936</v>
      </c>
      <c r="C28" s="423">
        <v>634</v>
      </c>
      <c r="D28" s="454">
        <v>0.67735042735042739</v>
      </c>
      <c r="E28" s="454">
        <v>0.68280899429577291</v>
      </c>
      <c r="F28" s="423">
        <v>639.10921866084345</v>
      </c>
      <c r="G28" s="454">
        <v>0.68581486788910273</v>
      </c>
      <c r="H28" s="423">
        <v>641.92271634420013</v>
      </c>
      <c r="I28" s="423">
        <v>0</v>
      </c>
      <c r="J28" s="424">
        <f t="shared" ref="J28:J44" si="1">I28*$J$47</f>
        <v>0</v>
      </c>
      <c r="M28" s="406"/>
      <c r="N28" s="406"/>
    </row>
    <row r="29" spans="1:14" ht="15" customHeight="1" x14ac:dyDescent="0.2">
      <c r="A29" s="410" t="s">
        <v>203</v>
      </c>
      <c r="B29" s="423">
        <v>292</v>
      </c>
      <c r="C29" s="423">
        <v>186</v>
      </c>
      <c r="D29" s="454">
        <v>0.63698630136986301</v>
      </c>
      <c r="E29" s="454">
        <v>0.64797784267228875</v>
      </c>
      <c r="F29" s="423">
        <v>189.20953006030831</v>
      </c>
      <c r="G29" s="454">
        <v>0.65207142049782929</v>
      </c>
      <c r="H29" s="423">
        <v>190.40485478536615</v>
      </c>
      <c r="I29" s="423">
        <v>0</v>
      </c>
      <c r="J29" s="424">
        <f t="shared" si="1"/>
        <v>0</v>
      </c>
      <c r="M29" s="406"/>
      <c r="N29" s="406"/>
    </row>
    <row r="30" spans="1:14" ht="15" customHeight="1" x14ac:dyDescent="0.2">
      <c r="A30" s="410" t="s">
        <v>204</v>
      </c>
      <c r="B30" s="423">
        <v>367</v>
      </c>
      <c r="C30" s="423">
        <v>218</v>
      </c>
      <c r="D30" s="454">
        <v>0.59400544959128065</v>
      </c>
      <c r="E30" s="454">
        <v>0.65270086281035433</v>
      </c>
      <c r="F30" s="423">
        <v>239.54121665140005</v>
      </c>
      <c r="G30" s="454">
        <v>0.65637601615505436</v>
      </c>
      <c r="H30" s="423">
        <v>240.88999792890496</v>
      </c>
      <c r="I30" s="423">
        <v>0</v>
      </c>
      <c r="J30" s="424">
        <f t="shared" si="1"/>
        <v>0</v>
      </c>
      <c r="M30" s="406"/>
      <c r="N30" s="406"/>
    </row>
    <row r="31" spans="1:14" ht="15" customHeight="1" x14ac:dyDescent="0.2">
      <c r="A31" s="410" t="s">
        <v>36</v>
      </c>
      <c r="B31" s="423">
        <v>1109</v>
      </c>
      <c r="C31" s="423">
        <v>761</v>
      </c>
      <c r="D31" s="454">
        <v>0.68620378719567177</v>
      </c>
      <c r="E31" s="454">
        <v>0.69738571405041438</v>
      </c>
      <c r="F31" s="423">
        <v>773.4007568819095</v>
      </c>
      <c r="G31" s="454">
        <v>0.70089495471052932</v>
      </c>
      <c r="H31" s="423">
        <v>777.29250477397704</v>
      </c>
      <c r="I31" s="423">
        <v>0</v>
      </c>
      <c r="J31" s="424">
        <f t="shared" si="1"/>
        <v>0</v>
      </c>
      <c r="M31" s="406"/>
      <c r="N31" s="406"/>
    </row>
    <row r="32" spans="1:14" ht="15" customHeight="1" x14ac:dyDescent="0.2">
      <c r="A32" s="410" t="s">
        <v>131</v>
      </c>
      <c r="B32" s="423">
        <v>911</v>
      </c>
      <c r="C32" s="423">
        <v>612</v>
      </c>
      <c r="D32" s="454">
        <v>0.67178924259055983</v>
      </c>
      <c r="E32" s="454">
        <v>0.65184792591953211</v>
      </c>
      <c r="F32" s="423">
        <v>593.8334605126937</v>
      </c>
      <c r="G32" s="454">
        <v>0.65674557738677997</v>
      </c>
      <c r="H32" s="423">
        <v>598.2952209993565</v>
      </c>
      <c r="I32" s="423">
        <v>13.704779000643457</v>
      </c>
      <c r="J32" s="424">
        <f t="shared" si="1"/>
        <v>137047.79000643457</v>
      </c>
      <c r="M32" s="406"/>
      <c r="N32" s="406"/>
    </row>
    <row r="33" spans="1:14" ht="15" customHeight="1" x14ac:dyDescent="0.2">
      <c r="A33" s="410" t="s">
        <v>205</v>
      </c>
      <c r="B33" s="423">
        <v>1699</v>
      </c>
      <c r="C33" s="423">
        <v>1106</v>
      </c>
      <c r="D33" s="454">
        <v>0.65097115950559148</v>
      </c>
      <c r="E33" s="454">
        <v>0.65873563200034235</v>
      </c>
      <c r="F33" s="423">
        <v>1119.1918387685816</v>
      </c>
      <c r="G33" s="454">
        <v>0.66149218377606678</v>
      </c>
      <c r="H33" s="423">
        <v>1123.8752202355374</v>
      </c>
      <c r="I33" s="423">
        <v>0</v>
      </c>
      <c r="J33" s="424">
        <f t="shared" si="1"/>
        <v>0</v>
      </c>
      <c r="M33" s="406"/>
      <c r="N33" s="406"/>
    </row>
    <row r="34" spans="1:14" ht="15" customHeight="1" x14ac:dyDescent="0.2">
      <c r="A34" s="410" t="s">
        <v>206</v>
      </c>
      <c r="B34" s="423">
        <v>1726</v>
      </c>
      <c r="C34" s="423">
        <v>1113</v>
      </c>
      <c r="D34" s="454">
        <v>0.64484356894553885</v>
      </c>
      <c r="E34" s="454">
        <v>0.66295927449611614</v>
      </c>
      <c r="F34" s="423">
        <v>1144.2677077802964</v>
      </c>
      <c r="G34" s="454">
        <v>0.66646503742962948</v>
      </c>
      <c r="H34" s="423">
        <v>1150.3186546035404</v>
      </c>
      <c r="I34" s="423">
        <v>0</v>
      </c>
      <c r="J34" s="424">
        <f t="shared" si="1"/>
        <v>0</v>
      </c>
      <c r="M34" s="406"/>
      <c r="N34" s="406"/>
    </row>
    <row r="35" spans="1:14" ht="15" customHeight="1" x14ac:dyDescent="0.2">
      <c r="A35" s="410" t="s">
        <v>70</v>
      </c>
      <c r="B35" s="423">
        <v>2405</v>
      </c>
      <c r="C35" s="423">
        <v>1488</v>
      </c>
      <c r="D35" s="454">
        <v>0.61871101871101875</v>
      </c>
      <c r="E35" s="454">
        <v>0.61326608978905939</v>
      </c>
      <c r="F35" s="423">
        <v>1474.9049459426878</v>
      </c>
      <c r="G35" s="454">
        <v>0.6173572749569145</v>
      </c>
      <c r="H35" s="423">
        <v>1484.7442462713793</v>
      </c>
      <c r="I35" s="423">
        <v>3.2557537286207019</v>
      </c>
      <c r="J35" s="424">
        <f t="shared" si="1"/>
        <v>32557.537286207018</v>
      </c>
      <c r="M35" s="406"/>
      <c r="N35" s="406"/>
    </row>
    <row r="36" spans="1:14" ht="15" customHeight="1" x14ac:dyDescent="0.2">
      <c r="A36" s="410" t="s">
        <v>117</v>
      </c>
      <c r="B36" s="423">
        <v>1095</v>
      </c>
      <c r="C36" s="423">
        <v>664</v>
      </c>
      <c r="D36" s="454">
        <v>0.60639269406392693</v>
      </c>
      <c r="E36" s="454">
        <v>0.68421528779576013</v>
      </c>
      <c r="F36" s="423">
        <v>749.21574013635734</v>
      </c>
      <c r="G36" s="454">
        <v>0.68754269290995695</v>
      </c>
      <c r="H36" s="423">
        <v>752.85924873640283</v>
      </c>
      <c r="I36" s="423">
        <v>0</v>
      </c>
      <c r="J36" s="424">
        <f t="shared" si="1"/>
        <v>0</v>
      </c>
      <c r="M36" s="406"/>
      <c r="N36" s="406"/>
    </row>
    <row r="37" spans="1:14" ht="15" customHeight="1" x14ac:dyDescent="0.2">
      <c r="A37" s="414" t="s">
        <v>207</v>
      </c>
      <c r="B37" s="425">
        <f>SUM(B6:B36)-B17</f>
        <v>37048</v>
      </c>
      <c r="C37" s="425">
        <f>SUM(C6:C36)-C17</f>
        <v>23758</v>
      </c>
      <c r="D37" s="455">
        <v>0.64605749331416762</v>
      </c>
      <c r="E37" s="455">
        <v>0.67062637983297468</v>
      </c>
      <c r="F37" s="425">
        <f>SUM(F6:F36)-F17</f>
        <v>24470.33489463057</v>
      </c>
      <c r="G37" s="455">
        <v>0.67484000753092144</v>
      </c>
      <c r="H37" s="425">
        <f>SUM(H6:H36)-H17</f>
        <v>24620.798803863221</v>
      </c>
      <c r="I37" s="425">
        <f>SUM(I6:I36)-I17</f>
        <v>65.295384456932439</v>
      </c>
      <c r="J37" s="425">
        <f>SUM(J6:J36)-J17</f>
        <v>652953.84456932428</v>
      </c>
      <c r="M37" s="406"/>
      <c r="N37" s="406"/>
    </row>
    <row r="38" spans="1:14" ht="15" customHeight="1" x14ac:dyDescent="0.2">
      <c r="A38" s="410" t="s">
        <v>208</v>
      </c>
      <c r="B38" s="423">
        <v>1423</v>
      </c>
      <c r="C38" s="423">
        <v>1168</v>
      </c>
      <c r="D38" s="454">
        <v>0.82080112438510189</v>
      </c>
      <c r="E38" s="454">
        <v>0.83157717254674335</v>
      </c>
      <c r="F38" s="423">
        <v>1183.3343165340159</v>
      </c>
      <c r="G38" s="454">
        <v>0.83768486571811762</v>
      </c>
      <c r="H38" s="423">
        <v>1192.0255639168813</v>
      </c>
      <c r="I38" s="423">
        <v>0</v>
      </c>
      <c r="J38" s="424">
        <f t="shared" si="1"/>
        <v>0</v>
      </c>
      <c r="M38" s="406"/>
      <c r="N38" s="406"/>
    </row>
    <row r="39" spans="1:14" ht="15" customHeight="1" x14ac:dyDescent="0.2">
      <c r="A39" s="410" t="s">
        <v>140</v>
      </c>
      <c r="B39" s="423">
        <v>2561</v>
      </c>
      <c r="C39" s="423">
        <v>2041</v>
      </c>
      <c r="D39" s="454">
        <v>0.79695431472081213</v>
      </c>
      <c r="E39" s="454">
        <v>0.80088181937525538</v>
      </c>
      <c r="F39" s="423">
        <v>2051.0583394200289</v>
      </c>
      <c r="G39" s="454">
        <v>0.8055630069494607</v>
      </c>
      <c r="H39" s="423">
        <v>2063.046860797569</v>
      </c>
      <c r="I39" s="423">
        <v>0</v>
      </c>
      <c r="J39" s="424">
        <f t="shared" si="1"/>
        <v>0</v>
      </c>
      <c r="M39" s="406"/>
      <c r="N39" s="406"/>
    </row>
    <row r="40" spans="1:14" ht="15" customHeight="1" x14ac:dyDescent="0.2">
      <c r="A40" s="410" t="s">
        <v>209</v>
      </c>
      <c r="B40" s="423">
        <v>3713</v>
      </c>
      <c r="C40" s="423">
        <v>3271</v>
      </c>
      <c r="D40" s="454">
        <v>0.88095879342849448</v>
      </c>
      <c r="E40" s="454">
        <v>0.88307611728740265</v>
      </c>
      <c r="F40" s="423">
        <v>3278.861623488126</v>
      </c>
      <c r="G40" s="454">
        <v>0.88816607091598854</v>
      </c>
      <c r="H40" s="423">
        <v>3297.7606213110653</v>
      </c>
      <c r="I40" s="423">
        <v>0</v>
      </c>
      <c r="J40" s="424">
        <f t="shared" si="1"/>
        <v>0</v>
      </c>
      <c r="M40" s="406"/>
      <c r="N40" s="406"/>
    </row>
    <row r="41" spans="1:14" ht="15" customHeight="1" x14ac:dyDescent="0.2">
      <c r="A41" s="410" t="s">
        <v>210</v>
      </c>
      <c r="B41" s="423">
        <v>1475</v>
      </c>
      <c r="C41" s="423">
        <v>1219</v>
      </c>
      <c r="D41" s="454">
        <v>0.82644067796610166</v>
      </c>
      <c r="E41" s="454">
        <v>0.86755004521145029</v>
      </c>
      <c r="F41" s="423">
        <v>1279.6363166868891</v>
      </c>
      <c r="G41" s="454">
        <v>0.87175709961451253</v>
      </c>
      <c r="H41" s="423">
        <v>1285.841721931406</v>
      </c>
      <c r="I41" s="423">
        <v>0</v>
      </c>
      <c r="J41" s="424">
        <f t="shared" si="1"/>
        <v>0</v>
      </c>
      <c r="M41" s="406"/>
      <c r="N41" s="406"/>
    </row>
    <row r="42" spans="1:14" ht="15" customHeight="1" x14ac:dyDescent="0.2">
      <c r="A42" s="410" t="s">
        <v>211</v>
      </c>
      <c r="B42" s="423">
        <v>2385</v>
      </c>
      <c r="C42" s="423">
        <v>1990</v>
      </c>
      <c r="D42" s="454">
        <v>0.83438155136268344</v>
      </c>
      <c r="E42" s="454">
        <v>0.84256086100882543</v>
      </c>
      <c r="F42" s="423">
        <v>2009.5076535060487</v>
      </c>
      <c r="G42" s="454">
        <v>0.84474708334298398</v>
      </c>
      <c r="H42" s="423">
        <v>2014.7217937730168</v>
      </c>
      <c r="I42" s="423">
        <v>0</v>
      </c>
      <c r="J42" s="424">
        <f t="shared" si="1"/>
        <v>0</v>
      </c>
      <c r="M42" s="406"/>
      <c r="N42" s="406"/>
    </row>
    <row r="43" spans="1:14" ht="15" customHeight="1" x14ac:dyDescent="0.2">
      <c r="A43" s="410" t="s">
        <v>212</v>
      </c>
      <c r="B43" s="423">
        <v>692</v>
      </c>
      <c r="C43" s="423">
        <v>574</v>
      </c>
      <c r="D43" s="454">
        <v>0.82947976878612717</v>
      </c>
      <c r="E43" s="454">
        <v>0.82926745143969594</v>
      </c>
      <c r="F43" s="423">
        <v>573.85307639626956</v>
      </c>
      <c r="G43" s="454">
        <v>0.83142817761975274</v>
      </c>
      <c r="H43" s="423">
        <v>575.34829891286893</v>
      </c>
      <c r="I43" s="423">
        <v>0</v>
      </c>
      <c r="J43" s="424">
        <f t="shared" si="1"/>
        <v>0</v>
      </c>
      <c r="M43" s="406"/>
      <c r="N43" s="406"/>
    </row>
    <row r="44" spans="1:14" ht="15" customHeight="1" x14ac:dyDescent="0.2">
      <c r="A44" s="410" t="s">
        <v>213</v>
      </c>
      <c r="B44" s="423">
        <v>2131</v>
      </c>
      <c r="C44" s="423">
        <v>1909</v>
      </c>
      <c r="D44" s="454">
        <v>0.89582355701548566</v>
      </c>
      <c r="E44" s="454">
        <v>0.93038328727543196</v>
      </c>
      <c r="F44" s="423">
        <v>1982.6467851839454</v>
      </c>
      <c r="G44" s="454">
        <v>0.93601268750973354</v>
      </c>
      <c r="H44" s="423">
        <v>1994.6430370832422</v>
      </c>
      <c r="I44" s="423">
        <v>0</v>
      </c>
      <c r="J44" s="424">
        <f t="shared" si="1"/>
        <v>0</v>
      </c>
    </row>
    <row r="45" spans="1:14" ht="15" customHeight="1" x14ac:dyDescent="0.2">
      <c r="A45" s="414" t="s">
        <v>214</v>
      </c>
      <c r="B45" s="425">
        <f>SUM(B38:B44)</f>
        <v>14380</v>
      </c>
      <c r="C45" s="425">
        <f>SUM(C38:C44)</f>
        <v>12172</v>
      </c>
      <c r="D45" s="455">
        <f>AVERAGE(D38:D44)</f>
        <v>0.84069139823782957</v>
      </c>
      <c r="E45" s="455">
        <f>AVERAGE(E38:E44)</f>
        <v>0.85504239344925792</v>
      </c>
      <c r="F45" s="425">
        <f>SUM(F38:F44)</f>
        <v>12358.898111215325</v>
      </c>
      <c r="G45" s="455">
        <f>AVERAGE(G38:G44)</f>
        <v>0.85933699881007841</v>
      </c>
      <c r="H45" s="425">
        <f>SUM(H38:H44)</f>
        <v>12423.38789772605</v>
      </c>
      <c r="I45" s="425">
        <f>SUM(I38:I44)</f>
        <v>0</v>
      </c>
      <c r="J45" s="426">
        <f>SUM(J38:J44)</f>
        <v>0</v>
      </c>
    </row>
    <row r="46" spans="1:14" ht="15" customHeight="1" x14ac:dyDescent="0.2">
      <c r="A46" s="418" t="s">
        <v>215</v>
      </c>
      <c r="B46" s="427">
        <f>B37+B45</f>
        <v>51428</v>
      </c>
      <c r="C46" s="427">
        <f>C37+C45</f>
        <v>35930</v>
      </c>
      <c r="D46" s="482">
        <v>0.68288012397540088</v>
      </c>
      <c r="E46" s="482">
        <v>0.70551589592254182</v>
      </c>
      <c r="F46" s="427">
        <f>F37+F45</f>
        <v>36829.233005845897</v>
      </c>
      <c r="G46" s="482">
        <v>0.70974484371887003</v>
      </c>
      <c r="H46" s="427">
        <f>H37+H45</f>
        <v>37044.186701589271</v>
      </c>
      <c r="I46" s="427">
        <f>I37+I45</f>
        <v>65.295384456932439</v>
      </c>
      <c r="J46" s="428">
        <f>J45+J37</f>
        <v>652953.84456932428</v>
      </c>
    </row>
    <row r="47" spans="1:14" ht="15" customHeight="1" x14ac:dyDescent="0.2">
      <c r="A47" s="429" t="s">
        <v>277</v>
      </c>
      <c r="B47" s="430"/>
      <c r="C47" s="430"/>
      <c r="D47" s="483"/>
      <c r="E47" s="483"/>
      <c r="F47" s="430"/>
      <c r="G47" s="483"/>
      <c r="H47" s="430"/>
      <c r="I47" s="430"/>
      <c r="J47" s="431">
        <v>10000</v>
      </c>
    </row>
  </sheetData>
  <mergeCells count="3">
    <mergeCell ref="A1:J1"/>
    <mergeCell ref="A2:J2"/>
    <mergeCell ref="A3:J3"/>
  </mergeCells>
  <printOptions horizontalCentered="1"/>
  <pageMargins left="0.1" right="0.1" top="0.5" bottom="0.5" header="0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xSplit="1" ySplit="5" topLeftCell="B6" activePane="bottomRight" state="frozen"/>
      <selection activeCell="B30" sqref="B30"/>
      <selection pane="topRight" activeCell="B30" sqref="B30"/>
      <selection pane="bottomLeft" activeCell="B30" sqref="B30"/>
      <selection pane="bottomRight" activeCell="H7" sqref="H7"/>
    </sheetView>
  </sheetViews>
  <sheetFormatPr defaultColWidth="9.140625" defaultRowHeight="15" customHeight="1" x14ac:dyDescent="0.2"/>
  <cols>
    <col min="1" max="1" width="40.28515625" style="405" customWidth="1"/>
    <col min="2" max="4" width="5.7109375" style="405" bestFit="1" customWidth="1"/>
    <col min="5" max="5" width="9.5703125" style="405" bestFit="1" customWidth="1"/>
    <col min="6" max="6" width="11.42578125" style="405" bestFit="1" customWidth="1"/>
    <col min="7" max="7" width="12.28515625" style="405" bestFit="1" customWidth="1"/>
    <col min="8" max="8" width="11" style="405" customWidth="1"/>
    <col min="9" max="16384" width="9.140625" style="405"/>
  </cols>
  <sheetData>
    <row r="1" spans="1:8" ht="15" customHeight="1" x14ac:dyDescent="0.2">
      <c r="A1" s="508" t="s">
        <v>300</v>
      </c>
      <c r="B1" s="508"/>
      <c r="C1" s="508"/>
      <c r="D1" s="508"/>
      <c r="E1" s="508"/>
      <c r="F1" s="508"/>
      <c r="G1" s="508"/>
      <c r="H1" s="508"/>
    </row>
    <row r="2" spans="1:8" ht="15" customHeight="1" x14ac:dyDescent="0.2">
      <c r="A2" s="508" t="s">
        <v>72</v>
      </c>
      <c r="B2" s="508"/>
      <c r="C2" s="508"/>
      <c r="D2" s="508"/>
      <c r="E2" s="508"/>
      <c r="F2" s="508"/>
      <c r="G2" s="508"/>
      <c r="H2" s="508"/>
    </row>
    <row r="3" spans="1:8" ht="15" customHeight="1" x14ac:dyDescent="0.2">
      <c r="A3" s="508" t="s">
        <v>325</v>
      </c>
      <c r="B3" s="508"/>
      <c r="C3" s="508"/>
      <c r="D3" s="508"/>
      <c r="E3" s="508"/>
      <c r="F3" s="508"/>
      <c r="G3" s="508"/>
      <c r="H3" s="508"/>
    </row>
    <row r="4" spans="1:8" ht="15" customHeight="1" x14ac:dyDescent="0.2">
      <c r="A4" s="451"/>
      <c r="B4" s="509"/>
      <c r="C4" s="509"/>
      <c r="D4" s="509"/>
      <c r="E4" s="292" t="s">
        <v>216</v>
      </c>
      <c r="F4" s="475">
        <v>2020</v>
      </c>
      <c r="G4" s="452" t="s">
        <v>217</v>
      </c>
      <c r="H4" s="441" t="s">
        <v>286</v>
      </c>
    </row>
    <row r="5" spans="1:8" x14ac:dyDescent="0.25">
      <c r="A5" s="293" t="s">
        <v>218</v>
      </c>
      <c r="B5" s="473">
        <v>2018</v>
      </c>
      <c r="C5" s="473">
        <v>2019</v>
      </c>
      <c r="D5" s="473">
        <v>2020</v>
      </c>
      <c r="E5" s="474" t="s">
        <v>324</v>
      </c>
      <c r="F5" s="453" t="s">
        <v>219</v>
      </c>
      <c r="G5" s="293" t="s">
        <v>220</v>
      </c>
      <c r="H5" s="293" t="s">
        <v>188</v>
      </c>
    </row>
    <row r="6" spans="1:8" ht="15" customHeight="1" x14ac:dyDescent="0.2">
      <c r="A6" s="432" t="s">
        <v>189</v>
      </c>
      <c r="B6" s="465">
        <v>0.62962962962962965</v>
      </c>
      <c r="C6" s="465">
        <v>0.625</v>
      </c>
      <c r="D6" s="465">
        <v>0.64473684210526316</v>
      </c>
      <c r="E6" s="465">
        <f>D6-B6</f>
        <v>1.5107212475633514E-2</v>
      </c>
      <c r="F6" s="466">
        <v>76</v>
      </c>
      <c r="G6" s="485">
        <f>IF(E6&gt;0.005,ROUND((E6-0.005)*F6,0),0)</f>
        <v>1</v>
      </c>
      <c r="H6" s="411">
        <f t="shared" ref="H6:H16" si="0">G6*H$47</f>
        <v>4000</v>
      </c>
    </row>
    <row r="7" spans="1:8" ht="15" customHeight="1" x14ac:dyDescent="0.2">
      <c r="A7" s="294" t="s">
        <v>190</v>
      </c>
      <c r="B7" s="467">
        <v>0.65669700910273077</v>
      </c>
      <c r="C7" s="467">
        <v>0.625</v>
      </c>
      <c r="D7" s="467">
        <v>0.6076115485564304</v>
      </c>
      <c r="E7" s="467">
        <f t="shared" ref="E7:E46" si="1">D7-B7</f>
        <v>-4.9085460546300363E-2</v>
      </c>
      <c r="F7" s="466">
        <v>762</v>
      </c>
      <c r="G7" s="486">
        <f t="shared" ref="G7:G44" si="2">IF(E7&gt;0.005,ROUND((E7-0.005)*F7,0),0)</f>
        <v>0</v>
      </c>
      <c r="H7" s="413">
        <f t="shared" si="0"/>
        <v>0</v>
      </c>
    </row>
    <row r="8" spans="1:8" ht="15" customHeight="1" x14ac:dyDescent="0.2">
      <c r="A8" s="294" t="s">
        <v>191</v>
      </c>
      <c r="B8" s="467">
        <v>0.61386138613861385</v>
      </c>
      <c r="C8" s="467">
        <v>0.64777327935222673</v>
      </c>
      <c r="D8" s="467">
        <v>0.67832167832167833</v>
      </c>
      <c r="E8" s="467">
        <f t="shared" si="1"/>
        <v>6.4460292183064483E-2</v>
      </c>
      <c r="F8" s="466">
        <v>286</v>
      </c>
      <c r="G8" s="486">
        <f t="shared" si="2"/>
        <v>17</v>
      </c>
      <c r="H8" s="413">
        <f t="shared" si="0"/>
        <v>68000</v>
      </c>
    </row>
    <row r="9" spans="1:8" ht="15" customHeight="1" x14ac:dyDescent="0.2">
      <c r="A9" s="294" t="s">
        <v>7</v>
      </c>
      <c r="B9" s="467">
        <v>0.63124999999999998</v>
      </c>
      <c r="C9" s="467">
        <v>0.5641025641025641</v>
      </c>
      <c r="D9" s="467">
        <v>0.5641025641025641</v>
      </c>
      <c r="E9" s="467">
        <f t="shared" si="1"/>
        <v>-6.7147435897435881E-2</v>
      </c>
      <c r="F9" s="466">
        <v>156</v>
      </c>
      <c r="G9" s="486">
        <f t="shared" si="2"/>
        <v>0</v>
      </c>
      <c r="H9" s="413">
        <f t="shared" si="0"/>
        <v>0</v>
      </c>
    </row>
    <row r="10" spans="1:8" ht="15" customHeight="1" x14ac:dyDescent="0.2">
      <c r="A10" s="294" t="s">
        <v>9</v>
      </c>
      <c r="B10" s="467">
        <v>0.5982142857142857</v>
      </c>
      <c r="C10" s="467">
        <v>0.57445355191256831</v>
      </c>
      <c r="D10" s="467">
        <v>0.60409781890284209</v>
      </c>
      <c r="E10" s="467">
        <f t="shared" si="1"/>
        <v>5.8835331885563891E-3</v>
      </c>
      <c r="F10" s="466">
        <v>1513</v>
      </c>
      <c r="G10" s="486">
        <f t="shared" si="2"/>
        <v>1</v>
      </c>
      <c r="H10" s="413">
        <f t="shared" si="0"/>
        <v>4000</v>
      </c>
    </row>
    <row r="11" spans="1:8" ht="15" customHeight="1" x14ac:dyDescent="0.2">
      <c r="A11" s="294" t="s">
        <v>192</v>
      </c>
      <c r="B11" s="467">
        <v>0.66388888888888886</v>
      </c>
      <c r="C11" s="467">
        <v>0.69505494505494503</v>
      </c>
      <c r="D11" s="467">
        <v>0.65564738292011016</v>
      </c>
      <c r="E11" s="467">
        <f t="shared" si="1"/>
        <v>-8.2415059687787062E-3</v>
      </c>
      <c r="F11" s="466">
        <v>363</v>
      </c>
      <c r="G11" s="486">
        <f t="shared" si="2"/>
        <v>0</v>
      </c>
      <c r="H11" s="413">
        <f t="shared" si="0"/>
        <v>0</v>
      </c>
    </row>
    <row r="12" spans="1:8" ht="15" customHeight="1" x14ac:dyDescent="0.2">
      <c r="A12" s="294" t="s">
        <v>221</v>
      </c>
      <c r="B12" s="467">
        <v>0.58156028368794321</v>
      </c>
      <c r="C12" s="467">
        <v>0.53676470588235292</v>
      </c>
      <c r="D12" s="467">
        <v>0.55474452554744524</v>
      </c>
      <c r="E12" s="467">
        <f t="shared" si="1"/>
        <v>-2.6815758140497969E-2</v>
      </c>
      <c r="F12" s="466">
        <v>137</v>
      </c>
      <c r="G12" s="486">
        <f t="shared" si="2"/>
        <v>0</v>
      </c>
      <c r="H12" s="413">
        <f t="shared" si="0"/>
        <v>0</v>
      </c>
    </row>
    <row r="13" spans="1:8" ht="15" customHeight="1" x14ac:dyDescent="0.2">
      <c r="A13" s="294" t="s">
        <v>139</v>
      </c>
      <c r="B13" s="467">
        <v>0.59133126934984526</v>
      </c>
      <c r="C13" s="467">
        <v>0.64469273743016764</v>
      </c>
      <c r="D13" s="467">
        <v>0.63829787234042556</v>
      </c>
      <c r="E13" s="467">
        <f t="shared" si="1"/>
        <v>4.6966602990580308E-2</v>
      </c>
      <c r="F13" s="466">
        <v>846</v>
      </c>
      <c r="G13" s="486">
        <f t="shared" si="2"/>
        <v>36</v>
      </c>
      <c r="H13" s="413">
        <f t="shared" si="0"/>
        <v>144000</v>
      </c>
    </row>
    <row r="14" spans="1:8" ht="15" customHeight="1" x14ac:dyDescent="0.2">
      <c r="A14" s="294" t="s">
        <v>193</v>
      </c>
      <c r="B14" s="467">
        <v>0.6232464929859719</v>
      </c>
      <c r="C14" s="467">
        <v>0.62475049900199597</v>
      </c>
      <c r="D14" s="467">
        <v>0.63618677042801552</v>
      </c>
      <c r="E14" s="467">
        <f t="shared" si="1"/>
        <v>1.2940277442043624E-2</v>
      </c>
      <c r="F14" s="466">
        <v>514</v>
      </c>
      <c r="G14" s="486">
        <f t="shared" si="2"/>
        <v>4</v>
      </c>
      <c r="H14" s="413">
        <f t="shared" si="0"/>
        <v>16000</v>
      </c>
    </row>
    <row r="15" spans="1:8" ht="15" customHeight="1" x14ac:dyDescent="0.2">
      <c r="A15" s="294" t="s">
        <v>17</v>
      </c>
      <c r="B15" s="467">
        <v>0.6330275229357798</v>
      </c>
      <c r="C15" s="467">
        <v>0.5607843137254902</v>
      </c>
      <c r="D15" s="467">
        <v>0.57333333333333336</v>
      </c>
      <c r="E15" s="467">
        <f t="shared" si="1"/>
        <v>-5.9694189602446435E-2</v>
      </c>
      <c r="F15" s="466">
        <v>225</v>
      </c>
      <c r="G15" s="486">
        <f t="shared" si="2"/>
        <v>0</v>
      </c>
      <c r="H15" s="413">
        <f t="shared" si="0"/>
        <v>0</v>
      </c>
    </row>
    <row r="16" spans="1:8" ht="15" customHeight="1" x14ac:dyDescent="0.2">
      <c r="A16" s="294" t="s">
        <v>194</v>
      </c>
      <c r="B16" s="467">
        <v>0.58779576587795768</v>
      </c>
      <c r="C16" s="467">
        <v>0.56513026052104209</v>
      </c>
      <c r="D16" s="467">
        <v>0.53689567430025442</v>
      </c>
      <c r="E16" s="467">
        <f t="shared" si="1"/>
        <v>-5.0900091577703255E-2</v>
      </c>
      <c r="F16" s="466">
        <v>1572</v>
      </c>
      <c r="G16" s="486">
        <f t="shared" si="2"/>
        <v>0</v>
      </c>
      <c r="H16" s="413">
        <f t="shared" si="0"/>
        <v>0</v>
      </c>
    </row>
    <row r="17" spans="1:8" ht="15" customHeight="1" x14ac:dyDescent="0.2">
      <c r="A17" s="433" t="s">
        <v>331</v>
      </c>
      <c r="B17" s="468">
        <v>0.628755364806867</v>
      </c>
      <c r="C17" s="468">
        <v>0.60470085470085466</v>
      </c>
      <c r="D17" s="468">
        <v>0.56834532374100721</v>
      </c>
      <c r="E17" s="468">
        <f t="shared" ref="E17:E22" si="3">D17-B17</f>
        <v>-6.0410041065859788E-2</v>
      </c>
      <c r="F17" s="469">
        <v>417</v>
      </c>
      <c r="G17" s="487">
        <f>SUM(G18:G22)</f>
        <v>6</v>
      </c>
      <c r="H17" s="415">
        <f>SUM(H18:H22)</f>
        <v>24000</v>
      </c>
    </row>
    <row r="18" spans="1:8" ht="15" customHeight="1" x14ac:dyDescent="0.2">
      <c r="A18" s="294" t="s">
        <v>270</v>
      </c>
      <c r="B18" s="467">
        <v>0.69791666666666663</v>
      </c>
      <c r="C18" s="467">
        <v>0.63414634146341464</v>
      </c>
      <c r="D18" s="467">
        <v>0.73333333333333328</v>
      </c>
      <c r="E18" s="467">
        <f t="shared" si="3"/>
        <v>3.5416666666666652E-2</v>
      </c>
      <c r="F18" s="466">
        <v>75</v>
      </c>
      <c r="G18" s="486">
        <f>IF(E18&gt;0.005,ROUND((E18-0.005)*F18,0),0)</f>
        <v>2</v>
      </c>
      <c r="H18" s="413">
        <f t="shared" ref="H18:H27" si="4">G18*H$47</f>
        <v>8000</v>
      </c>
    </row>
    <row r="19" spans="1:8" ht="15" customHeight="1" x14ac:dyDescent="0.2">
      <c r="A19" s="294" t="s">
        <v>271</v>
      </c>
      <c r="B19" s="467">
        <v>0.63793103448275867</v>
      </c>
      <c r="C19" s="467">
        <v>0.55633802816901412</v>
      </c>
      <c r="D19" s="467">
        <v>0.47787610619469029</v>
      </c>
      <c r="E19" s="467">
        <f t="shared" si="3"/>
        <v>-0.16005492828806839</v>
      </c>
      <c r="F19" s="466">
        <v>113</v>
      </c>
      <c r="G19" s="486">
        <f>IF(E19&gt;0.005,ROUND((E19-0.005)*F19,0),0)</f>
        <v>0</v>
      </c>
      <c r="H19" s="413">
        <f t="shared" si="4"/>
        <v>0</v>
      </c>
    </row>
    <row r="20" spans="1:8" ht="15" customHeight="1" x14ac:dyDescent="0.2">
      <c r="A20" s="294" t="s">
        <v>272</v>
      </c>
      <c r="B20" s="467">
        <v>0.55118110236220474</v>
      </c>
      <c r="C20" s="467">
        <v>0.58064516129032262</v>
      </c>
      <c r="D20" s="467">
        <v>0.59090909090909094</v>
      </c>
      <c r="E20" s="467">
        <f t="shared" si="3"/>
        <v>3.9727988546886195E-2</v>
      </c>
      <c r="F20" s="466">
        <v>110</v>
      </c>
      <c r="G20" s="486">
        <f>IF(E20&gt;0.005,ROUND((E20-0.005)*F20,0),0)</f>
        <v>4</v>
      </c>
      <c r="H20" s="413">
        <f t="shared" si="4"/>
        <v>16000</v>
      </c>
    </row>
    <row r="21" spans="1:8" ht="15" customHeight="1" x14ac:dyDescent="0.2">
      <c r="A21" s="294" t="s">
        <v>273</v>
      </c>
      <c r="B21" s="467">
        <v>0.68181818181818177</v>
      </c>
      <c r="C21" s="467">
        <v>0.6097560975609756</v>
      </c>
      <c r="D21" s="467">
        <v>0.5714285714285714</v>
      </c>
      <c r="E21" s="467">
        <f t="shared" si="3"/>
        <v>-0.11038961038961037</v>
      </c>
      <c r="F21" s="466">
        <v>35</v>
      </c>
      <c r="G21" s="486">
        <f>IF(E21&gt;0.005,ROUND((E21-0.005)*F21,0),0)</f>
        <v>0</v>
      </c>
      <c r="H21" s="413">
        <f t="shared" si="4"/>
        <v>0</v>
      </c>
    </row>
    <row r="22" spans="1:8" ht="15" customHeight="1" x14ac:dyDescent="0.2">
      <c r="A22" s="294" t="s">
        <v>274</v>
      </c>
      <c r="B22" s="467">
        <v>0.62650602409638556</v>
      </c>
      <c r="C22" s="467">
        <v>0.69620253164556967</v>
      </c>
      <c r="D22" s="467">
        <v>0.51190476190476186</v>
      </c>
      <c r="E22" s="467">
        <f t="shared" si="3"/>
        <v>-0.1146012621916237</v>
      </c>
      <c r="F22" s="466">
        <v>84</v>
      </c>
      <c r="G22" s="486">
        <f>IF(E22&gt;0.005,ROUND((E22-0.005)*F22,0),0)</f>
        <v>0</v>
      </c>
      <c r="H22" s="413">
        <f t="shared" si="4"/>
        <v>0</v>
      </c>
    </row>
    <row r="23" spans="1:8" ht="15" customHeight="1" x14ac:dyDescent="0.2">
      <c r="A23" s="294" t="s">
        <v>222</v>
      </c>
      <c r="B23" s="467">
        <v>0.66417910447761197</v>
      </c>
      <c r="C23" s="467">
        <v>0.64406779661016944</v>
      </c>
      <c r="D23" s="467">
        <v>0.50806451612903225</v>
      </c>
      <c r="E23" s="467">
        <f t="shared" si="1"/>
        <v>-0.15611458834857972</v>
      </c>
      <c r="F23" s="466">
        <v>124</v>
      </c>
      <c r="G23" s="486">
        <f t="shared" si="2"/>
        <v>0</v>
      </c>
      <c r="H23" s="413">
        <f t="shared" si="4"/>
        <v>0</v>
      </c>
    </row>
    <row r="24" spans="1:8" ht="15" customHeight="1" x14ac:dyDescent="0.2">
      <c r="A24" s="294" t="s">
        <v>196</v>
      </c>
      <c r="B24" s="467">
        <v>0.55017921146953408</v>
      </c>
      <c r="C24" s="467">
        <v>0.53707414829659317</v>
      </c>
      <c r="D24" s="467">
        <v>0.54382470119521908</v>
      </c>
      <c r="E24" s="467">
        <f t="shared" si="1"/>
        <v>-6.354510274314995E-3</v>
      </c>
      <c r="F24" s="466">
        <v>502</v>
      </c>
      <c r="G24" s="486">
        <f t="shared" si="2"/>
        <v>0</v>
      </c>
      <c r="H24" s="413">
        <f t="shared" si="4"/>
        <v>0</v>
      </c>
    </row>
    <row r="25" spans="1:8" ht="15" customHeight="1" x14ac:dyDescent="0.2">
      <c r="A25" s="434" t="s">
        <v>223</v>
      </c>
      <c r="B25" s="467">
        <v>0.5736434108527132</v>
      </c>
      <c r="C25" s="467">
        <v>0.65724381625441697</v>
      </c>
      <c r="D25" s="467">
        <v>0.58245614035087723</v>
      </c>
      <c r="E25" s="467">
        <f t="shared" si="1"/>
        <v>8.8127294981640292E-3</v>
      </c>
      <c r="F25" s="466">
        <v>285</v>
      </c>
      <c r="G25" s="486">
        <f t="shared" si="2"/>
        <v>1</v>
      </c>
      <c r="H25" s="413">
        <f t="shared" si="4"/>
        <v>4000</v>
      </c>
    </row>
    <row r="26" spans="1:8" ht="15" customHeight="1" x14ac:dyDescent="0.2">
      <c r="A26" s="294" t="s">
        <v>132</v>
      </c>
      <c r="B26" s="467">
        <v>0.61553918285331544</v>
      </c>
      <c r="C26" s="467">
        <v>0.63680682510664233</v>
      </c>
      <c r="D26" s="467">
        <v>0.60406698564593297</v>
      </c>
      <c r="E26" s="467">
        <f t="shared" si="1"/>
        <v>-1.1472197207382462E-2</v>
      </c>
      <c r="F26" s="466">
        <v>1672</v>
      </c>
      <c r="G26" s="486">
        <f t="shared" si="2"/>
        <v>0</v>
      </c>
      <c r="H26" s="413">
        <f t="shared" si="4"/>
        <v>0</v>
      </c>
    </row>
    <row r="27" spans="1:8" ht="15" customHeight="1" x14ac:dyDescent="0.2">
      <c r="A27" s="294" t="s">
        <v>133</v>
      </c>
      <c r="B27" s="467">
        <v>0.58626198083067094</v>
      </c>
      <c r="C27" s="467">
        <v>0.5810276679841897</v>
      </c>
      <c r="D27" s="467">
        <v>0.57378400659521844</v>
      </c>
      <c r="E27" s="467">
        <f t="shared" si="1"/>
        <v>-1.2477974235452494E-2</v>
      </c>
      <c r="F27" s="466">
        <v>1213</v>
      </c>
      <c r="G27" s="486">
        <f t="shared" si="2"/>
        <v>0</v>
      </c>
      <c r="H27" s="413">
        <f t="shared" si="4"/>
        <v>0</v>
      </c>
    </row>
    <row r="28" spans="1:8" ht="15" customHeight="1" x14ac:dyDescent="0.2">
      <c r="A28" s="294" t="s">
        <v>229</v>
      </c>
      <c r="B28" s="467">
        <v>0.56183745583038869</v>
      </c>
      <c r="C28" s="467">
        <v>0.63928571428571423</v>
      </c>
      <c r="D28" s="467">
        <v>0.60836501901140683</v>
      </c>
      <c r="E28" s="467">
        <f t="shared" si="1"/>
        <v>4.6527563181018139E-2</v>
      </c>
      <c r="F28" s="466">
        <v>263</v>
      </c>
      <c r="G28" s="486">
        <f t="shared" si="2"/>
        <v>11</v>
      </c>
      <c r="H28" s="413">
        <f t="shared" ref="H28:H36" si="5">G28*H$47</f>
        <v>44000</v>
      </c>
    </row>
    <row r="29" spans="1:8" ht="15" customHeight="1" x14ac:dyDescent="0.2">
      <c r="A29" s="294" t="s">
        <v>203</v>
      </c>
      <c r="B29" s="467">
        <v>0.48051948051948051</v>
      </c>
      <c r="C29" s="467">
        <v>0.51764705882352946</v>
      </c>
      <c r="D29" s="467">
        <v>0.48051948051948051</v>
      </c>
      <c r="E29" s="467">
        <f t="shared" si="1"/>
        <v>0</v>
      </c>
      <c r="F29" s="466">
        <v>77</v>
      </c>
      <c r="G29" s="486">
        <f t="shared" si="2"/>
        <v>0</v>
      </c>
      <c r="H29" s="413">
        <f t="shared" si="5"/>
        <v>0</v>
      </c>
    </row>
    <row r="30" spans="1:8" ht="15" customHeight="1" x14ac:dyDescent="0.2">
      <c r="A30" s="294" t="s">
        <v>204</v>
      </c>
      <c r="B30" s="467">
        <v>0.68493150684931503</v>
      </c>
      <c r="C30" s="467">
        <v>0.60810810810810811</v>
      </c>
      <c r="D30" s="467">
        <v>0.625</v>
      </c>
      <c r="E30" s="467">
        <f t="shared" si="1"/>
        <v>-5.993150684931503E-2</v>
      </c>
      <c r="F30" s="466">
        <v>56</v>
      </c>
      <c r="G30" s="486">
        <f t="shared" si="2"/>
        <v>0</v>
      </c>
      <c r="H30" s="413">
        <f t="shared" si="5"/>
        <v>0</v>
      </c>
    </row>
    <row r="31" spans="1:8" ht="15" customHeight="1" x14ac:dyDescent="0.2">
      <c r="A31" s="294" t="s">
        <v>36</v>
      </c>
      <c r="B31" s="467">
        <v>0.59219858156028371</v>
      </c>
      <c r="C31" s="467">
        <v>0.6166666666666667</v>
      </c>
      <c r="D31" s="467">
        <v>0.56828193832599116</v>
      </c>
      <c r="E31" s="467">
        <f t="shared" si="1"/>
        <v>-2.3916643234292545E-2</v>
      </c>
      <c r="F31" s="466">
        <v>227</v>
      </c>
      <c r="G31" s="486">
        <f t="shared" si="2"/>
        <v>0</v>
      </c>
      <c r="H31" s="413">
        <f t="shared" si="5"/>
        <v>0</v>
      </c>
    </row>
    <row r="32" spans="1:8" ht="15" customHeight="1" x14ac:dyDescent="0.2">
      <c r="A32" s="294" t="s">
        <v>131</v>
      </c>
      <c r="B32" s="467">
        <v>0.59913793103448276</v>
      </c>
      <c r="C32" s="467">
        <v>0.63663663663663661</v>
      </c>
      <c r="D32" s="467">
        <v>0.61269841269841274</v>
      </c>
      <c r="E32" s="467">
        <f t="shared" si="1"/>
        <v>1.356048166392998E-2</v>
      </c>
      <c r="F32" s="466">
        <v>315</v>
      </c>
      <c r="G32" s="486">
        <f t="shared" si="2"/>
        <v>3</v>
      </c>
      <c r="H32" s="413">
        <f t="shared" si="5"/>
        <v>12000</v>
      </c>
    </row>
    <row r="33" spans="1:8" ht="15" customHeight="1" x14ac:dyDescent="0.2">
      <c r="A33" s="294" t="s">
        <v>205</v>
      </c>
      <c r="B33" s="467">
        <v>0.5892857142857143</v>
      </c>
      <c r="C33" s="467">
        <v>0.58318739054290714</v>
      </c>
      <c r="D33" s="467">
        <v>0.60205831903945106</v>
      </c>
      <c r="E33" s="467">
        <f t="shared" si="1"/>
        <v>1.277260475373676E-2</v>
      </c>
      <c r="F33" s="466">
        <v>583</v>
      </c>
      <c r="G33" s="486">
        <f t="shared" si="2"/>
        <v>5</v>
      </c>
      <c r="H33" s="413">
        <f t="shared" si="5"/>
        <v>20000</v>
      </c>
    </row>
    <row r="34" spans="1:8" ht="15" customHeight="1" x14ac:dyDescent="0.2">
      <c r="A34" s="294" t="s">
        <v>206</v>
      </c>
      <c r="B34" s="467">
        <v>0.57504215851602025</v>
      </c>
      <c r="C34" s="467">
        <v>0.55178571428571432</v>
      </c>
      <c r="D34" s="467">
        <v>0.5977653631284916</v>
      </c>
      <c r="E34" s="467">
        <f t="shared" si="1"/>
        <v>2.2723204612471348E-2</v>
      </c>
      <c r="F34" s="466">
        <v>537</v>
      </c>
      <c r="G34" s="486">
        <f t="shared" si="2"/>
        <v>10</v>
      </c>
      <c r="H34" s="413">
        <f t="shared" si="5"/>
        <v>40000</v>
      </c>
    </row>
    <row r="35" spans="1:8" ht="15" customHeight="1" x14ac:dyDescent="0.2">
      <c r="A35" s="294" t="s">
        <v>70</v>
      </c>
      <c r="B35" s="467">
        <v>0.59744779582366592</v>
      </c>
      <c r="C35" s="467">
        <v>0.61639908256880738</v>
      </c>
      <c r="D35" s="467">
        <v>0.56931964056482665</v>
      </c>
      <c r="E35" s="467">
        <f t="shared" si="1"/>
        <v>-2.8128155258839271E-2</v>
      </c>
      <c r="F35" s="466">
        <v>1558</v>
      </c>
      <c r="G35" s="486">
        <f t="shared" si="2"/>
        <v>0</v>
      </c>
      <c r="H35" s="413">
        <f t="shared" si="5"/>
        <v>0</v>
      </c>
    </row>
    <row r="36" spans="1:8" ht="15" customHeight="1" x14ac:dyDescent="0.2">
      <c r="A36" s="294" t="s">
        <v>117</v>
      </c>
      <c r="B36" s="467">
        <v>0.6071428571428571</v>
      </c>
      <c r="C36" s="467">
        <v>0.66172106824925814</v>
      </c>
      <c r="D36" s="467">
        <v>0.57507987220447288</v>
      </c>
      <c r="E36" s="467">
        <f t="shared" si="1"/>
        <v>-3.206298493838422E-2</v>
      </c>
      <c r="F36" s="466">
        <v>313</v>
      </c>
      <c r="G36" s="486">
        <f t="shared" si="2"/>
        <v>0</v>
      </c>
      <c r="H36" s="413">
        <f t="shared" si="5"/>
        <v>0</v>
      </c>
    </row>
    <row r="37" spans="1:8" ht="15" customHeight="1" x14ac:dyDescent="0.2">
      <c r="A37" s="295" t="s">
        <v>207</v>
      </c>
      <c r="B37" s="468">
        <v>0.60115882753919558</v>
      </c>
      <c r="C37" s="468">
        <v>0.60468728893691748</v>
      </c>
      <c r="D37" s="468">
        <v>0.58936403508771928</v>
      </c>
      <c r="E37" s="468">
        <f t="shared" si="1"/>
        <v>-1.1794792451476299E-2</v>
      </c>
      <c r="F37" s="470">
        <v>14592</v>
      </c>
      <c r="G37" s="487">
        <f>SUM(G6:G17,G28:G36)</f>
        <v>94</v>
      </c>
      <c r="H37" s="412">
        <f>SUM(H6:H17,H28:H36)</f>
        <v>376000</v>
      </c>
    </row>
    <row r="38" spans="1:8" ht="15" customHeight="1" x14ac:dyDescent="0.2">
      <c r="A38" s="294" t="s">
        <v>208</v>
      </c>
      <c r="B38" s="467">
        <v>0.72</v>
      </c>
      <c r="C38" s="467">
        <v>0.77647058823529413</v>
      </c>
      <c r="D38" s="467">
        <v>0.77292576419213976</v>
      </c>
      <c r="E38" s="467">
        <f t="shared" si="1"/>
        <v>5.292576419213979E-2</v>
      </c>
      <c r="F38" s="466">
        <v>229</v>
      </c>
      <c r="G38" s="486">
        <f t="shared" si="2"/>
        <v>11</v>
      </c>
      <c r="H38" s="413">
        <f t="shared" ref="H38:H45" si="6">G38*H$47</f>
        <v>44000</v>
      </c>
    </row>
    <row r="39" spans="1:8" ht="15" customHeight="1" x14ac:dyDescent="0.2">
      <c r="A39" s="294" t="s">
        <v>140</v>
      </c>
      <c r="B39" s="467">
        <v>0.78750952018278753</v>
      </c>
      <c r="C39" s="467">
        <v>0.78649237472766886</v>
      </c>
      <c r="D39" s="467">
        <v>0.78196600147819662</v>
      </c>
      <c r="E39" s="467">
        <f t="shared" si="1"/>
        <v>-5.5435187045909107E-3</v>
      </c>
      <c r="F39" s="466">
        <v>1353</v>
      </c>
      <c r="G39" s="486">
        <f t="shared" si="2"/>
        <v>0</v>
      </c>
      <c r="H39" s="413">
        <f t="shared" si="6"/>
        <v>0</v>
      </c>
    </row>
    <row r="40" spans="1:8" ht="15" customHeight="1" x14ac:dyDescent="0.2">
      <c r="A40" s="294" t="s">
        <v>209</v>
      </c>
      <c r="B40" s="467">
        <v>0.82451253481894149</v>
      </c>
      <c r="C40" s="467">
        <v>0.85097493036211702</v>
      </c>
      <c r="D40" s="467">
        <v>0.82946793997271484</v>
      </c>
      <c r="E40" s="467">
        <f t="shared" si="1"/>
        <v>4.9554051537733512E-3</v>
      </c>
      <c r="F40" s="466">
        <v>733</v>
      </c>
      <c r="G40" s="486">
        <f t="shared" si="2"/>
        <v>0</v>
      </c>
      <c r="H40" s="413">
        <f t="shared" si="6"/>
        <v>0</v>
      </c>
    </row>
    <row r="41" spans="1:8" ht="15" customHeight="1" x14ac:dyDescent="0.2">
      <c r="A41" s="294" t="s">
        <v>210</v>
      </c>
      <c r="B41" s="467">
        <v>0.7857142857142857</v>
      </c>
      <c r="C41" s="467">
        <v>0.75545851528384278</v>
      </c>
      <c r="D41" s="467">
        <v>0.77500000000000002</v>
      </c>
      <c r="E41" s="467">
        <f t="shared" si="1"/>
        <v>-1.0714285714285676E-2</v>
      </c>
      <c r="F41" s="466">
        <v>240</v>
      </c>
      <c r="G41" s="486">
        <f t="shared" si="2"/>
        <v>0</v>
      </c>
      <c r="H41" s="413">
        <f t="shared" si="6"/>
        <v>0</v>
      </c>
    </row>
    <row r="42" spans="1:8" ht="15" customHeight="1" x14ac:dyDescent="0.2">
      <c r="A42" s="294" t="s">
        <v>211</v>
      </c>
      <c r="B42" s="467">
        <v>0.79069767441860461</v>
      </c>
      <c r="C42" s="467">
        <v>0.73715124816446398</v>
      </c>
      <c r="D42" s="467">
        <v>0.77777777777777779</v>
      </c>
      <c r="E42" s="467">
        <f t="shared" si="1"/>
        <v>-1.2919896640826822E-2</v>
      </c>
      <c r="F42" s="466">
        <v>603</v>
      </c>
      <c r="G42" s="486">
        <f t="shared" si="2"/>
        <v>0</v>
      </c>
      <c r="H42" s="413">
        <f t="shared" si="6"/>
        <v>0</v>
      </c>
    </row>
    <row r="43" spans="1:8" ht="15" customHeight="1" x14ac:dyDescent="0.2">
      <c r="A43" s="294" t="s">
        <v>212</v>
      </c>
      <c r="B43" s="467">
        <v>0.77586206896551724</v>
      </c>
      <c r="C43" s="467">
        <v>0.78881987577639756</v>
      </c>
      <c r="D43" s="467">
        <v>0.78527607361963192</v>
      </c>
      <c r="E43" s="467">
        <f t="shared" si="1"/>
        <v>9.4140046541146827E-3</v>
      </c>
      <c r="F43" s="466">
        <v>163</v>
      </c>
      <c r="G43" s="486">
        <f t="shared" si="2"/>
        <v>1</v>
      </c>
      <c r="H43" s="413">
        <f t="shared" si="6"/>
        <v>4000</v>
      </c>
    </row>
    <row r="44" spans="1:8" ht="15" customHeight="1" x14ac:dyDescent="0.2">
      <c r="A44" s="294" t="s">
        <v>213</v>
      </c>
      <c r="B44" s="467">
        <v>0.83890577507598785</v>
      </c>
      <c r="C44" s="467">
        <v>0.85588235294117643</v>
      </c>
      <c r="D44" s="467">
        <v>0.87356321839080464</v>
      </c>
      <c r="E44" s="467">
        <f t="shared" si="1"/>
        <v>3.4657443314816794E-2</v>
      </c>
      <c r="F44" s="466">
        <v>348</v>
      </c>
      <c r="G44" s="486">
        <f t="shared" si="2"/>
        <v>10</v>
      </c>
      <c r="H44" s="413">
        <f t="shared" si="6"/>
        <v>40000</v>
      </c>
    </row>
    <row r="45" spans="1:8" ht="15" customHeight="1" x14ac:dyDescent="0.2">
      <c r="A45" s="295" t="s">
        <v>214</v>
      </c>
      <c r="B45" s="468">
        <v>0.79531376245623486</v>
      </c>
      <c r="C45" s="468">
        <v>0.79367189577240094</v>
      </c>
      <c r="D45" s="468">
        <v>0.7985827200872172</v>
      </c>
      <c r="E45" s="468">
        <f t="shared" si="1"/>
        <v>3.2689576309823387E-3</v>
      </c>
      <c r="F45" s="469">
        <v>3669</v>
      </c>
      <c r="G45" s="487">
        <f>SUM(G38:G44)</f>
        <v>22</v>
      </c>
      <c r="H45" s="416">
        <f t="shared" si="6"/>
        <v>88000</v>
      </c>
    </row>
    <row r="46" spans="1:8" ht="15" customHeight="1" x14ac:dyDescent="0.2">
      <c r="A46" s="296" t="s">
        <v>215</v>
      </c>
      <c r="B46" s="471">
        <v>0.64037425882608934</v>
      </c>
      <c r="C46" s="471">
        <v>0.64296870792265848</v>
      </c>
      <c r="D46" s="471">
        <v>0.63140025190296256</v>
      </c>
      <c r="E46" s="471">
        <f t="shared" si="1"/>
        <v>-8.9740069231267761E-3</v>
      </c>
      <c r="F46" s="472">
        <v>18261</v>
      </c>
      <c r="G46" s="488">
        <f>G37+G45</f>
        <v>116</v>
      </c>
      <c r="H46" s="417">
        <f>H37+H45</f>
        <v>464000</v>
      </c>
    </row>
    <row r="47" spans="1:8" ht="15" customHeight="1" x14ac:dyDescent="0.2">
      <c r="A47" s="429" t="s">
        <v>277</v>
      </c>
      <c r="B47" s="489"/>
      <c r="C47" s="489"/>
      <c r="D47" s="489"/>
      <c r="E47" s="489"/>
      <c r="F47" s="489"/>
      <c r="G47" s="489"/>
      <c r="H47" s="431">
        <v>4000</v>
      </c>
    </row>
  </sheetData>
  <mergeCells count="4">
    <mergeCell ref="A1:H1"/>
    <mergeCell ref="A2:H2"/>
    <mergeCell ref="A3:H3"/>
    <mergeCell ref="B4:D4"/>
  </mergeCells>
  <printOptions horizontalCentered="1"/>
  <pageMargins left="0.2" right="0.2" top="0.5" bottom="0.5" header="0" footer="0.3"/>
  <pageSetup scale="95" orientation="portrait" r:id="rId1"/>
  <headerFooter>
    <oddFooter>&amp;LSource: System Office Research - Academic and Student Affairs   
&amp;Z&amp;F&amp;A
February 5,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39997558519241921"/>
    <pageSetUpPr fitToPage="1"/>
  </sheetPr>
  <dimension ref="A1:K44"/>
  <sheetViews>
    <sheetView zoomScale="80" zoomScaleNormal="80" workbookViewId="0">
      <selection activeCell="F10" sqref="F10"/>
    </sheetView>
  </sheetViews>
  <sheetFormatPr defaultRowHeight="15" customHeight="1" x14ac:dyDescent="0.2"/>
  <cols>
    <col min="1" max="1" width="6.85546875" customWidth="1"/>
    <col min="2" max="2" width="33.5703125" customWidth="1"/>
    <col min="3" max="3" width="16.7109375" customWidth="1"/>
    <col min="4" max="4" width="17.42578125" customWidth="1"/>
    <col min="5" max="5" width="13.140625" customWidth="1"/>
    <col min="6" max="6" width="13.5703125" customWidth="1"/>
    <col min="7" max="7" width="2.7109375" customWidth="1"/>
    <col min="8" max="8" width="21.42578125" style="11" customWidth="1"/>
    <col min="10" max="10" width="9.140625" customWidth="1"/>
    <col min="11" max="11" width="14.5703125" customWidth="1"/>
  </cols>
  <sheetData>
    <row r="1" spans="1:11" ht="15" customHeight="1" x14ac:dyDescent="0.25">
      <c r="A1" s="36" t="s">
        <v>254</v>
      </c>
      <c r="H1" s="443" t="s">
        <v>287</v>
      </c>
    </row>
    <row r="2" spans="1:11" ht="15" customHeight="1" x14ac:dyDescent="0.2">
      <c r="A2" s="4" t="s">
        <v>90</v>
      </c>
    </row>
    <row r="3" spans="1:11" ht="15" customHeight="1" x14ac:dyDescent="0.2">
      <c r="A3" s="4" t="s">
        <v>328</v>
      </c>
    </row>
    <row r="4" spans="1:11" ht="15" customHeight="1" x14ac:dyDescent="0.2">
      <c r="I4" s="87"/>
    </row>
    <row r="5" spans="1:11" ht="15" customHeight="1" x14ac:dyDescent="0.2">
      <c r="H5" s="203" t="s">
        <v>143</v>
      </c>
    </row>
    <row r="6" spans="1:11" ht="15" customHeight="1" x14ac:dyDescent="0.2">
      <c r="C6" s="203" t="s">
        <v>79</v>
      </c>
      <c r="D6" s="203" t="s">
        <v>74</v>
      </c>
      <c r="E6" s="203" t="s">
        <v>75</v>
      </c>
      <c r="F6" s="203" t="s">
        <v>76</v>
      </c>
      <c r="G6" s="203"/>
      <c r="H6" s="32" t="s">
        <v>77</v>
      </c>
    </row>
    <row r="7" spans="1:11" ht="61.5" customHeight="1" x14ac:dyDescent="0.2">
      <c r="A7" s="213" t="s">
        <v>0</v>
      </c>
      <c r="B7" s="214" t="s">
        <v>83</v>
      </c>
      <c r="C7" s="213" t="s">
        <v>144</v>
      </c>
      <c r="D7" s="31" t="s">
        <v>145</v>
      </c>
      <c r="E7" s="33" t="s">
        <v>92</v>
      </c>
      <c r="F7" s="215" t="s">
        <v>119</v>
      </c>
      <c r="H7" s="30" t="s">
        <v>91</v>
      </c>
    </row>
    <row r="8" spans="1:11" ht="15" customHeight="1" x14ac:dyDescent="0.2">
      <c r="B8" s="34"/>
      <c r="D8" s="11"/>
      <c r="F8" s="11"/>
    </row>
    <row r="9" spans="1:11" ht="15" customHeight="1" x14ac:dyDescent="0.2">
      <c r="A9" s="216" t="s">
        <v>2</v>
      </c>
      <c r="B9" s="217" t="s">
        <v>128</v>
      </c>
      <c r="C9" s="218"/>
      <c r="D9" s="218">
        <v>36098.589999999997</v>
      </c>
      <c r="E9" s="218">
        <f>C9+D9</f>
        <v>36098.589999999997</v>
      </c>
      <c r="F9" s="219">
        <f>'Revenue Offset'!G8</f>
        <v>0.46003292614045088</v>
      </c>
      <c r="H9" s="35">
        <f>E9*(1-F9)</f>
        <v>19492.050012755579</v>
      </c>
    </row>
    <row r="10" spans="1:11" s="54" customFormat="1" ht="15" customHeight="1" x14ac:dyDescent="0.2">
      <c r="A10" s="216" t="s">
        <v>4</v>
      </c>
      <c r="B10" s="217" t="s">
        <v>124</v>
      </c>
      <c r="C10" s="220"/>
      <c r="D10" s="221"/>
      <c r="E10" s="218">
        <f t="shared" ref="E10:E38" si="0">C10+D10</f>
        <v>0</v>
      </c>
      <c r="F10" s="219">
        <f>'Revenue Offset'!G9</f>
        <v>0.49772736108685306</v>
      </c>
      <c r="H10" s="35">
        <f t="shared" ref="H10:H38" si="1">E10*(1-F10)</f>
        <v>0</v>
      </c>
    </row>
    <row r="11" spans="1:11" ht="15" customHeight="1" x14ac:dyDescent="0.2">
      <c r="A11" s="216" t="s">
        <v>5</v>
      </c>
      <c r="B11" s="217" t="s">
        <v>113</v>
      </c>
      <c r="C11" s="222"/>
      <c r="D11" s="222">
        <v>32968.25</v>
      </c>
      <c r="E11" s="218">
        <f t="shared" si="0"/>
        <v>32968.25</v>
      </c>
      <c r="F11" s="219">
        <f>'Revenue Offset'!G10</f>
        <v>0.57080304104372648</v>
      </c>
      <c r="H11" s="35">
        <f t="shared" si="1"/>
        <v>14149.872642110164</v>
      </c>
      <c r="K11" s="24"/>
    </row>
    <row r="12" spans="1:11" ht="15" customHeight="1" x14ac:dyDescent="0.2">
      <c r="A12" s="216" t="s">
        <v>6</v>
      </c>
      <c r="B12" s="217" t="s">
        <v>7</v>
      </c>
      <c r="C12" s="218"/>
      <c r="D12" s="218">
        <v>32690.31</v>
      </c>
      <c r="E12" s="218">
        <f t="shared" si="0"/>
        <v>32690.31</v>
      </c>
      <c r="F12" s="219">
        <f>'Revenue Offset'!G11</f>
        <v>0.43497597530505389</v>
      </c>
      <c r="H12" s="35">
        <f t="shared" si="1"/>
        <v>18470.810524725443</v>
      </c>
    </row>
    <row r="13" spans="1:11" ht="15" customHeight="1" x14ac:dyDescent="0.2">
      <c r="A13" s="216" t="s">
        <v>8</v>
      </c>
      <c r="B13" s="217" t="s">
        <v>9</v>
      </c>
      <c r="C13" s="218"/>
      <c r="D13" s="218">
        <v>62613.9</v>
      </c>
      <c r="E13" s="218">
        <f t="shared" si="0"/>
        <v>62613.9</v>
      </c>
      <c r="F13" s="219">
        <f>'Revenue Offset'!G12</f>
        <v>0.4996004376283093</v>
      </c>
      <c r="H13" s="35">
        <f t="shared" si="1"/>
        <v>31331.968158384803</v>
      </c>
    </row>
    <row r="14" spans="1:11" ht="15" customHeight="1" x14ac:dyDescent="0.2">
      <c r="A14" s="216" t="s">
        <v>10</v>
      </c>
      <c r="B14" s="3" t="s">
        <v>146</v>
      </c>
      <c r="C14" s="218"/>
      <c r="D14" s="218">
        <v>531344.18999999994</v>
      </c>
      <c r="E14" s="218">
        <f t="shared" si="0"/>
        <v>531344.18999999994</v>
      </c>
      <c r="F14" s="219">
        <f>'Revenue Offset'!G13</f>
        <v>0.48999835783470663</v>
      </c>
      <c r="H14" s="35">
        <f t="shared" si="1"/>
        <v>270986.40945498762</v>
      </c>
    </row>
    <row r="15" spans="1:11" ht="15" customHeight="1" x14ac:dyDescent="0.2">
      <c r="A15" s="216" t="s">
        <v>12</v>
      </c>
      <c r="B15" s="217" t="s">
        <v>13</v>
      </c>
      <c r="C15" s="218"/>
      <c r="D15" s="218"/>
      <c r="E15" s="218">
        <f t="shared" si="0"/>
        <v>0</v>
      </c>
      <c r="F15" s="219">
        <f>'Revenue Offset'!G14</f>
        <v>0.33315161885150563</v>
      </c>
      <c r="H15" s="35">
        <f t="shared" si="1"/>
        <v>0</v>
      </c>
    </row>
    <row r="16" spans="1:11" ht="15" customHeight="1" x14ac:dyDescent="0.2">
      <c r="A16" s="216" t="s">
        <v>14</v>
      </c>
      <c r="B16" s="217" t="s">
        <v>139</v>
      </c>
      <c r="C16" s="218"/>
      <c r="D16" s="218"/>
      <c r="E16" s="218">
        <f t="shared" si="0"/>
        <v>0</v>
      </c>
      <c r="F16" s="219">
        <f>'Revenue Offset'!G15</f>
        <v>0.41926694079864041</v>
      </c>
      <c r="H16" s="35">
        <f t="shared" si="1"/>
        <v>0</v>
      </c>
    </row>
    <row r="17" spans="1:8" ht="15" customHeight="1" x14ac:dyDescent="0.2">
      <c r="A17" s="216" t="s">
        <v>16</v>
      </c>
      <c r="B17" s="217" t="s">
        <v>17</v>
      </c>
      <c r="C17" s="218"/>
      <c r="D17" s="218">
        <v>4825.2700000000004</v>
      </c>
      <c r="E17" s="218">
        <f t="shared" si="0"/>
        <v>4825.2700000000004</v>
      </c>
      <c r="F17" s="219">
        <f>'Revenue Offset'!G16</f>
        <v>0.4336552229324242</v>
      </c>
      <c r="H17" s="35">
        <f t="shared" si="1"/>
        <v>2732.7664624408617</v>
      </c>
    </row>
    <row r="18" spans="1:8" ht="15" customHeight="1" x14ac:dyDescent="0.2">
      <c r="A18" s="216" t="s">
        <v>18</v>
      </c>
      <c r="B18" s="217" t="s">
        <v>140</v>
      </c>
      <c r="C18" s="218">
        <v>334818.71000000002</v>
      </c>
      <c r="D18" s="218">
        <v>4750</v>
      </c>
      <c r="E18" s="218">
        <f t="shared" si="0"/>
        <v>339568.71</v>
      </c>
      <c r="F18" s="219">
        <f>'Revenue Offset'!G17</f>
        <v>0.6005167250745268</v>
      </c>
      <c r="H18" s="35">
        <f t="shared" si="1"/>
        <v>135652.0203330183</v>
      </c>
    </row>
    <row r="19" spans="1:8" ht="15" customHeight="1" x14ac:dyDescent="0.2">
      <c r="A19" s="216" t="s">
        <v>19</v>
      </c>
      <c r="B19" s="217" t="s">
        <v>129</v>
      </c>
      <c r="C19" s="218"/>
      <c r="D19" s="218">
        <v>80556.429999999993</v>
      </c>
      <c r="E19" s="218">
        <f t="shared" si="0"/>
        <v>80556.429999999993</v>
      </c>
      <c r="F19" s="219">
        <f>'Revenue Offset'!G18</f>
        <v>0.4511599203894881</v>
      </c>
      <c r="H19" s="35">
        <f t="shared" si="1"/>
        <v>44212.597454338633</v>
      </c>
    </row>
    <row r="20" spans="1:8" ht="15" customHeight="1" x14ac:dyDescent="0.2">
      <c r="A20" s="216" t="s">
        <v>118</v>
      </c>
      <c r="B20" s="217" t="s">
        <v>331</v>
      </c>
      <c r="C20" s="218">
        <v>44798.25</v>
      </c>
      <c r="D20" s="218">
        <f>27678.73+67744.89+126187.94+3483.05</f>
        <v>225094.61</v>
      </c>
      <c r="E20" s="218">
        <f>C20+D20</f>
        <v>269892.86</v>
      </c>
      <c r="F20" s="219">
        <f>'Revenue Offset'!G19</f>
        <v>0.39845699457742023</v>
      </c>
      <c r="H20" s="35">
        <f>E20*(1-F20)</f>
        <v>162352.16214649557</v>
      </c>
    </row>
    <row r="21" spans="1:8" ht="15" customHeight="1" x14ac:dyDescent="0.2">
      <c r="A21" s="216" t="s">
        <v>21</v>
      </c>
      <c r="B21" s="223" t="s">
        <v>177</v>
      </c>
      <c r="C21" s="218">
        <v>12232.45</v>
      </c>
      <c r="D21" s="218"/>
      <c r="E21" s="218">
        <f t="shared" si="0"/>
        <v>12232.45</v>
      </c>
      <c r="F21" s="219">
        <f>'Revenue Offset'!G20</f>
        <v>0.39377509948195011</v>
      </c>
      <c r="H21" s="35">
        <f t="shared" si="1"/>
        <v>7415.6157843420197</v>
      </c>
    </row>
    <row r="22" spans="1:8" ht="15" customHeight="1" x14ac:dyDescent="0.2">
      <c r="A22" s="216" t="s">
        <v>109</v>
      </c>
      <c r="B22" s="217" t="s">
        <v>141</v>
      </c>
      <c r="C22" s="218">
        <v>51634.720000000001</v>
      </c>
      <c r="D22" s="218">
        <v>164.69</v>
      </c>
      <c r="E22" s="218">
        <f t="shared" si="0"/>
        <v>51799.41</v>
      </c>
      <c r="F22" s="219">
        <f>'Revenue Offset'!G21</f>
        <v>0.44393982996697445</v>
      </c>
      <c r="H22" s="35">
        <f t="shared" si="1"/>
        <v>28803.588732210406</v>
      </c>
    </row>
    <row r="23" spans="1:8" ht="15" customHeight="1" x14ac:dyDescent="0.2">
      <c r="A23" s="216" t="s">
        <v>26</v>
      </c>
      <c r="B23" s="217" t="s">
        <v>62</v>
      </c>
      <c r="C23" s="218"/>
      <c r="D23" s="218">
        <v>347272.07</v>
      </c>
      <c r="E23" s="218">
        <f t="shared" si="0"/>
        <v>347272.07</v>
      </c>
      <c r="F23" s="219">
        <f>'Revenue Offset'!G22</f>
        <v>0.59115937666174934</v>
      </c>
      <c r="H23" s="35">
        <f t="shared" si="1"/>
        <v>141978.92956676462</v>
      </c>
    </row>
    <row r="24" spans="1:8" ht="15" customHeight="1" x14ac:dyDescent="0.2">
      <c r="A24" s="216" t="s">
        <v>22</v>
      </c>
      <c r="B24" s="217" t="s">
        <v>23</v>
      </c>
      <c r="C24" s="218">
        <v>1168485.46</v>
      </c>
      <c r="D24" s="218">
        <v>1063556.79</v>
      </c>
      <c r="E24" s="218">
        <f t="shared" si="0"/>
        <v>2232042.25</v>
      </c>
      <c r="F24" s="219">
        <f>'Revenue Offset'!G23</f>
        <v>0.66134355642338016</v>
      </c>
      <c r="H24" s="35">
        <f t="shared" si="1"/>
        <v>755895.49029775662</v>
      </c>
    </row>
    <row r="25" spans="1:8" ht="15" customHeight="1" x14ac:dyDescent="0.2">
      <c r="A25" s="216" t="s">
        <v>24</v>
      </c>
      <c r="B25" s="217" t="s">
        <v>137</v>
      </c>
      <c r="C25" s="218">
        <v>10187.530000000001</v>
      </c>
      <c r="D25" s="218">
        <v>260396.85</v>
      </c>
      <c r="E25" s="218">
        <f t="shared" si="0"/>
        <v>270584.38</v>
      </c>
      <c r="F25" s="219">
        <f>'Revenue Offset'!G24</f>
        <v>0.42545911482131288</v>
      </c>
      <c r="H25" s="35">
        <f t="shared" si="1"/>
        <v>155461.78920072623</v>
      </c>
    </row>
    <row r="26" spans="1:8" ht="15" customHeight="1" x14ac:dyDescent="0.2">
      <c r="A26" s="216" t="s">
        <v>27</v>
      </c>
      <c r="B26" s="217" t="s">
        <v>132</v>
      </c>
      <c r="C26" s="218"/>
      <c r="D26" s="218">
        <v>15632.24</v>
      </c>
      <c r="E26" s="218">
        <f t="shared" si="0"/>
        <v>15632.24</v>
      </c>
      <c r="F26" s="219">
        <f>'Revenue Offset'!G25</f>
        <v>0.55595636800180659</v>
      </c>
      <c r="H26" s="35">
        <f t="shared" si="1"/>
        <v>6941.3966258674391</v>
      </c>
    </row>
    <row r="27" spans="1:8" ht="15" customHeight="1" x14ac:dyDescent="0.2">
      <c r="A27" s="216" t="s">
        <v>29</v>
      </c>
      <c r="B27" s="217" t="s">
        <v>133</v>
      </c>
      <c r="C27" s="218"/>
      <c r="D27" s="218"/>
      <c r="E27" s="218">
        <f t="shared" si="0"/>
        <v>0</v>
      </c>
      <c r="F27" s="219">
        <f>'Revenue Offset'!G26</f>
        <v>0.49544415081137827</v>
      </c>
      <c r="H27" s="35">
        <f t="shared" si="1"/>
        <v>0</v>
      </c>
    </row>
    <row r="28" spans="1:8" ht="15" customHeight="1" x14ac:dyDescent="0.2">
      <c r="A28" s="216" t="s">
        <v>31</v>
      </c>
      <c r="B28" s="217" t="s">
        <v>134</v>
      </c>
      <c r="C28" s="218">
        <v>23522.33</v>
      </c>
      <c r="D28" s="218">
        <v>86855.47</v>
      </c>
      <c r="E28" s="218">
        <f t="shared" si="0"/>
        <v>110377.8</v>
      </c>
      <c r="F28" s="219">
        <f>'Revenue Offset'!G27</f>
        <v>0.41650737324311699</v>
      </c>
      <c r="H28" s="35">
        <f t="shared" si="1"/>
        <v>64404.632457645879</v>
      </c>
    </row>
    <row r="29" spans="1:8" ht="15" customHeight="1" x14ac:dyDescent="0.2">
      <c r="A29" s="216" t="s">
        <v>33</v>
      </c>
      <c r="B29" s="217" t="s">
        <v>130</v>
      </c>
      <c r="C29" s="218"/>
      <c r="D29" s="218"/>
      <c r="E29" s="218">
        <f t="shared" si="0"/>
        <v>0</v>
      </c>
      <c r="F29" s="219">
        <f>'Revenue Offset'!G28</f>
        <v>0.35453374531279624</v>
      </c>
      <c r="H29" s="35">
        <f t="shared" si="1"/>
        <v>0</v>
      </c>
    </row>
    <row r="30" spans="1:8" ht="15" customHeight="1" x14ac:dyDescent="0.2">
      <c r="A30" s="216" t="s">
        <v>35</v>
      </c>
      <c r="B30" s="217" t="s">
        <v>36</v>
      </c>
      <c r="C30" s="218"/>
      <c r="D30" s="218"/>
      <c r="E30" s="218">
        <f t="shared" si="0"/>
        <v>0</v>
      </c>
      <c r="F30" s="219">
        <f>'Revenue Offset'!G29</f>
        <v>0.45508372100356775</v>
      </c>
      <c r="H30" s="35">
        <f t="shared" si="1"/>
        <v>0</v>
      </c>
    </row>
    <row r="31" spans="1:8" ht="15" customHeight="1" x14ac:dyDescent="0.2">
      <c r="A31" s="216" t="s">
        <v>37</v>
      </c>
      <c r="B31" s="217" t="s">
        <v>131</v>
      </c>
      <c r="C31" s="218"/>
      <c r="D31" s="218"/>
      <c r="E31" s="218">
        <f t="shared" si="0"/>
        <v>0</v>
      </c>
      <c r="F31" s="219">
        <f>'Revenue Offset'!G30</f>
        <v>0.492761862387736</v>
      </c>
      <c r="H31" s="35">
        <f t="shared" si="1"/>
        <v>0</v>
      </c>
    </row>
    <row r="32" spans="1:8" ht="15" customHeight="1" x14ac:dyDescent="0.2">
      <c r="A32" s="216" t="s">
        <v>39</v>
      </c>
      <c r="B32" s="217" t="s">
        <v>135</v>
      </c>
      <c r="C32" s="218"/>
      <c r="D32" s="218">
        <v>389793.47</v>
      </c>
      <c r="E32" s="218">
        <f t="shared" si="0"/>
        <v>389793.47</v>
      </c>
      <c r="F32" s="219">
        <f>'Revenue Offset'!G31</f>
        <v>0.49778841675834068</v>
      </c>
      <c r="H32" s="35">
        <f t="shared" si="1"/>
        <v>195758.79570596025</v>
      </c>
    </row>
    <row r="33" spans="1:9" ht="15" customHeight="1" x14ac:dyDescent="0.2">
      <c r="A33" s="216" t="s">
        <v>46</v>
      </c>
      <c r="B33" s="217" t="s">
        <v>70</v>
      </c>
      <c r="C33" s="218"/>
      <c r="D33" s="218"/>
      <c r="E33" s="218">
        <f t="shared" si="0"/>
        <v>0</v>
      </c>
      <c r="F33" s="219">
        <f>'Revenue Offset'!G32</f>
        <v>0.47232029341697507</v>
      </c>
      <c r="H33" s="35">
        <f t="shared" si="1"/>
        <v>0</v>
      </c>
    </row>
    <row r="34" spans="1:9" ht="15" customHeight="1" x14ac:dyDescent="0.2">
      <c r="A34" s="216" t="s">
        <v>41</v>
      </c>
      <c r="B34" s="217" t="s">
        <v>117</v>
      </c>
      <c r="C34" s="218"/>
      <c r="D34" s="218">
        <v>23621.22</v>
      </c>
      <c r="E34" s="218">
        <f t="shared" si="0"/>
        <v>23621.22</v>
      </c>
      <c r="F34" s="219">
        <f>'Revenue Offset'!G33</f>
        <v>0.44181013257687313</v>
      </c>
      <c r="H34" s="35">
        <f t="shared" si="1"/>
        <v>13185.125660172514</v>
      </c>
    </row>
    <row r="35" spans="1:9" ht="15" customHeight="1" x14ac:dyDescent="0.2">
      <c r="A35" s="216" t="s">
        <v>42</v>
      </c>
      <c r="B35" s="217" t="s">
        <v>69</v>
      </c>
      <c r="C35" s="218">
        <v>130184.45</v>
      </c>
      <c r="D35" s="218">
        <v>136855.62</v>
      </c>
      <c r="E35" s="218">
        <f t="shared" si="0"/>
        <v>267040.07</v>
      </c>
      <c r="F35" s="219">
        <f>'Revenue Offset'!G34</f>
        <v>0.51531567434129255</v>
      </c>
      <c r="H35" s="35">
        <f t="shared" si="1"/>
        <v>129430.13625180404</v>
      </c>
    </row>
    <row r="36" spans="1:9" ht="15" customHeight="1" x14ac:dyDescent="0.2">
      <c r="A36" s="216" t="s">
        <v>43</v>
      </c>
      <c r="B36" s="217" t="s">
        <v>44</v>
      </c>
      <c r="C36" s="218">
        <v>987583.29</v>
      </c>
      <c r="D36" s="218">
        <v>1300916.33</v>
      </c>
      <c r="E36" s="218">
        <f t="shared" si="0"/>
        <v>2288499.62</v>
      </c>
      <c r="F36" s="219">
        <f>'Revenue Offset'!G35</f>
        <v>0.5556467377489458</v>
      </c>
      <c r="H36" s="35">
        <f t="shared" si="1"/>
        <v>1016902.2718072979</v>
      </c>
    </row>
    <row r="37" spans="1:9" ht="15" customHeight="1" x14ac:dyDescent="0.2">
      <c r="A37" s="216" t="s">
        <v>45</v>
      </c>
      <c r="B37" s="217" t="s">
        <v>136</v>
      </c>
      <c r="C37" s="218"/>
      <c r="D37" s="218"/>
      <c r="E37" s="218">
        <f t="shared" si="0"/>
        <v>0</v>
      </c>
      <c r="F37" s="219">
        <f>'Revenue Offset'!G36</f>
        <v>0.49510073758441531</v>
      </c>
      <c r="H37" s="35">
        <f t="shared" si="1"/>
        <v>0</v>
      </c>
    </row>
    <row r="38" spans="1:9" ht="15" customHeight="1" x14ac:dyDescent="0.2">
      <c r="A38" s="216" t="s">
        <v>47</v>
      </c>
      <c r="B38" s="217" t="s">
        <v>48</v>
      </c>
      <c r="C38" s="218">
        <v>49592.58</v>
      </c>
      <c r="D38" s="218">
        <v>211100.04</v>
      </c>
      <c r="E38" s="218">
        <f t="shared" si="0"/>
        <v>260692.62</v>
      </c>
      <c r="F38" s="219">
        <f>'Revenue Offset'!G37</f>
        <v>0.59625389616347579</v>
      </c>
      <c r="H38" s="35">
        <f t="shared" si="1"/>
        <v>105253.62962393554</v>
      </c>
    </row>
    <row r="39" spans="1:9" ht="15" customHeight="1" x14ac:dyDescent="0.2">
      <c r="D39" s="11"/>
      <c r="F39" s="11"/>
      <c r="G39" s="15"/>
      <c r="I39" s="6"/>
    </row>
    <row r="40" spans="1:9" ht="15" customHeight="1" x14ac:dyDescent="0.2">
      <c r="B40" t="s">
        <v>49</v>
      </c>
      <c r="C40" s="224">
        <f>SUM(C9:C39)</f>
        <v>2813039.77</v>
      </c>
      <c r="D40" s="224">
        <f>SUM(D9:D39)</f>
        <v>4847106.3400000008</v>
      </c>
      <c r="E40" s="224">
        <f>SUM(E9:E39)</f>
        <v>7660146.1099999994</v>
      </c>
      <c r="F40" s="225">
        <f>'[1]Revenue Offset (2)'!G40</f>
        <v>0.58953142624222721</v>
      </c>
      <c r="H40" s="224">
        <f>SUM(H9:H39)</f>
        <v>3320812.0589037407</v>
      </c>
    </row>
    <row r="42" spans="1:9" ht="15" customHeight="1" x14ac:dyDescent="0.2">
      <c r="A42" s="16" t="s">
        <v>312</v>
      </c>
      <c r="D42" s="490"/>
    </row>
    <row r="43" spans="1:9" ht="15" customHeight="1" x14ac:dyDescent="0.2">
      <c r="A43" s="16"/>
    </row>
    <row r="44" spans="1:9" ht="15" customHeight="1" x14ac:dyDescent="0.2">
      <c r="A44" s="16"/>
    </row>
  </sheetData>
  <phoneticPr fontId="11" type="noConversion"/>
  <pageMargins left="0.75" right="0.53" top="0.47" bottom="0.28999999999999998" header="0.5" footer="0.28999999999999998"/>
  <pageSetup scale="1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39997558519241921"/>
    <pageSetUpPr fitToPage="1"/>
  </sheetPr>
  <dimension ref="A1:H47"/>
  <sheetViews>
    <sheetView zoomScale="90" zoomScaleNormal="90" workbookViewId="0">
      <selection activeCell="I1" sqref="I1:Q1048576"/>
    </sheetView>
  </sheetViews>
  <sheetFormatPr defaultColWidth="9.140625" defaultRowHeight="12.75" x14ac:dyDescent="0.2"/>
  <cols>
    <col min="1" max="1" width="6" style="237" customWidth="1"/>
    <col min="2" max="2" width="31.85546875" style="227" customWidth="1"/>
    <col min="3" max="3" width="14.7109375" style="228" customWidth="1"/>
    <col min="4" max="4" width="11.5703125" style="229" bestFit="1" customWidth="1"/>
    <col min="5" max="5" width="14.7109375" style="229" customWidth="1"/>
    <col min="6" max="6" width="15.140625" style="227" customWidth="1"/>
    <col min="7" max="7" width="13.5703125" style="230" customWidth="1"/>
    <col min="8" max="8" width="2.42578125" style="230" customWidth="1"/>
    <col min="9" max="16384" width="9.140625" style="227"/>
  </cols>
  <sheetData>
    <row r="1" spans="1:8" ht="15.75" x14ac:dyDescent="0.25">
      <c r="A1" s="226" t="s">
        <v>254</v>
      </c>
      <c r="G1" s="444" t="s">
        <v>288</v>
      </c>
    </row>
    <row r="2" spans="1:8" x14ac:dyDescent="0.2">
      <c r="A2" s="231" t="s">
        <v>93</v>
      </c>
    </row>
    <row r="3" spans="1:8" x14ac:dyDescent="0.2">
      <c r="A3" s="231" t="s">
        <v>309</v>
      </c>
    </row>
    <row r="4" spans="1:8" s="233" customFormat="1" ht="12.75" customHeight="1" x14ac:dyDescent="0.2">
      <c r="A4" s="232" t="s">
        <v>158</v>
      </c>
      <c r="C4" s="234"/>
      <c r="D4" s="235"/>
      <c r="E4" s="235" t="s">
        <v>94</v>
      </c>
      <c r="G4" s="236" t="s">
        <v>159</v>
      </c>
      <c r="H4" s="236"/>
    </row>
    <row r="5" spans="1:8" x14ac:dyDescent="0.2">
      <c r="C5" s="234" t="s">
        <v>79</v>
      </c>
      <c r="D5" s="235" t="s">
        <v>74</v>
      </c>
      <c r="E5" s="235" t="s">
        <v>160</v>
      </c>
      <c r="F5" s="233" t="s">
        <v>76</v>
      </c>
      <c r="G5" s="236" t="s">
        <v>77</v>
      </c>
      <c r="H5" s="236"/>
    </row>
    <row r="6" spans="1:8" s="244" customFormat="1" ht="47.25" x14ac:dyDescent="0.25">
      <c r="A6" s="238" t="s">
        <v>0</v>
      </c>
      <c r="B6" s="238" t="s">
        <v>1</v>
      </c>
      <c r="C6" s="239" t="s">
        <v>310</v>
      </c>
      <c r="D6" s="240" t="s">
        <v>95</v>
      </c>
      <c r="E6" s="240" t="s">
        <v>96</v>
      </c>
      <c r="F6" s="241" t="s">
        <v>311</v>
      </c>
      <c r="G6" s="243" t="s">
        <v>119</v>
      </c>
      <c r="H6" s="242"/>
    </row>
    <row r="7" spans="1:8" s="244" customFormat="1" x14ac:dyDescent="0.2">
      <c r="A7" s="122"/>
      <c r="B7" s="122"/>
      <c r="C7" s="204"/>
      <c r="D7" s="246"/>
      <c r="E7" s="246"/>
      <c r="G7" s="247"/>
      <c r="H7" s="247"/>
    </row>
    <row r="8" spans="1:8" x14ac:dyDescent="0.2">
      <c r="A8" s="248" t="s">
        <v>2</v>
      </c>
      <c r="B8" s="249" t="s">
        <v>128</v>
      </c>
      <c r="C8" s="250">
        <v>23344970.620000001</v>
      </c>
      <c r="D8" s="478">
        <v>777217.77</v>
      </c>
      <c r="E8" s="251">
        <f t="shared" ref="E8:E37" si="0">C8-D8</f>
        <v>22567752.850000001</v>
      </c>
      <c r="F8" s="479">
        <v>12185843.470000001</v>
      </c>
      <c r="G8" s="400">
        <f>(E8-F8)/E8</f>
        <v>0.46003292614045088</v>
      </c>
      <c r="H8" s="252"/>
    </row>
    <row r="9" spans="1:8" x14ac:dyDescent="0.2">
      <c r="A9" s="248" t="s">
        <v>4</v>
      </c>
      <c r="B9" s="249" t="s">
        <v>124</v>
      </c>
      <c r="C9" s="250">
        <v>67280002.519999996</v>
      </c>
      <c r="D9" s="478">
        <v>572465.25</v>
      </c>
      <c r="E9" s="251">
        <f t="shared" si="0"/>
        <v>66707537.269999996</v>
      </c>
      <c r="F9" s="479">
        <v>33505370.780000001</v>
      </c>
      <c r="G9" s="400">
        <f t="shared" ref="G9:G37" si="1">(E9-F9)/E9</f>
        <v>0.49772736108685306</v>
      </c>
      <c r="H9" s="252"/>
    </row>
    <row r="10" spans="1:8" x14ac:dyDescent="0.2">
      <c r="A10" s="248" t="s">
        <v>5</v>
      </c>
      <c r="B10" s="249" t="s">
        <v>113</v>
      </c>
      <c r="C10" s="253">
        <v>66203115.109999999</v>
      </c>
      <c r="D10" s="478">
        <v>2033554.41</v>
      </c>
      <c r="E10" s="251">
        <f t="shared" si="0"/>
        <v>64169560.700000003</v>
      </c>
      <c r="F10" s="479">
        <v>27541380.309999999</v>
      </c>
      <c r="G10" s="400">
        <f t="shared" si="1"/>
        <v>0.57080304104372648</v>
      </c>
      <c r="H10" s="252"/>
    </row>
    <row r="11" spans="1:8" x14ac:dyDescent="0.2">
      <c r="A11" s="248" t="s">
        <v>6</v>
      </c>
      <c r="B11" s="249" t="s">
        <v>7</v>
      </c>
      <c r="C11" s="250">
        <v>29072251.859999999</v>
      </c>
      <c r="D11" s="478">
        <v>913836.05</v>
      </c>
      <c r="E11" s="251">
        <f t="shared" si="0"/>
        <v>28158415.809999999</v>
      </c>
      <c r="F11" s="479">
        <v>15910181.43</v>
      </c>
      <c r="G11" s="400">
        <f t="shared" si="1"/>
        <v>0.43497597530505389</v>
      </c>
      <c r="H11" s="252"/>
    </row>
    <row r="12" spans="1:8" x14ac:dyDescent="0.2">
      <c r="A12" s="248" t="s">
        <v>8</v>
      </c>
      <c r="B12" s="249" t="s">
        <v>9</v>
      </c>
      <c r="C12" s="250">
        <v>60370004.57</v>
      </c>
      <c r="D12" s="478">
        <v>342480.21</v>
      </c>
      <c r="E12" s="251">
        <f t="shared" si="0"/>
        <v>60027524.359999999</v>
      </c>
      <c r="F12" s="479">
        <v>30037746.920000002</v>
      </c>
      <c r="G12" s="400">
        <f t="shared" si="1"/>
        <v>0.4996004376283093</v>
      </c>
      <c r="H12" s="252"/>
    </row>
    <row r="13" spans="1:8" x14ac:dyDescent="0.2">
      <c r="A13" s="248" t="s">
        <v>10</v>
      </c>
      <c r="B13" s="3" t="s">
        <v>146</v>
      </c>
      <c r="C13" s="250">
        <v>54891733.740000002</v>
      </c>
      <c r="D13" s="478">
        <v>1827465.27</v>
      </c>
      <c r="E13" s="251">
        <f t="shared" si="0"/>
        <v>53064268.469999999</v>
      </c>
      <c r="F13" s="479">
        <v>27062864.059999999</v>
      </c>
      <c r="G13" s="400">
        <f t="shared" si="1"/>
        <v>0.48999835783470663</v>
      </c>
      <c r="H13" s="252"/>
    </row>
    <row r="14" spans="1:8" x14ac:dyDescent="0.2">
      <c r="A14" s="248" t="s">
        <v>12</v>
      </c>
      <c r="B14" s="249" t="s">
        <v>13</v>
      </c>
      <c r="C14" s="250">
        <v>9511146.4000000004</v>
      </c>
      <c r="D14" s="478">
        <v>8968.5</v>
      </c>
      <c r="E14" s="251">
        <f t="shared" si="0"/>
        <v>9502177.9000000004</v>
      </c>
      <c r="F14" s="479">
        <v>6336511.9500000002</v>
      </c>
      <c r="G14" s="400">
        <f t="shared" si="1"/>
        <v>0.33315161885150563</v>
      </c>
      <c r="H14" s="252"/>
    </row>
    <row r="15" spans="1:8" x14ac:dyDescent="0.2">
      <c r="A15" s="248" t="s">
        <v>14</v>
      </c>
      <c r="B15" s="249" t="s">
        <v>139</v>
      </c>
      <c r="C15" s="250">
        <v>39313994.560000002</v>
      </c>
      <c r="D15" s="478">
        <v>1280072.95</v>
      </c>
      <c r="E15" s="251">
        <f t="shared" si="0"/>
        <v>38033921.609999999</v>
      </c>
      <c r="F15" s="479">
        <v>22087555.649999999</v>
      </c>
      <c r="G15" s="400">
        <f t="shared" si="1"/>
        <v>0.41926694079864041</v>
      </c>
      <c r="H15" s="252"/>
    </row>
    <row r="16" spans="1:8" x14ac:dyDescent="0.2">
      <c r="A16" s="248" t="s">
        <v>16</v>
      </c>
      <c r="B16" s="249" t="s">
        <v>17</v>
      </c>
      <c r="C16" s="250">
        <v>34146434.829999998</v>
      </c>
      <c r="D16" s="478">
        <v>2574224.89</v>
      </c>
      <c r="E16" s="251">
        <f t="shared" si="0"/>
        <v>31572209.939999998</v>
      </c>
      <c r="F16" s="479">
        <v>17880756.199999999</v>
      </c>
      <c r="G16" s="400">
        <f t="shared" si="1"/>
        <v>0.4336552229324242</v>
      </c>
      <c r="H16" s="252"/>
    </row>
    <row r="17" spans="1:8" x14ac:dyDescent="0.2">
      <c r="A17" s="248" t="s">
        <v>18</v>
      </c>
      <c r="B17" s="249" t="s">
        <v>140</v>
      </c>
      <c r="C17" s="250">
        <v>84017222</v>
      </c>
      <c r="D17" s="478">
        <v>276064.21000000002</v>
      </c>
      <c r="E17" s="251">
        <f t="shared" si="0"/>
        <v>83741157.790000007</v>
      </c>
      <c r="F17" s="479">
        <v>33453191.960000001</v>
      </c>
      <c r="G17" s="400">
        <f t="shared" si="1"/>
        <v>0.6005167250745268</v>
      </c>
      <c r="H17" s="252"/>
    </row>
    <row r="18" spans="1:8" x14ac:dyDescent="0.2">
      <c r="A18" s="248" t="s">
        <v>19</v>
      </c>
      <c r="B18" s="249" t="s">
        <v>20</v>
      </c>
      <c r="C18" s="250">
        <v>48563715.399999999</v>
      </c>
      <c r="D18" s="478">
        <v>33119.24</v>
      </c>
      <c r="E18" s="251">
        <f t="shared" si="0"/>
        <v>48530596.159999996</v>
      </c>
      <c r="F18" s="479">
        <v>26635536.260000002</v>
      </c>
      <c r="G18" s="400">
        <f t="shared" si="1"/>
        <v>0.4511599203894881</v>
      </c>
      <c r="H18" s="252"/>
    </row>
    <row r="19" spans="1:8" x14ac:dyDescent="0.2">
      <c r="A19" s="255" t="s">
        <v>118</v>
      </c>
      <c r="B19" s="249" t="s">
        <v>331</v>
      </c>
      <c r="C19" s="250">
        <v>38246235.740000002</v>
      </c>
      <c r="D19" s="478">
        <v>1121741.45</v>
      </c>
      <c r="E19" s="251">
        <f>C19-D19</f>
        <v>37124494.289999999</v>
      </c>
      <c r="F19" s="479">
        <v>22331979.870000001</v>
      </c>
      <c r="G19" s="400">
        <f>(E19-F19)/E19</f>
        <v>0.39845699457742023</v>
      </c>
      <c r="H19" s="252"/>
    </row>
    <row r="20" spans="1:8" x14ac:dyDescent="0.2">
      <c r="A20" s="248" t="s">
        <v>21</v>
      </c>
      <c r="B20" s="254" t="s">
        <v>177</v>
      </c>
      <c r="C20" s="250">
        <v>15954362.619999999</v>
      </c>
      <c r="D20" s="478">
        <v>451801.62</v>
      </c>
      <c r="E20" s="251">
        <f t="shared" si="0"/>
        <v>15502561</v>
      </c>
      <c r="F20" s="479">
        <v>9398038.5</v>
      </c>
      <c r="G20" s="400">
        <f>(E20-F20)/E20</f>
        <v>0.39377509948195011</v>
      </c>
      <c r="H20" s="252"/>
    </row>
    <row r="21" spans="1:8" x14ac:dyDescent="0.2">
      <c r="A21" s="255" t="s">
        <v>109</v>
      </c>
      <c r="B21" s="249" t="s">
        <v>141</v>
      </c>
      <c r="C21" s="250">
        <v>41974910.039999999</v>
      </c>
      <c r="D21" s="478">
        <v>498106.48</v>
      </c>
      <c r="E21" s="251">
        <f>C21-D21</f>
        <v>41476803.560000002</v>
      </c>
      <c r="F21" s="479">
        <v>23063598.440000001</v>
      </c>
      <c r="G21" s="400">
        <f t="shared" si="1"/>
        <v>0.44393982996697445</v>
      </c>
      <c r="H21" s="252"/>
    </row>
    <row r="22" spans="1:8" x14ac:dyDescent="0.2">
      <c r="A22" s="248" t="s">
        <v>26</v>
      </c>
      <c r="B22" s="249" t="s">
        <v>62</v>
      </c>
      <c r="C22" s="250">
        <v>75109812.290000007</v>
      </c>
      <c r="D22" s="478">
        <v>194070.87</v>
      </c>
      <c r="E22" s="251">
        <f t="shared" si="0"/>
        <v>74915741.420000002</v>
      </c>
      <c r="F22" s="479">
        <v>30628598.420000002</v>
      </c>
      <c r="G22" s="400">
        <f t="shared" si="1"/>
        <v>0.59115937666174934</v>
      </c>
      <c r="H22" s="252"/>
    </row>
    <row r="23" spans="1:8" x14ac:dyDescent="0.2">
      <c r="A23" s="248" t="s">
        <v>22</v>
      </c>
      <c r="B23" s="249" t="s">
        <v>23</v>
      </c>
      <c r="C23" s="250">
        <v>198803739.88</v>
      </c>
      <c r="D23" s="478">
        <v>9419161.3300000001</v>
      </c>
      <c r="E23" s="251">
        <f t="shared" si="0"/>
        <v>189384578.54999998</v>
      </c>
      <c r="F23" s="479">
        <v>64136307.840000004</v>
      </c>
      <c r="G23" s="400">
        <f t="shared" si="1"/>
        <v>0.66134355642338016</v>
      </c>
      <c r="H23" s="252"/>
    </row>
    <row r="24" spans="1:8" x14ac:dyDescent="0.2">
      <c r="A24" s="248" t="s">
        <v>24</v>
      </c>
      <c r="B24" s="249" t="s">
        <v>137</v>
      </c>
      <c r="C24" s="250">
        <v>25610842.739999998</v>
      </c>
      <c r="D24" s="478">
        <v>291774.48</v>
      </c>
      <c r="E24" s="251">
        <f t="shared" si="0"/>
        <v>25319068.259999998</v>
      </c>
      <c r="F24" s="479">
        <v>14546839.890000001</v>
      </c>
      <c r="G24" s="400">
        <f t="shared" si="1"/>
        <v>0.42545911482131288</v>
      </c>
      <c r="H24" s="252"/>
    </row>
    <row r="25" spans="1:8" x14ac:dyDescent="0.2">
      <c r="A25" s="248" t="s">
        <v>27</v>
      </c>
      <c r="B25" s="249" t="s">
        <v>132</v>
      </c>
      <c r="C25" s="250">
        <v>69178356.099999994</v>
      </c>
      <c r="D25" s="478">
        <v>101220.86</v>
      </c>
      <c r="E25" s="251">
        <f t="shared" si="0"/>
        <v>69077135.239999995</v>
      </c>
      <c r="F25" s="479">
        <v>30673262.02</v>
      </c>
      <c r="G25" s="400">
        <f t="shared" si="1"/>
        <v>0.55595636800180659</v>
      </c>
      <c r="H25" s="252"/>
    </row>
    <row r="26" spans="1:8" x14ac:dyDescent="0.2">
      <c r="A26" s="248" t="s">
        <v>29</v>
      </c>
      <c r="B26" s="249" t="s">
        <v>133</v>
      </c>
      <c r="C26" s="250">
        <v>42303821.57</v>
      </c>
      <c r="D26" s="478">
        <v>170056.37</v>
      </c>
      <c r="E26" s="251">
        <f t="shared" si="0"/>
        <v>42133765.200000003</v>
      </c>
      <c r="F26" s="479">
        <v>21258837.68</v>
      </c>
      <c r="G26" s="400">
        <f t="shared" si="1"/>
        <v>0.49544415081137827</v>
      </c>
      <c r="H26" s="252"/>
    </row>
    <row r="27" spans="1:8" ht="13.5" customHeight="1" x14ac:dyDescent="0.2">
      <c r="A27" s="256" t="s">
        <v>110</v>
      </c>
      <c r="B27" s="249" t="s">
        <v>134</v>
      </c>
      <c r="C27" s="250">
        <v>24596177.34</v>
      </c>
      <c r="D27" s="478">
        <v>462726.54</v>
      </c>
      <c r="E27" s="251">
        <f t="shared" si="0"/>
        <v>24133450.800000001</v>
      </c>
      <c r="F27" s="479">
        <v>14081690.6</v>
      </c>
      <c r="G27" s="400">
        <f t="shared" si="1"/>
        <v>0.41650737324311699</v>
      </c>
      <c r="H27" s="252"/>
    </row>
    <row r="28" spans="1:8" x14ac:dyDescent="0.2">
      <c r="A28" s="248" t="s">
        <v>33</v>
      </c>
      <c r="B28" s="249" t="s">
        <v>130</v>
      </c>
      <c r="C28" s="250">
        <v>8824542.4000000004</v>
      </c>
      <c r="D28" s="478">
        <v>84019.33</v>
      </c>
      <c r="E28" s="251">
        <f t="shared" si="0"/>
        <v>8740523.0700000003</v>
      </c>
      <c r="F28" s="479">
        <v>5641712.6900000004</v>
      </c>
      <c r="G28" s="400">
        <f>(E28-F28)/E28</f>
        <v>0.35453374531279624</v>
      </c>
      <c r="H28" s="252"/>
    </row>
    <row r="29" spans="1:8" x14ac:dyDescent="0.2">
      <c r="A29" s="248" t="s">
        <v>35</v>
      </c>
      <c r="B29" s="249" t="s">
        <v>36</v>
      </c>
      <c r="C29" s="250">
        <v>32097027.260000002</v>
      </c>
      <c r="D29" s="478">
        <v>928868.27</v>
      </c>
      <c r="E29" s="251">
        <f t="shared" si="0"/>
        <v>31168158.990000002</v>
      </c>
      <c r="F29" s="479">
        <v>16984037.219999999</v>
      </c>
      <c r="G29" s="400">
        <f t="shared" si="1"/>
        <v>0.45508372100356775</v>
      </c>
      <c r="H29" s="252"/>
    </row>
    <row r="30" spans="1:8" x14ac:dyDescent="0.2">
      <c r="A30" s="248" t="s">
        <v>37</v>
      </c>
      <c r="B30" s="249" t="s">
        <v>131</v>
      </c>
      <c r="C30" s="250">
        <v>27146638.5</v>
      </c>
      <c r="D30" s="478">
        <v>1077252.27</v>
      </c>
      <c r="E30" s="251">
        <f t="shared" si="0"/>
        <v>26069386.23</v>
      </c>
      <c r="F30" s="479">
        <v>13223386.92</v>
      </c>
      <c r="G30" s="400">
        <f t="shared" si="1"/>
        <v>0.492761862387736</v>
      </c>
      <c r="H30" s="252"/>
    </row>
    <row r="31" spans="1:8" x14ac:dyDescent="0.2">
      <c r="A31" s="248" t="s">
        <v>39</v>
      </c>
      <c r="B31" s="249" t="s">
        <v>135</v>
      </c>
      <c r="C31" s="250">
        <v>42311618.869999997</v>
      </c>
      <c r="D31" s="478">
        <v>1178776.44</v>
      </c>
      <c r="E31" s="251">
        <f t="shared" si="0"/>
        <v>41132842.43</v>
      </c>
      <c r="F31" s="479">
        <v>20657389.920000002</v>
      </c>
      <c r="G31" s="400">
        <f t="shared" si="1"/>
        <v>0.49778841675834068</v>
      </c>
      <c r="H31" s="252"/>
    </row>
    <row r="32" spans="1:8" x14ac:dyDescent="0.2">
      <c r="A32" s="248" t="s">
        <v>46</v>
      </c>
      <c r="B32" s="249" t="s">
        <v>70</v>
      </c>
      <c r="C32" s="250">
        <v>44940548.369999997</v>
      </c>
      <c r="D32" s="478">
        <v>527303.37</v>
      </c>
      <c r="E32" s="251">
        <f t="shared" si="0"/>
        <v>44413245</v>
      </c>
      <c r="F32" s="479">
        <v>23435968.09</v>
      </c>
      <c r="G32" s="400">
        <f t="shared" si="1"/>
        <v>0.47232029341697507</v>
      </c>
      <c r="H32" s="252"/>
    </row>
    <row r="33" spans="1:8" x14ac:dyDescent="0.2">
      <c r="A33" s="248" t="s">
        <v>41</v>
      </c>
      <c r="B33" s="249" t="s">
        <v>117</v>
      </c>
      <c r="C33" s="250">
        <v>27355174.649999999</v>
      </c>
      <c r="D33" s="478">
        <v>531009.05000000005</v>
      </c>
      <c r="E33" s="251">
        <f>C33-D33</f>
        <v>26824165.599999998</v>
      </c>
      <c r="F33" s="479">
        <v>14972977.439999999</v>
      </c>
      <c r="G33" s="400">
        <f t="shared" si="1"/>
        <v>0.44181013257687313</v>
      </c>
      <c r="H33" s="252"/>
    </row>
    <row r="34" spans="1:8" x14ac:dyDescent="0.2">
      <c r="A34" s="248" t="s">
        <v>42</v>
      </c>
      <c r="B34" s="249" t="s">
        <v>69</v>
      </c>
      <c r="C34" s="250">
        <v>43091237.619999997</v>
      </c>
      <c r="D34" s="478">
        <v>792107.62</v>
      </c>
      <c r="E34" s="251">
        <f t="shared" si="0"/>
        <v>42299130</v>
      </c>
      <c r="F34" s="479">
        <v>20501725.300000001</v>
      </c>
      <c r="G34" s="400">
        <f t="shared" si="1"/>
        <v>0.51531567434129255</v>
      </c>
      <c r="H34" s="252"/>
    </row>
    <row r="35" spans="1:8" x14ac:dyDescent="0.2">
      <c r="A35" s="248" t="s">
        <v>43</v>
      </c>
      <c r="B35" s="249" t="s">
        <v>44</v>
      </c>
      <c r="C35" s="250">
        <v>135953127.06</v>
      </c>
      <c r="D35" s="478">
        <v>1510917.46</v>
      </c>
      <c r="E35" s="251">
        <f t="shared" si="0"/>
        <v>134442209.59999999</v>
      </c>
      <c r="F35" s="479">
        <v>59739834.420000002</v>
      </c>
      <c r="G35" s="400">
        <f t="shared" si="1"/>
        <v>0.5556467377489458</v>
      </c>
      <c r="H35" s="252"/>
    </row>
    <row r="36" spans="1:8" x14ac:dyDescent="0.2">
      <c r="A36" s="248" t="s">
        <v>45</v>
      </c>
      <c r="B36" s="249" t="s">
        <v>136</v>
      </c>
      <c r="C36" s="250">
        <v>34393524.140000001</v>
      </c>
      <c r="D36" s="478">
        <v>116369.59</v>
      </c>
      <c r="E36" s="251">
        <f t="shared" si="0"/>
        <v>34277154.549999997</v>
      </c>
      <c r="F36" s="479">
        <v>17306510.050000001</v>
      </c>
      <c r="G36" s="400">
        <f t="shared" si="1"/>
        <v>0.49510073758441531</v>
      </c>
      <c r="H36" s="252"/>
    </row>
    <row r="37" spans="1:8" x14ac:dyDescent="0.2">
      <c r="A37" s="248" t="s">
        <v>47</v>
      </c>
      <c r="B37" s="249" t="s">
        <v>48</v>
      </c>
      <c r="C37" s="250">
        <v>98001647.200000003</v>
      </c>
      <c r="D37" s="478">
        <v>274016.58</v>
      </c>
      <c r="E37" s="251">
        <f t="shared" si="0"/>
        <v>97727630.620000005</v>
      </c>
      <c r="F37" s="479">
        <v>39457150.100000001</v>
      </c>
      <c r="G37" s="400">
        <f t="shared" si="1"/>
        <v>0.59625389616347579</v>
      </c>
      <c r="H37" s="252"/>
    </row>
    <row r="38" spans="1:8" x14ac:dyDescent="0.2">
      <c r="C38" s="257"/>
      <c r="D38" s="258"/>
      <c r="E38" s="258"/>
      <c r="F38" s="259"/>
      <c r="G38" s="260"/>
      <c r="H38" s="260"/>
    </row>
    <row r="39" spans="1:8" x14ac:dyDescent="0.2">
      <c r="B39" s="227" t="s">
        <v>49</v>
      </c>
      <c r="C39" s="257">
        <f>SUM(C8:C38)</f>
        <v>1542607935.9999998</v>
      </c>
      <c r="D39" s="258">
        <f>SUM(D8:D38)</f>
        <v>30370768.73</v>
      </c>
      <c r="E39" s="258">
        <f>SUM(E8:E38)</f>
        <v>1512237167.27</v>
      </c>
      <c r="F39" s="258">
        <f>SUM(F8:F38)</f>
        <v>714676784.39999998</v>
      </c>
      <c r="G39" s="252">
        <f>(E39-F39)/E39</f>
        <v>0.52740429883085982</v>
      </c>
      <c r="H39" s="260"/>
    </row>
    <row r="40" spans="1:8" x14ac:dyDescent="0.2">
      <c r="A40" s="261" t="s">
        <v>125</v>
      </c>
      <c r="C40" s="257"/>
      <c r="D40" s="258"/>
      <c r="E40" s="258"/>
      <c r="F40" s="259"/>
      <c r="H40" s="260"/>
    </row>
    <row r="41" spans="1:8" x14ac:dyDescent="0.2">
      <c r="A41" s="262"/>
      <c r="C41" s="257"/>
      <c r="D41" s="258"/>
      <c r="E41" s="258"/>
      <c r="F41" s="259"/>
      <c r="H41" s="260"/>
    </row>
    <row r="42" spans="1:8" x14ac:dyDescent="0.2">
      <c r="A42" s="16" t="s">
        <v>312</v>
      </c>
      <c r="C42" s="257"/>
      <c r="D42" s="258"/>
      <c r="E42" s="258"/>
      <c r="F42" s="259"/>
      <c r="G42" s="260"/>
      <c r="H42" s="260"/>
    </row>
    <row r="43" spans="1:8" x14ac:dyDescent="0.2">
      <c r="A43" s="16"/>
      <c r="C43" s="257"/>
      <c r="D43" s="258"/>
      <c r="E43" s="258"/>
      <c r="F43" s="259"/>
      <c r="G43" s="260"/>
      <c r="H43" s="260"/>
    </row>
    <row r="44" spans="1:8" x14ac:dyDescent="0.2">
      <c r="A44" s="263"/>
      <c r="C44" s="257"/>
      <c r="D44" s="258"/>
      <c r="E44" s="258"/>
      <c r="F44" s="259"/>
      <c r="G44" s="260"/>
      <c r="H44" s="260"/>
    </row>
    <row r="45" spans="1:8" x14ac:dyDescent="0.2">
      <c r="C45" s="257"/>
      <c r="D45" s="257"/>
      <c r="E45" s="257"/>
      <c r="F45" s="259"/>
      <c r="G45" s="260"/>
      <c r="H45" s="260"/>
    </row>
    <row r="46" spans="1:8" x14ac:dyDescent="0.2">
      <c r="C46" s="257"/>
      <c r="D46" s="258"/>
      <c r="E46" s="258"/>
      <c r="F46" s="259"/>
      <c r="G46" s="260"/>
      <c r="H46" s="260"/>
    </row>
    <row r="47" spans="1:8" x14ac:dyDescent="0.2">
      <c r="C47" s="257"/>
      <c r="D47" s="258"/>
      <c r="E47" s="258"/>
      <c r="F47" s="259"/>
      <c r="G47" s="260"/>
      <c r="H47" s="260"/>
    </row>
  </sheetData>
  <pageMargins left="0.7" right="0.7" top="0.75" bottom="0.75" header="0.3" footer="0.3"/>
  <pageSetup scale="8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C15"/>
  <sheetViews>
    <sheetView workbookViewId="0">
      <selection activeCell="A35" sqref="A35"/>
    </sheetView>
  </sheetViews>
  <sheetFormatPr defaultRowHeight="12.75" x14ac:dyDescent="0.2"/>
  <cols>
    <col min="1" max="1" width="35.42578125" bestFit="1" customWidth="1"/>
    <col min="2" max="2" width="10.28515625" bestFit="1" customWidth="1"/>
    <col min="3" max="3" width="9.140625" style="392"/>
  </cols>
  <sheetData>
    <row r="2" spans="1:3" x14ac:dyDescent="0.2">
      <c r="A2" s="205" t="s">
        <v>257</v>
      </c>
    </row>
    <row r="4" spans="1:3" ht="38.25" x14ac:dyDescent="0.2">
      <c r="B4" s="394" t="s">
        <v>261</v>
      </c>
      <c r="C4" s="395" t="s">
        <v>262</v>
      </c>
    </row>
    <row r="5" spans="1:3" x14ac:dyDescent="0.2">
      <c r="A5" s="389" t="s">
        <v>214</v>
      </c>
      <c r="B5" s="11">
        <f>Summary!R42</f>
        <v>0</v>
      </c>
      <c r="C5" s="393">
        <f>Summary!S42</f>
        <v>0</v>
      </c>
    </row>
    <row r="6" spans="1:3" x14ac:dyDescent="0.2">
      <c r="A6" s="389" t="s">
        <v>207</v>
      </c>
      <c r="B6" s="11">
        <f>Summary!R43</f>
        <v>0</v>
      </c>
      <c r="C6" s="393">
        <f>Summary!S43</f>
        <v>0</v>
      </c>
    </row>
    <row r="7" spans="1:3" x14ac:dyDescent="0.2">
      <c r="A7" s="389"/>
    </row>
    <row r="8" spans="1:3" s="387" customFormat="1" x14ac:dyDescent="0.2">
      <c r="A8" s="388" t="s">
        <v>255</v>
      </c>
      <c r="B8" s="391">
        <f>Summary!R44</f>
        <v>0</v>
      </c>
      <c r="C8" s="393">
        <f>Summary!S44</f>
        <v>0</v>
      </c>
    </row>
    <row r="9" spans="1:3" x14ac:dyDescent="0.2">
      <c r="A9" s="389" t="s">
        <v>256</v>
      </c>
      <c r="B9" s="391">
        <f>Summary!R45</f>
        <v>0</v>
      </c>
      <c r="C9" s="393">
        <f>Summary!S45</f>
        <v>0</v>
      </c>
    </row>
    <row r="10" spans="1:3" x14ac:dyDescent="0.2">
      <c r="A10" s="389"/>
    </row>
    <row r="11" spans="1:3" x14ac:dyDescent="0.2">
      <c r="A11" s="390" t="s">
        <v>258</v>
      </c>
      <c r="B11" s="11">
        <f>Summary!R46</f>
        <v>0</v>
      </c>
      <c r="C11" s="393">
        <f>Summary!S46</f>
        <v>0</v>
      </c>
    </row>
    <row r="12" spans="1:3" x14ac:dyDescent="0.2">
      <c r="A12" s="390" t="s">
        <v>259</v>
      </c>
      <c r="B12" s="11">
        <f>Summary!R47</f>
        <v>0</v>
      </c>
      <c r="C12" s="393">
        <f>Summary!S47</f>
        <v>0</v>
      </c>
    </row>
    <row r="15" spans="1:3" x14ac:dyDescent="0.2">
      <c r="A15" s="205" t="s">
        <v>260</v>
      </c>
      <c r="B15" s="11">
        <f>Summary!R40</f>
        <v>0</v>
      </c>
      <c r="C15" s="393">
        <f>B15/Summary!O41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58"/>
  <sheetViews>
    <sheetView tabSelected="1" zoomScale="80" zoomScaleNormal="80" workbookViewId="0">
      <pane xSplit="3" ySplit="5" topLeftCell="D6" activePane="bottomRight" state="frozen"/>
      <selection activeCell="D23" sqref="D23"/>
      <selection pane="topRight" activeCell="D23" sqref="D23"/>
      <selection pane="bottomLeft" activeCell="D23" sqref="D23"/>
      <selection pane="bottomRight" activeCell="B1" sqref="B1:B2"/>
    </sheetView>
  </sheetViews>
  <sheetFormatPr defaultRowHeight="12.75" x14ac:dyDescent="0.2"/>
  <cols>
    <col min="1" max="1" width="4.7109375" hidden="1" customWidth="1"/>
    <col min="2" max="2" width="6.85546875" customWidth="1"/>
    <col min="3" max="3" width="32.140625" style="54" bestFit="1" customWidth="1"/>
    <col min="4" max="4" width="8" style="54" customWidth="1"/>
    <col min="5" max="5" width="12.85546875" style="54" customWidth="1"/>
    <col min="6" max="6" width="13.85546875" style="54" customWidth="1"/>
    <col min="7" max="7" width="10.7109375" style="54" customWidth="1"/>
    <col min="8" max="8" width="10.5703125" style="54" customWidth="1"/>
    <col min="9" max="9" width="15.5703125" style="54" customWidth="1"/>
    <col min="10" max="10" width="17" bestFit="1" customWidth="1"/>
    <col min="11" max="11" width="12.5703125" style="6" customWidth="1"/>
    <col min="12" max="12" width="13.140625" style="68" bestFit="1" customWidth="1"/>
    <col min="13" max="13" width="9" style="43" customWidth="1"/>
    <col min="14" max="14" width="12.5703125" customWidth="1"/>
    <col min="15" max="15" width="13.42578125" style="54" customWidth="1"/>
    <col min="16" max="16" width="14.28515625" style="54" customWidth="1"/>
    <col min="17" max="17" width="13.7109375" style="6" customWidth="1"/>
    <col min="18" max="18" width="13" bestFit="1" customWidth="1"/>
    <col min="19" max="19" width="8.28515625" customWidth="1"/>
    <col min="20" max="20" width="2.7109375" customWidth="1"/>
    <col min="21" max="21" width="13.42578125" customWidth="1"/>
    <col min="22" max="22" width="14.5703125" style="24" customWidth="1"/>
    <col min="23" max="23" width="13.42578125" customWidth="1"/>
    <col min="24" max="24" width="2.85546875" customWidth="1"/>
    <col min="26" max="26" width="11.5703125" bestFit="1" customWidth="1"/>
    <col min="28" max="28" width="9.42578125" customWidth="1"/>
  </cols>
  <sheetData>
    <row r="1" spans="1:28" s="15" customFormat="1" ht="15.75" x14ac:dyDescent="0.25">
      <c r="A1" s="194"/>
      <c r="B1" s="39"/>
      <c r="C1" s="58"/>
      <c r="D1" s="177"/>
      <c r="E1" s="91"/>
      <c r="F1" s="91"/>
      <c r="G1" s="91"/>
      <c r="H1" s="91"/>
      <c r="I1" s="47"/>
      <c r="J1" s="438"/>
      <c r="K1" s="22"/>
      <c r="L1" s="66"/>
      <c r="M1" s="49"/>
      <c r="O1" s="58"/>
      <c r="P1" s="88"/>
      <c r="Q1" s="28"/>
      <c r="R1" s="445"/>
      <c r="V1" s="212"/>
      <c r="W1" s="445"/>
    </row>
    <row r="2" spans="1:28" s="15" customFormat="1" ht="24.75" customHeight="1" x14ac:dyDescent="0.2">
      <c r="A2" s="194"/>
      <c r="B2" s="194"/>
      <c r="C2" s="91"/>
      <c r="D2" s="91"/>
      <c r="E2" s="91"/>
      <c r="F2" s="91"/>
      <c r="G2" s="91"/>
      <c r="H2" s="91"/>
      <c r="I2" s="47"/>
      <c r="J2" s="26" t="s">
        <v>148</v>
      </c>
      <c r="K2" s="25" t="s">
        <v>149</v>
      </c>
      <c r="L2" s="66"/>
      <c r="M2" s="44" t="s">
        <v>150</v>
      </c>
      <c r="N2" s="86" t="s">
        <v>151</v>
      </c>
      <c r="O2" s="86" t="s">
        <v>154</v>
      </c>
      <c r="P2" s="48" t="s">
        <v>153</v>
      </c>
      <c r="Q2" s="25" t="s">
        <v>155</v>
      </c>
      <c r="R2" s="26" t="s">
        <v>156</v>
      </c>
      <c r="S2" s="48" t="s">
        <v>157</v>
      </c>
      <c r="U2" s="203"/>
      <c r="V2" s="212"/>
      <c r="W2" s="203"/>
    </row>
    <row r="3" spans="1:28" s="15" customFormat="1" x14ac:dyDescent="0.2">
      <c r="A3" s="29"/>
      <c r="B3" s="19"/>
      <c r="C3" s="264"/>
      <c r="D3" s="178"/>
      <c r="E3" s="59" t="s">
        <v>52</v>
      </c>
      <c r="F3" s="59" t="s">
        <v>53</v>
      </c>
      <c r="G3" s="59" t="s">
        <v>55</v>
      </c>
      <c r="H3" s="59" t="s">
        <v>54</v>
      </c>
      <c r="I3" s="59" t="s">
        <v>56</v>
      </c>
      <c r="J3" s="14" t="s">
        <v>57</v>
      </c>
      <c r="K3" s="23" t="s">
        <v>58</v>
      </c>
      <c r="L3" s="67" t="s">
        <v>59</v>
      </c>
      <c r="M3" s="45" t="s">
        <v>51</v>
      </c>
      <c r="N3" s="14" t="s">
        <v>120</v>
      </c>
      <c r="O3" s="59" t="s">
        <v>60</v>
      </c>
      <c r="P3" s="59" t="s">
        <v>152</v>
      </c>
      <c r="Q3" s="23" t="s">
        <v>61</v>
      </c>
      <c r="R3" s="14" t="s">
        <v>64</v>
      </c>
      <c r="S3" s="47" t="s">
        <v>65</v>
      </c>
      <c r="U3" s="47" t="s">
        <v>115</v>
      </c>
      <c r="V3" s="47" t="s">
        <v>138</v>
      </c>
      <c r="W3" s="47" t="s">
        <v>269</v>
      </c>
    </row>
    <row r="4" spans="1:28" ht="92.25" customHeight="1" x14ac:dyDescent="0.2">
      <c r="B4" s="1" t="s">
        <v>0</v>
      </c>
      <c r="C4" s="142" t="s">
        <v>1</v>
      </c>
      <c r="D4" s="179" t="s">
        <v>313</v>
      </c>
      <c r="E4" s="60" t="s">
        <v>263</v>
      </c>
      <c r="F4" s="60" t="s">
        <v>266</v>
      </c>
      <c r="G4" s="60" t="s">
        <v>264</v>
      </c>
      <c r="H4" s="209" t="s">
        <v>265</v>
      </c>
      <c r="I4" s="60" t="s">
        <v>267</v>
      </c>
      <c r="J4" s="13" t="s">
        <v>67</v>
      </c>
      <c r="K4" s="20" t="s">
        <v>268</v>
      </c>
      <c r="L4" s="105" t="s">
        <v>301</v>
      </c>
      <c r="M4" s="40" t="s">
        <v>302</v>
      </c>
      <c r="N4" s="193" t="s">
        <v>335</v>
      </c>
      <c r="O4" s="60" t="s">
        <v>114</v>
      </c>
      <c r="P4" s="61" t="s">
        <v>320</v>
      </c>
      <c r="Q4" s="40" t="s">
        <v>321</v>
      </c>
      <c r="R4" s="31" t="s">
        <v>322</v>
      </c>
      <c r="S4" s="31" t="s">
        <v>333</v>
      </c>
      <c r="U4" s="174" t="s">
        <v>298</v>
      </c>
      <c r="V4" s="461" t="s">
        <v>327</v>
      </c>
      <c r="W4" s="401" t="s">
        <v>278</v>
      </c>
    </row>
    <row r="5" spans="1:28" x14ac:dyDescent="0.2">
      <c r="B5" s="2"/>
      <c r="C5" s="122"/>
      <c r="D5" s="180"/>
      <c r="N5" s="17"/>
      <c r="O5" s="52"/>
      <c r="P5" s="62"/>
      <c r="Q5" s="41"/>
      <c r="R5" s="27"/>
      <c r="U5" s="175"/>
      <c r="V5" s="398"/>
      <c r="W5" s="402"/>
    </row>
    <row r="6" spans="1:28" x14ac:dyDescent="0.2">
      <c r="A6">
        <v>1</v>
      </c>
      <c r="B6" s="10" t="s">
        <v>2</v>
      </c>
      <c r="C6" s="3" t="s">
        <v>128</v>
      </c>
      <c r="D6" s="494">
        <v>1690</v>
      </c>
      <c r="E6" s="92">
        <f>Instruction!M8</f>
        <v>6477348</v>
      </c>
      <c r="F6" s="92">
        <f>'Student&amp;Institutional Support'!S9</f>
        <v>4540515.7629979458</v>
      </c>
      <c r="G6" s="92">
        <f>Facilities!H9</f>
        <v>1307103.695362549</v>
      </c>
      <c r="H6" s="92">
        <f>'Student Success'!E7</f>
        <v>4000</v>
      </c>
      <c r="I6" s="92">
        <f>Research!H9</f>
        <v>19492.050012755579</v>
      </c>
      <c r="J6" s="8">
        <f t="shared" ref="J6:J35" si="0">SUM(E6:I6)</f>
        <v>12348459.508373251</v>
      </c>
      <c r="K6" s="9">
        <f t="shared" ref="K6:K35" si="1">+J6/$J$37</f>
        <v>1.6918307825115886E-2</v>
      </c>
      <c r="L6" s="69">
        <v>10468172.059413496</v>
      </c>
      <c r="M6" s="50">
        <v>1.747813086393047E-2</v>
      </c>
      <c r="N6" s="18">
        <f t="shared" ref="N6:N35" si="2">M6*$O$39</f>
        <v>5254526.3279723013</v>
      </c>
      <c r="O6" s="53">
        <f t="shared" ref="O6:O35" si="3">K6*$O$39</f>
        <v>5086224.2984613962</v>
      </c>
      <c r="P6" s="63">
        <f>N6+O6</f>
        <v>10340750.626433697</v>
      </c>
      <c r="Q6" s="42">
        <f t="shared" ref="Q6:Q35" si="4">P6/$P$37</f>
        <v>1.7198219344523175E-2</v>
      </c>
      <c r="R6" s="38">
        <f>P6-L6</f>
        <v>-127421.43297979981</v>
      </c>
      <c r="S6" s="46">
        <f t="shared" ref="S6:S35" si="5">R6/L6</f>
        <v>-1.2172271553868488E-2</v>
      </c>
      <c r="U6" s="208">
        <v>1050012</v>
      </c>
      <c r="V6" s="447">
        <v>147143</v>
      </c>
      <c r="W6" s="403">
        <f>158333.33</f>
        <v>158333.32999999999</v>
      </c>
      <c r="Z6" s="11"/>
      <c r="AA6" s="6"/>
      <c r="AB6" s="11"/>
    </row>
    <row r="7" spans="1:28" s="54" customFormat="1" x14ac:dyDescent="0.2">
      <c r="A7" s="54">
        <v>2</v>
      </c>
      <c r="B7" s="10" t="s">
        <v>4</v>
      </c>
      <c r="C7" s="3" t="s">
        <v>124</v>
      </c>
      <c r="D7" s="494">
        <v>6313</v>
      </c>
      <c r="E7" s="92">
        <f>Instruction!M9</f>
        <v>20360012</v>
      </c>
      <c r="F7" s="92">
        <f>'Student&amp;Institutional Support'!S10</f>
        <v>12207643.935245708</v>
      </c>
      <c r="G7" s="92">
        <f>Facilities!H10</f>
        <v>2202184.2489563576</v>
      </c>
      <c r="H7" s="92">
        <f>'Student Success'!E8</f>
        <v>103131.13303397992</v>
      </c>
      <c r="I7" s="92">
        <f>Research!H10</f>
        <v>0</v>
      </c>
      <c r="J7" s="92">
        <f>SUM(E7:I7)</f>
        <v>34872971.317236051</v>
      </c>
      <c r="K7" s="137">
        <f t="shared" si="1"/>
        <v>4.7778564048525617E-2</v>
      </c>
      <c r="L7" s="92">
        <v>27667280.30676657</v>
      </c>
      <c r="M7" s="50">
        <v>4.6194535503059519E-2</v>
      </c>
      <c r="N7" s="53">
        <f t="shared" si="2"/>
        <v>13887663.669471599</v>
      </c>
      <c r="O7" s="53">
        <f t="shared" si="3"/>
        <v>14363877.044986945</v>
      </c>
      <c r="P7" s="63">
        <f t="shared" ref="P7:P33" si="6">N7+O7</f>
        <v>28251540.714458544</v>
      </c>
      <c r="Q7" s="138">
        <f t="shared" si="4"/>
        <v>4.6986549775792558E-2</v>
      </c>
      <c r="R7" s="38">
        <f t="shared" ref="R7:R35" si="7">P7-L7</f>
        <v>584260.40769197419</v>
      </c>
      <c r="S7" s="139">
        <f t="shared" si="5"/>
        <v>2.1117377682730962E-2</v>
      </c>
      <c r="U7" s="208">
        <v>3855650</v>
      </c>
      <c r="V7" s="447">
        <f>462744+127031</f>
        <v>589775</v>
      </c>
      <c r="W7" s="403">
        <f t="shared" ref="W7:W8" si="8">158333.33</f>
        <v>158333.32999999999</v>
      </c>
      <c r="Z7" s="55"/>
      <c r="AA7" s="134"/>
      <c r="AB7" s="55"/>
    </row>
    <row r="8" spans="1:28" ht="12" customHeight="1" x14ac:dyDescent="0.2">
      <c r="A8">
        <v>4</v>
      </c>
      <c r="B8" s="10" t="s">
        <v>5</v>
      </c>
      <c r="C8" s="3" t="s">
        <v>113</v>
      </c>
      <c r="D8" s="494">
        <v>4265</v>
      </c>
      <c r="E8" s="92">
        <f>Instruction!M10</f>
        <v>15367924.5</v>
      </c>
      <c r="F8" s="92">
        <f>'Student&amp;Institutional Support'!S11</f>
        <v>10839321.744154807</v>
      </c>
      <c r="G8" s="92">
        <f>Facilities!H11</f>
        <v>2097522.0201608199</v>
      </c>
      <c r="H8" s="92">
        <f>'Student Success'!E9</f>
        <v>44000</v>
      </c>
      <c r="I8" s="92">
        <f>Research!H11</f>
        <v>14149.872642110164</v>
      </c>
      <c r="J8" s="8">
        <f t="shared" si="0"/>
        <v>28362918.136957739</v>
      </c>
      <c r="K8" s="9">
        <f t="shared" si="1"/>
        <v>3.8859307068564677E-2</v>
      </c>
      <c r="L8" s="69">
        <v>22857245.093796022</v>
      </c>
      <c r="M8" s="50">
        <v>3.8163484385895986E-2</v>
      </c>
      <c r="N8" s="18">
        <f t="shared" si="2"/>
        <v>11473253.921372402</v>
      </c>
      <c r="O8" s="53">
        <f t="shared" si="3"/>
        <v>11682442.113985622</v>
      </c>
      <c r="P8" s="63">
        <f t="shared" si="6"/>
        <v>23155696.035358027</v>
      </c>
      <c r="Q8" s="42">
        <f t="shared" si="4"/>
        <v>3.8511395727230328E-2</v>
      </c>
      <c r="R8" s="38">
        <f t="shared" si="7"/>
        <v>298450.94156200439</v>
      </c>
      <c r="S8" s="46">
        <f t="shared" si="5"/>
        <v>1.3057170290526866E-2</v>
      </c>
      <c r="U8" s="208">
        <v>1733142</v>
      </c>
      <c r="V8" s="447">
        <f>58339+227834</f>
        <v>286173</v>
      </c>
      <c r="W8" s="403">
        <f t="shared" si="8"/>
        <v>158333.32999999999</v>
      </c>
      <c r="Z8" s="11"/>
      <c r="AA8" s="6"/>
      <c r="AB8" s="11"/>
    </row>
    <row r="9" spans="1:28" x14ac:dyDescent="0.2">
      <c r="A9">
        <v>3</v>
      </c>
      <c r="B9" s="37" t="s">
        <v>6</v>
      </c>
      <c r="C9" s="3" t="s">
        <v>7</v>
      </c>
      <c r="D9" s="494">
        <v>2547</v>
      </c>
      <c r="E9" s="92">
        <f>Instruction!M11</f>
        <v>8807142</v>
      </c>
      <c r="F9" s="92">
        <f>'Student&amp;Institutional Support'!S12</f>
        <v>6345167.9775477089</v>
      </c>
      <c r="G9" s="92">
        <f>Facilities!H12</f>
        <v>1818334.8901921641</v>
      </c>
      <c r="H9" s="92">
        <f>'Student Success'!E10</f>
        <v>0</v>
      </c>
      <c r="I9" s="92">
        <f>Research!H12</f>
        <v>18470.810524725443</v>
      </c>
      <c r="J9" s="8">
        <f t="shared" si="0"/>
        <v>16989115.678264596</v>
      </c>
      <c r="K9" s="9">
        <f t="shared" si="1"/>
        <v>2.327635188231246E-2</v>
      </c>
      <c r="L9" s="69">
        <v>13404623.511623498</v>
      </c>
      <c r="M9" s="50">
        <v>2.2380962271936637E-2</v>
      </c>
      <c r="N9" s="18">
        <f t="shared" si="2"/>
        <v>6728485.8099980904</v>
      </c>
      <c r="O9" s="53">
        <f t="shared" si="3"/>
        <v>6997670.6741085881</v>
      </c>
      <c r="P9" s="63">
        <f t="shared" si="6"/>
        <v>13726156.484106679</v>
      </c>
      <c r="Q9" s="42">
        <f t="shared" si="4"/>
        <v>2.2828657077124545E-2</v>
      </c>
      <c r="R9" s="38">
        <f t="shared" si="7"/>
        <v>321532.97248318046</v>
      </c>
      <c r="S9" s="46">
        <f t="shared" si="5"/>
        <v>2.398672161171635E-2</v>
      </c>
      <c r="U9" s="208">
        <v>1202169</v>
      </c>
      <c r="V9" s="447">
        <v>245483</v>
      </c>
      <c r="W9" s="403">
        <f>158333.33*2</f>
        <v>316666.65999999997</v>
      </c>
      <c r="Z9" s="11"/>
      <c r="AA9" s="6"/>
      <c r="AB9" s="11"/>
    </row>
    <row r="10" spans="1:28" x14ac:dyDescent="0.2">
      <c r="A10">
        <v>3</v>
      </c>
      <c r="B10" s="37" t="s">
        <v>8</v>
      </c>
      <c r="C10" s="3" t="s">
        <v>9</v>
      </c>
      <c r="D10" s="494">
        <v>5558</v>
      </c>
      <c r="E10" s="92">
        <f>Instruction!M12</f>
        <v>18160967</v>
      </c>
      <c r="F10" s="92">
        <f>'Student&amp;Institutional Support'!S13</f>
        <v>10778475.061562251</v>
      </c>
      <c r="G10" s="92">
        <f>Facilities!H13</f>
        <v>1851270.7149568712</v>
      </c>
      <c r="H10" s="92">
        <f>'Student Success'!E11</f>
        <v>4000</v>
      </c>
      <c r="I10" s="92">
        <f>Research!H13</f>
        <v>31331.968158384803</v>
      </c>
      <c r="J10" s="8">
        <f t="shared" si="0"/>
        <v>30826044.74467751</v>
      </c>
      <c r="K10" s="9">
        <f t="shared" si="1"/>
        <v>4.2233973692638691E-2</v>
      </c>
      <c r="L10" s="69">
        <v>24648213.780428272</v>
      </c>
      <c r="M10" s="50">
        <v>4.1153766251774478E-2</v>
      </c>
      <c r="N10" s="18">
        <f t="shared" si="2"/>
        <v>12372235.33503961</v>
      </c>
      <c r="O10" s="53">
        <f t="shared" si="3"/>
        <v>12696982.785546809</v>
      </c>
      <c r="P10" s="63">
        <f t="shared" si="6"/>
        <v>25069218.120586418</v>
      </c>
      <c r="Q10" s="42">
        <f t="shared" si="4"/>
        <v>4.1693869972206574E-2</v>
      </c>
      <c r="R10" s="38">
        <f t="shared" si="7"/>
        <v>421004.34015814587</v>
      </c>
      <c r="S10" s="46">
        <f t="shared" si="5"/>
        <v>1.7080521286797715E-2</v>
      </c>
      <c r="U10" s="208">
        <v>3741244</v>
      </c>
      <c r="V10" s="447">
        <v>527573</v>
      </c>
      <c r="W10" s="403"/>
      <c r="Z10" s="11"/>
      <c r="AA10" s="6"/>
      <c r="AB10" s="11"/>
    </row>
    <row r="11" spans="1:28" s="54" customFormat="1" x14ac:dyDescent="0.2">
      <c r="A11" s="54">
        <v>1</v>
      </c>
      <c r="B11" s="37" t="s">
        <v>10</v>
      </c>
      <c r="C11" s="3" t="s">
        <v>146</v>
      </c>
      <c r="D11" s="494">
        <v>4439</v>
      </c>
      <c r="E11" s="92">
        <f>Instruction!M13</f>
        <v>15857024.5</v>
      </c>
      <c r="F11" s="92">
        <f>'Student&amp;Institutional Support'!S14</f>
        <v>9331836.3162358999</v>
      </c>
      <c r="G11" s="92">
        <f>Facilities!H14</f>
        <v>2231705.9859182639</v>
      </c>
      <c r="H11" s="92">
        <f>'Student Success'!E12</f>
        <v>275408.40614625392</v>
      </c>
      <c r="I11" s="92">
        <f>Research!H14</f>
        <v>270986.40945498762</v>
      </c>
      <c r="J11" s="92">
        <f t="shared" si="0"/>
        <v>27966961.617755406</v>
      </c>
      <c r="K11" s="137">
        <f t="shared" si="1"/>
        <v>3.8316817191776077E-2</v>
      </c>
      <c r="L11" s="92">
        <v>23457406.515929624</v>
      </c>
      <c r="M11" s="50">
        <v>3.9165540887833285E-2</v>
      </c>
      <c r="N11" s="53">
        <f t="shared" si="2"/>
        <v>11774506.515974004</v>
      </c>
      <c r="O11" s="53">
        <f t="shared" si="3"/>
        <v>11519351.028191846</v>
      </c>
      <c r="P11" s="63">
        <f t="shared" si="6"/>
        <v>23293857.54416585</v>
      </c>
      <c r="Q11" s="138">
        <f t="shared" si="4"/>
        <v>3.8741179039804674E-2</v>
      </c>
      <c r="R11" s="297">
        <f t="shared" si="7"/>
        <v>-163548.97176377475</v>
      </c>
      <c r="S11" s="139">
        <f t="shared" si="5"/>
        <v>-6.9721676883891977E-3</v>
      </c>
      <c r="U11" s="397">
        <f>1264765+1709691</f>
        <v>2974456</v>
      </c>
      <c r="V11" s="447">
        <f>184736+233739</f>
        <v>418475</v>
      </c>
      <c r="W11" s="404"/>
      <c r="Z11" s="55"/>
      <c r="AA11" s="134"/>
      <c r="AB11" s="55"/>
    </row>
    <row r="12" spans="1:28" x14ac:dyDescent="0.2">
      <c r="A12">
        <v>2</v>
      </c>
      <c r="B12" s="37" t="s">
        <v>12</v>
      </c>
      <c r="C12" s="3" t="s">
        <v>13</v>
      </c>
      <c r="D12" s="494">
        <v>786</v>
      </c>
      <c r="E12" s="92">
        <f>Instruction!M14</f>
        <v>2199435</v>
      </c>
      <c r="F12" s="92">
        <f>'Student&amp;Institutional Support'!S15</f>
        <v>3450436.1820677491</v>
      </c>
      <c r="G12" s="92">
        <f>Facilities!H15</f>
        <v>531951.62212596554</v>
      </c>
      <c r="H12" s="92">
        <f>'Student Success'!E13</f>
        <v>0</v>
      </c>
      <c r="I12" s="92">
        <f>Research!H15</f>
        <v>0</v>
      </c>
      <c r="J12" s="8">
        <f t="shared" si="0"/>
        <v>6181822.8041937146</v>
      </c>
      <c r="K12" s="9">
        <f t="shared" si="1"/>
        <v>8.4695569557281716E-3</v>
      </c>
      <c r="L12" s="69">
        <v>5378687.7636187207</v>
      </c>
      <c r="M12" s="50">
        <v>8.9804989901949139E-3</v>
      </c>
      <c r="N12" s="18">
        <f t="shared" si="2"/>
        <v>2699846.3822976649</v>
      </c>
      <c r="O12" s="53">
        <f t="shared" si="3"/>
        <v>2546239.6612429698</v>
      </c>
      <c r="P12" s="63">
        <f t="shared" si="6"/>
        <v>5246086.0435406342</v>
      </c>
      <c r="Q12" s="42">
        <f t="shared" si="4"/>
        <v>8.725027972961541E-3</v>
      </c>
      <c r="R12" s="38">
        <f t="shared" si="7"/>
        <v>-132601.72007808648</v>
      </c>
      <c r="S12" s="46">
        <f t="shared" si="5"/>
        <v>-2.4653173023911231E-2</v>
      </c>
      <c r="U12" s="208">
        <v>281371</v>
      </c>
      <c r="V12" s="447">
        <v>81796</v>
      </c>
      <c r="W12" s="403">
        <f>158333.33</f>
        <v>158333.32999999999</v>
      </c>
      <c r="Z12" s="11"/>
      <c r="AA12" s="6"/>
      <c r="AB12" s="11"/>
    </row>
    <row r="13" spans="1:28" x14ac:dyDescent="0.2">
      <c r="A13">
        <v>1</v>
      </c>
      <c r="B13" s="37" t="s">
        <v>14</v>
      </c>
      <c r="C13" s="3" t="s">
        <v>139</v>
      </c>
      <c r="D13" s="494">
        <v>2712</v>
      </c>
      <c r="E13" s="92">
        <f>Instruction!M15</f>
        <v>12379266</v>
      </c>
      <c r="F13" s="92">
        <f>'Student&amp;Institutional Support'!S16</f>
        <v>7424455.6412679926</v>
      </c>
      <c r="G13" s="92">
        <f>Facilities!H16</f>
        <v>2682757.3439518963</v>
      </c>
      <c r="H13" s="92">
        <f>'Student Success'!E14</f>
        <v>251811.74528748565</v>
      </c>
      <c r="I13" s="92">
        <f>Research!H16</f>
        <v>0</v>
      </c>
      <c r="J13" s="8">
        <f t="shared" si="0"/>
        <v>22738290.730507374</v>
      </c>
      <c r="K13" s="9">
        <f t="shared" si="1"/>
        <v>3.1153149243826714E-2</v>
      </c>
      <c r="L13" s="69">
        <v>19172256.176052123</v>
      </c>
      <c r="M13" s="50">
        <v>3.2010861160856073E-2</v>
      </c>
      <c r="N13" s="18">
        <f t="shared" si="2"/>
        <v>9623564.1019201688</v>
      </c>
      <c r="O13" s="53">
        <f t="shared" si="3"/>
        <v>9365706.4462627694</v>
      </c>
      <c r="P13" s="63">
        <f t="shared" si="6"/>
        <v>18989270.548182938</v>
      </c>
      <c r="Q13" s="42">
        <f t="shared" si="4"/>
        <v>3.158200520234139E-2</v>
      </c>
      <c r="R13" s="38">
        <f t="shared" si="7"/>
        <v>-182985.62786918506</v>
      </c>
      <c r="S13" s="46">
        <f t="shared" si="5"/>
        <v>-9.5442928671978945E-3</v>
      </c>
      <c r="U13" s="208">
        <v>1757501</v>
      </c>
      <c r="V13" s="447">
        <v>284858</v>
      </c>
      <c r="W13" s="403"/>
      <c r="Z13" s="11"/>
      <c r="AA13" s="6"/>
      <c r="AB13" s="11"/>
    </row>
    <row r="14" spans="1:28" x14ac:dyDescent="0.2">
      <c r="A14">
        <v>3</v>
      </c>
      <c r="B14" s="37" t="s">
        <v>16</v>
      </c>
      <c r="C14" s="3" t="s">
        <v>17</v>
      </c>
      <c r="D14" s="494">
        <v>2775</v>
      </c>
      <c r="E14" s="92">
        <f>Instruction!M16</f>
        <v>10079697.5</v>
      </c>
      <c r="F14" s="92">
        <f>'Student&amp;Institutional Support'!S17</f>
        <v>6927927.9537948892</v>
      </c>
      <c r="G14" s="92">
        <f>Facilities!H17</f>
        <v>1130044.724026246</v>
      </c>
      <c r="H14" s="92">
        <f>'Student Success'!E15</f>
        <v>0</v>
      </c>
      <c r="I14" s="92">
        <f>Research!H17</f>
        <v>2732.7664624408617</v>
      </c>
      <c r="J14" s="8">
        <f t="shared" si="0"/>
        <v>18140402.944283579</v>
      </c>
      <c r="K14" s="9">
        <f t="shared" si="1"/>
        <v>2.4853701052744422E-2</v>
      </c>
      <c r="L14" s="69">
        <v>15039120.23839258</v>
      </c>
      <c r="M14" s="50">
        <v>2.5109991516488107E-2</v>
      </c>
      <c r="N14" s="18">
        <f t="shared" si="2"/>
        <v>7548925.7144100051</v>
      </c>
      <c r="O14" s="53">
        <f t="shared" si="3"/>
        <v>7471876.0001222743</v>
      </c>
      <c r="P14" s="63">
        <f t="shared" si="6"/>
        <v>15020801.714532278</v>
      </c>
      <c r="Q14" s="42">
        <f t="shared" si="4"/>
        <v>2.498184628461626E-2</v>
      </c>
      <c r="R14" s="38">
        <f t="shared" si="7"/>
        <v>-18318.523860301822</v>
      </c>
      <c r="S14" s="46">
        <f t="shared" si="5"/>
        <v>-1.2180582088530301E-3</v>
      </c>
      <c r="U14" s="208">
        <v>1612392</v>
      </c>
      <c r="V14" s="447">
        <v>232174</v>
      </c>
      <c r="W14" s="403">
        <f>158333.33</f>
        <v>158333.32999999999</v>
      </c>
      <c r="Z14" s="11"/>
      <c r="AA14" s="6"/>
      <c r="AB14" s="11"/>
    </row>
    <row r="15" spans="1:28" x14ac:dyDescent="0.2">
      <c r="A15">
        <v>4</v>
      </c>
      <c r="B15" s="37" t="s">
        <v>18</v>
      </c>
      <c r="C15" s="3" t="s">
        <v>140</v>
      </c>
      <c r="D15" s="494">
        <v>5757</v>
      </c>
      <c r="E15" s="92">
        <f>Instruction!M17</f>
        <v>21159285</v>
      </c>
      <c r="F15" s="92">
        <f>'Student&amp;Institutional Support'!S18</f>
        <v>13045895.792315368</v>
      </c>
      <c r="G15" s="92">
        <f>Facilities!H18</f>
        <v>771769.72849402018</v>
      </c>
      <c r="H15" s="92">
        <f>'Student Success'!E16</f>
        <v>0</v>
      </c>
      <c r="I15" s="92">
        <f>Research!H18</f>
        <v>135652.0203330183</v>
      </c>
      <c r="J15" s="8">
        <f t="shared" si="0"/>
        <v>35112602.541142404</v>
      </c>
      <c r="K15" s="9">
        <f t="shared" si="1"/>
        <v>4.8106876645559113E-2</v>
      </c>
      <c r="L15" s="69">
        <v>28505995.787188567</v>
      </c>
      <c r="M15" s="50">
        <v>4.7594892589398939E-2</v>
      </c>
      <c r="N15" s="18">
        <f t="shared" si="2"/>
        <v>14308659.097187394</v>
      </c>
      <c r="O15" s="53">
        <f t="shared" si="3"/>
        <v>14462579.08574564</v>
      </c>
      <c r="P15" s="63">
        <f t="shared" si="6"/>
        <v>28771238.182933033</v>
      </c>
      <c r="Q15" s="42">
        <f t="shared" si="4"/>
        <v>4.7850884617479016E-2</v>
      </c>
      <c r="R15" s="38">
        <f t="shared" si="7"/>
        <v>265242.39574446529</v>
      </c>
      <c r="S15" s="46">
        <f t="shared" si="5"/>
        <v>9.3047931994599195E-3</v>
      </c>
      <c r="U15" s="208">
        <v>2070828</v>
      </c>
      <c r="V15" s="447">
        <v>450956</v>
      </c>
      <c r="W15" s="403"/>
      <c r="Z15" s="11"/>
      <c r="AA15" s="6"/>
      <c r="AB15" s="11"/>
    </row>
    <row r="16" spans="1:28" x14ac:dyDescent="0.2">
      <c r="A16">
        <v>3</v>
      </c>
      <c r="B16" s="37" t="s">
        <v>19</v>
      </c>
      <c r="C16" s="3" t="s">
        <v>20</v>
      </c>
      <c r="D16" s="494">
        <v>4219</v>
      </c>
      <c r="E16" s="92">
        <f>Instruction!M18</f>
        <v>14448620.5</v>
      </c>
      <c r="F16" s="92">
        <f>'Student&amp;Institutional Support'!S19</f>
        <v>9419939.8053578883</v>
      </c>
      <c r="G16" s="92">
        <f>Facilities!H19</f>
        <v>2709140.4937670403</v>
      </c>
      <c r="H16" s="92">
        <f>'Student Success'!E17</f>
        <v>0</v>
      </c>
      <c r="I16" s="92">
        <f>Research!H19</f>
        <v>44212.597454338633</v>
      </c>
      <c r="J16" s="8">
        <f t="shared" si="0"/>
        <v>26621913.396579269</v>
      </c>
      <c r="K16" s="9">
        <f t="shared" si="1"/>
        <v>3.6474001103659816E-2</v>
      </c>
      <c r="L16" s="69">
        <v>21745638.198431768</v>
      </c>
      <c r="M16" s="50">
        <v>3.630749552020357E-2</v>
      </c>
      <c r="N16" s="18">
        <f t="shared" si="2"/>
        <v>10915279.934615608</v>
      </c>
      <c r="O16" s="53">
        <f t="shared" si="3"/>
        <v>10965337.23072104</v>
      </c>
      <c r="P16" s="63">
        <f t="shared" si="6"/>
        <v>21880617.165336646</v>
      </c>
      <c r="Q16" s="42">
        <f t="shared" si="4"/>
        <v>3.6390748311931682E-2</v>
      </c>
      <c r="R16" s="38">
        <f t="shared" si="7"/>
        <v>134978.96690487862</v>
      </c>
      <c r="S16" s="46">
        <f t="shared" si="5"/>
        <v>6.2071743157491189E-3</v>
      </c>
      <c r="U16" s="208">
        <v>2775114</v>
      </c>
      <c r="V16" s="447">
        <v>480329</v>
      </c>
      <c r="W16" s="403"/>
      <c r="Z16" s="11"/>
      <c r="AA16" s="6"/>
      <c r="AB16" s="11"/>
    </row>
    <row r="17" spans="1:28" ht="12.75" customHeight="1" x14ac:dyDescent="0.2">
      <c r="A17">
        <v>3</v>
      </c>
      <c r="B17" s="37" t="s">
        <v>118</v>
      </c>
      <c r="C17" s="3" t="s">
        <v>331</v>
      </c>
      <c r="D17" s="495">
        <v>2669</v>
      </c>
      <c r="E17" s="92">
        <f>Instruction!M19</f>
        <v>10237962</v>
      </c>
      <c r="F17" s="92">
        <f>'Student&amp;Institutional Support'!S20</f>
        <v>7707780.7338653635</v>
      </c>
      <c r="G17" s="92">
        <f>Facilities!H20</f>
        <v>2998388.1028138218</v>
      </c>
      <c r="H17" s="92">
        <f>'Student Success'!E18</f>
        <v>104997.23280896331</v>
      </c>
      <c r="I17" s="92">
        <f>Research!H20</f>
        <v>162352.16214649557</v>
      </c>
      <c r="J17" s="8">
        <f>SUM(E17:I17)</f>
        <v>21211480.231634643</v>
      </c>
      <c r="K17" s="9">
        <f t="shared" si="1"/>
        <v>2.906130531843407E-2</v>
      </c>
      <c r="L17" s="69">
        <v>17953907.014025737</v>
      </c>
      <c r="M17" s="50">
        <v>2.9976650606138622E-2</v>
      </c>
      <c r="N17" s="18">
        <f t="shared" si="2"/>
        <v>9012010.5553987585</v>
      </c>
      <c r="O17" s="53">
        <f t="shared" si="3"/>
        <v>8736826.3294152636</v>
      </c>
      <c r="P17" s="63">
        <f>N17+O17</f>
        <v>17748836.884814024</v>
      </c>
      <c r="Q17" s="42">
        <f t="shared" si="4"/>
        <v>2.9518977962286343E-2</v>
      </c>
      <c r="R17" s="38">
        <f>P17-L17</f>
        <v>-205070.12921171263</v>
      </c>
      <c r="S17" s="46">
        <f>R17/L17</f>
        <v>-1.1422033602575205E-2</v>
      </c>
      <c r="U17" s="208">
        <v>1660187</v>
      </c>
      <c r="V17" s="447">
        <v>283245</v>
      </c>
      <c r="W17" s="403">
        <f>158333.33*6</f>
        <v>949999.98</v>
      </c>
      <c r="Z17" s="11"/>
      <c r="AA17" s="6"/>
      <c r="AB17" s="11"/>
    </row>
    <row r="18" spans="1:28" ht="12" customHeight="1" x14ac:dyDescent="0.2">
      <c r="A18">
        <v>1</v>
      </c>
      <c r="B18" s="37" t="s">
        <v>21</v>
      </c>
      <c r="C18" s="121" t="s">
        <v>177</v>
      </c>
      <c r="D18" s="494">
        <v>1110</v>
      </c>
      <c r="E18" s="92">
        <f>Instruction!M20</f>
        <v>4700092</v>
      </c>
      <c r="F18" s="92">
        <f>'Student&amp;Institutional Support'!S21</f>
        <v>4064998.1299216859</v>
      </c>
      <c r="G18" s="92">
        <f>Facilities!H21</f>
        <v>891329.44010718621</v>
      </c>
      <c r="H18" s="92">
        <f>'Student Success'!E19</f>
        <v>0</v>
      </c>
      <c r="I18" s="92">
        <f>Research!H21</f>
        <v>7415.6157843420197</v>
      </c>
      <c r="J18" s="8">
        <f t="shared" si="0"/>
        <v>9663835.1858132128</v>
      </c>
      <c r="K18" s="9">
        <f t="shared" si="1"/>
        <v>1.3240172859935333E-2</v>
      </c>
      <c r="L18" s="69">
        <v>7843543.4462305624</v>
      </c>
      <c r="M18" s="50">
        <v>1.3095932891823595E-2</v>
      </c>
      <c r="N18" s="18">
        <f t="shared" si="2"/>
        <v>3937087.1350697116</v>
      </c>
      <c r="O18" s="53">
        <f t="shared" si="3"/>
        <v>3980450.6226124847</v>
      </c>
      <c r="P18" s="63">
        <f t="shared" si="6"/>
        <v>7917537.7576821968</v>
      </c>
      <c r="Q18" s="42">
        <f t="shared" si="4"/>
        <v>1.3168052875879462E-2</v>
      </c>
      <c r="R18" s="38">
        <f t="shared" si="7"/>
        <v>73994.311451634392</v>
      </c>
      <c r="S18" s="46">
        <f t="shared" si="5"/>
        <v>9.4337861400123259E-3</v>
      </c>
      <c r="U18" s="208">
        <v>722523</v>
      </c>
      <c r="V18" s="447">
        <v>106142</v>
      </c>
      <c r="W18" s="403">
        <f>158333.33*2</f>
        <v>316666.65999999997</v>
      </c>
      <c r="Z18" s="11"/>
      <c r="AA18" s="6"/>
      <c r="AB18" s="11"/>
    </row>
    <row r="19" spans="1:28" ht="12" customHeight="1" x14ac:dyDescent="0.2">
      <c r="B19" s="37" t="s">
        <v>109</v>
      </c>
      <c r="C19" s="3" t="s">
        <v>141</v>
      </c>
      <c r="D19" s="494">
        <v>3433</v>
      </c>
      <c r="E19" s="92">
        <f>Instruction!M21</f>
        <v>12120319.5</v>
      </c>
      <c r="F19" s="92">
        <f>'Student&amp;Institutional Support'!S22</f>
        <v>8187412.3784872089</v>
      </c>
      <c r="G19" s="92">
        <f>Facilities!H22</f>
        <v>2101985.2911486411</v>
      </c>
      <c r="H19" s="92">
        <f>'Student Success'!E20</f>
        <v>0</v>
      </c>
      <c r="I19" s="92">
        <f>Research!H22</f>
        <v>28803.588732210406</v>
      </c>
      <c r="J19" s="8">
        <f t="shared" si="0"/>
        <v>22438520.758368056</v>
      </c>
      <c r="K19" s="9">
        <f t="shared" si="1"/>
        <v>3.0742442089469489E-2</v>
      </c>
      <c r="L19" s="69">
        <v>19088374.960856244</v>
      </c>
      <c r="M19" s="50">
        <v>3.1870809311507577E-2</v>
      </c>
      <c r="N19" s="18">
        <f t="shared" si="2"/>
        <v>9581459.7066955306</v>
      </c>
      <c r="O19" s="53">
        <f t="shared" si="3"/>
        <v>9242233.7721846607</v>
      </c>
      <c r="P19" s="63">
        <f t="shared" si="6"/>
        <v>18823693.478880189</v>
      </c>
      <c r="Q19" s="42">
        <f t="shared" si="4"/>
        <v>3.1306625700488526E-2</v>
      </c>
      <c r="R19" s="38">
        <f t="shared" si="7"/>
        <v>-264681.48197605461</v>
      </c>
      <c r="S19" s="46">
        <f t="shared" si="5"/>
        <v>-1.3866108692794761E-2</v>
      </c>
      <c r="U19" s="208">
        <v>1957219</v>
      </c>
      <c r="V19" s="447">
        <v>321552</v>
      </c>
      <c r="W19" s="403">
        <f>158333.33*4</f>
        <v>633333.31999999995</v>
      </c>
      <c r="Z19" s="11"/>
      <c r="AA19" s="6"/>
      <c r="AB19" s="11"/>
    </row>
    <row r="20" spans="1:28" x14ac:dyDescent="0.2">
      <c r="A20">
        <v>4</v>
      </c>
      <c r="B20" s="37" t="s">
        <v>26</v>
      </c>
      <c r="C20" s="3" t="s">
        <v>62</v>
      </c>
      <c r="D20" s="494">
        <v>4893</v>
      </c>
      <c r="E20" s="92">
        <f>Instruction!M22</f>
        <v>18546843.5</v>
      </c>
      <c r="F20" s="92">
        <f>'Student&amp;Institutional Support'!S23</f>
        <v>10695660.967338797</v>
      </c>
      <c r="G20" s="92">
        <f>Facilities!H23</f>
        <v>2347983.9650502736</v>
      </c>
      <c r="H20" s="92">
        <f>'Student Success'!E21</f>
        <v>0</v>
      </c>
      <c r="I20" s="92">
        <f>Research!H23</f>
        <v>141978.92956676462</v>
      </c>
      <c r="J20" s="8">
        <f t="shared" si="0"/>
        <v>31732467.361955833</v>
      </c>
      <c r="K20" s="9">
        <f t="shared" si="1"/>
        <v>4.3475840084828209E-2</v>
      </c>
      <c r="L20" s="69">
        <v>26625072.624519631</v>
      </c>
      <c r="M20" s="50">
        <v>4.4454418684734487E-2</v>
      </c>
      <c r="N20" s="18">
        <f t="shared" si="2"/>
        <v>13364524.799141612</v>
      </c>
      <c r="O20" s="53">
        <f t="shared" si="3"/>
        <v>13070330.468109952</v>
      </c>
      <c r="P20" s="63">
        <f t="shared" si="6"/>
        <v>26434855.267251566</v>
      </c>
      <c r="Q20" s="42">
        <f t="shared" si="4"/>
        <v>4.3965129384781344E-2</v>
      </c>
      <c r="R20" s="38">
        <f t="shared" si="7"/>
        <v>-190217.35726806521</v>
      </c>
      <c r="S20" s="46">
        <f t="shared" si="5"/>
        <v>-7.1442944006428642E-3</v>
      </c>
      <c r="U20" s="208">
        <v>1620566</v>
      </c>
      <c r="V20" s="447">
        <v>250761</v>
      </c>
      <c r="W20" s="403"/>
      <c r="Z20" s="11"/>
      <c r="AA20" s="6"/>
      <c r="AB20" s="11"/>
    </row>
    <row r="21" spans="1:28" x14ac:dyDescent="0.2">
      <c r="A21">
        <v>4</v>
      </c>
      <c r="B21" s="37" t="s">
        <v>22</v>
      </c>
      <c r="C21" s="3" t="s">
        <v>23</v>
      </c>
      <c r="D21" s="494">
        <v>13421</v>
      </c>
      <c r="E21" s="92">
        <f>Instruction!M23</f>
        <v>43888265</v>
      </c>
      <c r="F21" s="92">
        <f>'Student&amp;Institutional Support'!S24</f>
        <v>19190964.723290727</v>
      </c>
      <c r="G21" s="92">
        <f>Facilities!H24</f>
        <v>3063748.6473378749</v>
      </c>
      <c r="H21" s="92">
        <f>'Student Success'!E22</f>
        <v>0</v>
      </c>
      <c r="I21" s="92">
        <f>Research!H24</f>
        <v>755895.49029775662</v>
      </c>
      <c r="J21" s="8">
        <f t="shared" si="0"/>
        <v>66898873.86092636</v>
      </c>
      <c r="K21" s="9">
        <f t="shared" si="1"/>
        <v>9.1656432153766926E-2</v>
      </c>
      <c r="L21" s="69">
        <v>53531547.071594924</v>
      </c>
      <c r="M21" s="50">
        <v>8.9378678508118731E-2</v>
      </c>
      <c r="N21" s="18">
        <f t="shared" si="2"/>
        <v>26870299.978671119</v>
      </c>
      <c r="O21" s="53">
        <f t="shared" si="3"/>
        <v>27555070.941474281</v>
      </c>
      <c r="P21" s="63">
        <f t="shared" si="6"/>
        <v>54425370.9201454</v>
      </c>
      <c r="Q21" s="42">
        <f t="shared" si="4"/>
        <v>9.05175553309428E-2</v>
      </c>
      <c r="R21" s="38">
        <f t="shared" si="7"/>
        <v>893823.84855047613</v>
      </c>
      <c r="S21" s="46">
        <f t="shared" si="5"/>
        <v>1.6697142104917042E-2</v>
      </c>
      <c r="U21" s="208">
        <v>4731154</v>
      </c>
      <c r="V21" s="447">
        <v>711538</v>
      </c>
      <c r="W21" s="403"/>
      <c r="Z21" s="11"/>
      <c r="AA21" s="6"/>
      <c r="AB21" s="11"/>
    </row>
    <row r="22" spans="1:28" x14ac:dyDescent="0.2">
      <c r="A22">
        <v>3</v>
      </c>
      <c r="B22" s="37" t="s">
        <v>24</v>
      </c>
      <c r="C22" s="3" t="s">
        <v>137</v>
      </c>
      <c r="D22" s="494">
        <v>1837</v>
      </c>
      <c r="E22" s="92">
        <f>Instruction!M24</f>
        <v>7653446</v>
      </c>
      <c r="F22" s="92">
        <f>'Student&amp;Institutional Support'!S25</f>
        <v>5562761.6509747226</v>
      </c>
      <c r="G22" s="92">
        <f>Facilities!H25</f>
        <v>1713174.6295390867</v>
      </c>
      <c r="H22" s="92">
        <f>'Student Success'!E23</f>
        <v>4000</v>
      </c>
      <c r="I22" s="92">
        <f>Research!H25</f>
        <v>155461.78920072623</v>
      </c>
      <c r="J22" s="8">
        <f t="shared" si="0"/>
        <v>15088844.069714537</v>
      </c>
      <c r="K22" s="9">
        <f t="shared" si="1"/>
        <v>2.0672838464061531E-2</v>
      </c>
      <c r="L22" s="69">
        <v>12335040.207320169</v>
      </c>
      <c r="M22" s="50">
        <v>2.0595137883840348E-2</v>
      </c>
      <c r="N22" s="18">
        <f t="shared" si="2"/>
        <v>6191605.6746197706</v>
      </c>
      <c r="O22" s="53">
        <f t="shared" si="3"/>
        <v>6214965.1372333327</v>
      </c>
      <c r="P22" s="63">
        <f t="shared" si="6"/>
        <v>12406570.811853103</v>
      </c>
      <c r="Q22" s="42">
        <f t="shared" si="4"/>
        <v>2.0633988173950936E-2</v>
      </c>
      <c r="R22" s="38">
        <f t="shared" si="7"/>
        <v>71530.604532934725</v>
      </c>
      <c r="S22" s="46">
        <f t="shared" si="5"/>
        <v>5.7989761955121351E-3</v>
      </c>
      <c r="U22" s="208">
        <v>1157924</v>
      </c>
      <c r="V22" s="447">
        <v>204505</v>
      </c>
      <c r="W22" s="403">
        <f>158333.33*5</f>
        <v>791666.64999999991</v>
      </c>
      <c r="Z22" s="11"/>
      <c r="AA22" s="6"/>
      <c r="AB22" s="11"/>
    </row>
    <row r="23" spans="1:28" x14ac:dyDescent="0.2">
      <c r="A23">
        <v>2</v>
      </c>
      <c r="B23" s="37" t="s">
        <v>27</v>
      </c>
      <c r="C23" s="3" t="s">
        <v>132</v>
      </c>
      <c r="D23" s="494">
        <v>6565</v>
      </c>
      <c r="E23" s="92">
        <f>Instruction!M25</f>
        <v>18759239.5</v>
      </c>
      <c r="F23" s="92">
        <f>'Student&amp;Institutional Support'!S26</f>
        <v>11191276.431674886</v>
      </c>
      <c r="G23" s="92">
        <f>Facilities!H26</f>
        <v>1257080.8615324055</v>
      </c>
      <c r="H23" s="92">
        <f>'Student Success'!E24</f>
        <v>0</v>
      </c>
      <c r="I23" s="92">
        <f>Research!H26</f>
        <v>6941.3966258674391</v>
      </c>
      <c r="J23" s="8">
        <f t="shared" si="0"/>
        <v>31214538.18983316</v>
      </c>
      <c r="K23" s="9">
        <f t="shared" si="1"/>
        <v>4.2766238602988539E-2</v>
      </c>
      <c r="L23" s="69">
        <v>24525508.796862688</v>
      </c>
      <c r="M23" s="50">
        <v>4.0948892492703323E-2</v>
      </c>
      <c r="N23" s="18">
        <f t="shared" si="2"/>
        <v>12310643.247800373</v>
      </c>
      <c r="O23" s="53">
        <f t="shared" si="3"/>
        <v>12856999.895308862</v>
      </c>
      <c r="P23" s="63">
        <f t="shared" si="6"/>
        <v>25167643.143109232</v>
      </c>
      <c r="Q23" s="42">
        <f t="shared" si="4"/>
        <v>4.1857565547845921E-2</v>
      </c>
      <c r="R23" s="38">
        <f t="shared" si="7"/>
        <v>642134.34624654427</v>
      </c>
      <c r="S23" s="46">
        <f t="shared" si="5"/>
        <v>2.6182304781733473E-2</v>
      </c>
      <c r="U23" s="208">
        <v>4312774</v>
      </c>
      <c r="V23" s="447">
        <v>595631</v>
      </c>
      <c r="W23" s="403"/>
      <c r="Z23" s="11"/>
      <c r="AA23" s="6"/>
      <c r="AB23" s="11"/>
    </row>
    <row r="24" spans="1:28" ht="14.25" customHeight="1" x14ac:dyDescent="0.2">
      <c r="A24">
        <v>2</v>
      </c>
      <c r="B24" s="37" t="s">
        <v>29</v>
      </c>
      <c r="C24" s="3" t="s">
        <v>133</v>
      </c>
      <c r="D24" s="494">
        <v>3563</v>
      </c>
      <c r="E24" s="92">
        <f>Instruction!M26</f>
        <v>11820230.5</v>
      </c>
      <c r="F24" s="92">
        <f>'Student&amp;Institutional Support'!S27</f>
        <v>7867865.5721326042</v>
      </c>
      <c r="G24" s="92">
        <f>Facilities!H27</f>
        <v>1236323.2883838636</v>
      </c>
      <c r="H24" s="92">
        <f>'Student Success'!E25</f>
        <v>0</v>
      </c>
      <c r="I24" s="92">
        <f>Research!H27</f>
        <v>0</v>
      </c>
      <c r="J24" s="8">
        <f t="shared" si="0"/>
        <v>20924419.360516466</v>
      </c>
      <c r="K24" s="9">
        <f t="shared" si="1"/>
        <v>2.8668010577593717E-2</v>
      </c>
      <c r="L24" s="69">
        <v>17219669.864239518</v>
      </c>
      <c r="M24" s="50">
        <v>2.8750735239416816E-2</v>
      </c>
      <c r="N24" s="18">
        <f t="shared" si="2"/>
        <v>8643458.2988414485</v>
      </c>
      <c r="O24" s="53">
        <f t="shared" si="3"/>
        <v>8618588.4247738998</v>
      </c>
      <c r="P24" s="63">
        <f t="shared" si="6"/>
        <v>17262046.723615348</v>
      </c>
      <c r="Q24" s="42">
        <f t="shared" si="4"/>
        <v>2.8709372908505257E-2</v>
      </c>
      <c r="R24" s="38">
        <f t="shared" si="7"/>
        <v>42376.85937583074</v>
      </c>
      <c r="S24" s="46">
        <f t="shared" si="5"/>
        <v>2.4609565520089171E-3</v>
      </c>
      <c r="U24" s="208">
        <v>2403862</v>
      </c>
      <c r="V24" s="447">
        <v>331923</v>
      </c>
      <c r="W24" s="403"/>
      <c r="Z24" s="11"/>
      <c r="AA24" s="6"/>
      <c r="AB24" s="11"/>
    </row>
    <row r="25" spans="1:28" x14ac:dyDescent="0.2">
      <c r="A25">
        <v>3</v>
      </c>
      <c r="B25" s="37" t="s">
        <v>110</v>
      </c>
      <c r="C25" s="3" t="s">
        <v>134</v>
      </c>
      <c r="D25" s="494">
        <v>1763</v>
      </c>
      <c r="E25" s="92">
        <f>Instruction!M27</f>
        <v>7245521.5</v>
      </c>
      <c r="F25" s="92">
        <f>'Student&amp;Institutional Support'!S28</f>
        <v>5270156.8290544823</v>
      </c>
      <c r="G25" s="92">
        <f>Facilities!H28</f>
        <v>1462480.5070191203</v>
      </c>
      <c r="H25" s="92">
        <f>'Student Success'!E26</f>
        <v>44000</v>
      </c>
      <c r="I25" s="92">
        <f>Research!H28</f>
        <v>64404.632457645879</v>
      </c>
      <c r="J25" s="8">
        <f t="shared" si="0"/>
        <v>14086563.468531249</v>
      </c>
      <c r="K25" s="9">
        <f t="shared" si="1"/>
        <v>1.9299639505400902E-2</v>
      </c>
      <c r="L25" s="69">
        <v>11701831.221734699</v>
      </c>
      <c r="M25" s="50">
        <v>1.9537903683689118E-2</v>
      </c>
      <c r="N25" s="18">
        <f t="shared" si="2"/>
        <v>5873764.7691604951</v>
      </c>
      <c r="O25" s="53">
        <f t="shared" si="3"/>
        <v>5802134.3752943072</v>
      </c>
      <c r="P25" s="63">
        <f t="shared" si="6"/>
        <v>11675899.144454803</v>
      </c>
      <c r="Q25" s="42">
        <f t="shared" si="4"/>
        <v>1.9418771594545008E-2</v>
      </c>
      <c r="R25" s="38">
        <f t="shared" si="7"/>
        <v>-25932.077279895544</v>
      </c>
      <c r="S25" s="46">
        <f t="shared" si="5"/>
        <v>-2.2160700140444623E-3</v>
      </c>
      <c r="U25" s="208">
        <v>1149064</v>
      </c>
      <c r="V25" s="447">
        <v>160446</v>
      </c>
      <c r="W25" s="403">
        <f>158333.33*2</f>
        <v>316666.65999999997</v>
      </c>
      <c r="Z25" s="11"/>
      <c r="AA25" s="6"/>
      <c r="AB25" s="11"/>
    </row>
    <row r="26" spans="1:28" x14ac:dyDescent="0.2">
      <c r="A26">
        <v>1</v>
      </c>
      <c r="B26" s="37" t="s">
        <v>33</v>
      </c>
      <c r="C26" s="3" t="s">
        <v>130</v>
      </c>
      <c r="D26" s="494">
        <v>735</v>
      </c>
      <c r="E26" s="92">
        <f>Instruction!M28</f>
        <v>2664092</v>
      </c>
      <c r="F26" s="92">
        <f>'Student&amp;Institutional Support'!S29</f>
        <v>3457403.0162286991</v>
      </c>
      <c r="G26" s="92">
        <f>Facilities!H29</f>
        <v>362332.48206866183</v>
      </c>
      <c r="H26" s="92">
        <f>'Student Success'!E27</f>
        <v>0</v>
      </c>
      <c r="I26" s="92">
        <f>Research!H29</f>
        <v>0</v>
      </c>
      <c r="J26" s="8">
        <f t="shared" si="0"/>
        <v>6483827.4982973607</v>
      </c>
      <c r="K26" s="9">
        <f t="shared" si="1"/>
        <v>8.8833258453626125E-3</v>
      </c>
      <c r="L26" s="69">
        <v>5072141.8708518744</v>
      </c>
      <c r="M26" s="50">
        <v>8.4686761810960423E-3</v>
      </c>
      <c r="N26" s="18">
        <f t="shared" si="2"/>
        <v>2545974.870143191</v>
      </c>
      <c r="O26" s="53">
        <f t="shared" si="3"/>
        <v>2670632.7980838683</v>
      </c>
      <c r="P26" s="63">
        <f t="shared" si="6"/>
        <v>5216607.6682270598</v>
      </c>
      <c r="Q26" s="42">
        <f t="shared" si="4"/>
        <v>8.6760010132293265E-3</v>
      </c>
      <c r="R26" s="38">
        <f t="shared" si="7"/>
        <v>144465.79737518542</v>
      </c>
      <c r="S26" s="46">
        <f t="shared" si="5"/>
        <v>2.8482207527630168E-2</v>
      </c>
      <c r="U26" s="208">
        <v>365660</v>
      </c>
      <c r="V26" s="447">
        <v>103060</v>
      </c>
      <c r="W26" s="403">
        <f>158333.33</f>
        <v>158333.32999999999</v>
      </c>
      <c r="Z26" s="11"/>
      <c r="AA26" s="6"/>
      <c r="AB26" s="11"/>
    </row>
    <row r="27" spans="1:28" x14ac:dyDescent="0.2">
      <c r="A27">
        <v>3</v>
      </c>
      <c r="B27" s="37" t="s">
        <v>35</v>
      </c>
      <c r="C27" s="3" t="s">
        <v>36</v>
      </c>
      <c r="D27" s="494">
        <v>2356</v>
      </c>
      <c r="E27" s="92">
        <f>Instruction!M29</f>
        <v>9843637.5</v>
      </c>
      <c r="F27" s="92">
        <f>'Student&amp;Institutional Support'!S30</f>
        <v>5676532.9812863795</v>
      </c>
      <c r="G27" s="92">
        <f>Facilities!H30</f>
        <v>1860139.832889196</v>
      </c>
      <c r="H27" s="92">
        <f>'Student Success'!E28</f>
        <v>0</v>
      </c>
      <c r="I27" s="92">
        <f>Research!H30</f>
        <v>0</v>
      </c>
      <c r="J27" s="8">
        <f t="shared" si="0"/>
        <v>17380310.314175576</v>
      </c>
      <c r="K27" s="9">
        <f t="shared" si="1"/>
        <v>2.3812317624872355E-2</v>
      </c>
      <c r="L27" s="69">
        <v>14572784.822438778</v>
      </c>
      <c r="M27" s="50">
        <v>2.4331376933133364E-2</v>
      </c>
      <c r="N27" s="18">
        <f t="shared" si="2"/>
        <v>7314847.4334180849</v>
      </c>
      <c r="O27" s="53">
        <f t="shared" si="3"/>
        <v>7158800.381117709</v>
      </c>
      <c r="P27" s="63">
        <f t="shared" si="6"/>
        <v>14473647.814535793</v>
      </c>
      <c r="Q27" s="42">
        <f t="shared" si="4"/>
        <v>2.4071847279002852E-2</v>
      </c>
      <c r="R27" s="38">
        <f t="shared" si="7"/>
        <v>-99137.007902985439</v>
      </c>
      <c r="S27" s="46">
        <f t="shared" si="5"/>
        <v>-6.8028869643595481E-3</v>
      </c>
      <c r="U27" s="208">
        <v>1590010</v>
      </c>
      <c r="V27" s="447">
        <v>214770</v>
      </c>
      <c r="W27" s="403">
        <f>158333.33*2</f>
        <v>316666.65999999997</v>
      </c>
      <c r="Z27" s="11"/>
      <c r="AA27" s="6"/>
      <c r="AB27" s="11"/>
    </row>
    <row r="28" spans="1:28" x14ac:dyDescent="0.2">
      <c r="A28">
        <v>3</v>
      </c>
      <c r="B28" s="37" t="s">
        <v>37</v>
      </c>
      <c r="C28" s="3" t="s">
        <v>131</v>
      </c>
      <c r="D28" s="494">
        <v>2098</v>
      </c>
      <c r="E28" s="92">
        <f>Instruction!M30</f>
        <v>7159589</v>
      </c>
      <c r="F28" s="92">
        <f>'Student&amp;Institutional Support'!S31</f>
        <v>5161975.3093512245</v>
      </c>
      <c r="G28" s="92">
        <f>Facilities!H31</f>
        <v>1386464.435823858</v>
      </c>
      <c r="H28" s="92">
        <f>'Student Success'!E29</f>
        <v>149047.79000643457</v>
      </c>
      <c r="I28" s="92">
        <f>Research!H31</f>
        <v>0</v>
      </c>
      <c r="J28" s="8">
        <f t="shared" si="0"/>
        <v>13857076.535181517</v>
      </c>
      <c r="K28" s="9">
        <f t="shared" si="1"/>
        <v>1.8985225340814628E-2</v>
      </c>
      <c r="L28" s="69">
        <v>11125721.841157541</v>
      </c>
      <c r="M28" s="50">
        <v>1.857600555204629E-2</v>
      </c>
      <c r="N28" s="18">
        <f t="shared" si="2"/>
        <v>5584585.1596877696</v>
      </c>
      <c r="O28" s="53">
        <f t="shared" si="3"/>
        <v>5707610.6805944685</v>
      </c>
      <c r="P28" s="63">
        <f t="shared" si="6"/>
        <v>11292195.840282239</v>
      </c>
      <c r="Q28" s="42">
        <f t="shared" si="4"/>
        <v>1.8780615446430459E-2</v>
      </c>
      <c r="R28" s="38">
        <f t="shared" si="7"/>
        <v>166473.99912469834</v>
      </c>
      <c r="S28" s="46">
        <f t="shared" si="5"/>
        <v>1.4962984110285654E-2</v>
      </c>
      <c r="U28" s="208">
        <v>1258670</v>
      </c>
      <c r="V28" s="447">
        <v>210720</v>
      </c>
      <c r="W28" s="403">
        <f>158333.33*3</f>
        <v>474999.99</v>
      </c>
      <c r="Z28" s="11"/>
      <c r="AA28" s="6"/>
      <c r="AB28" s="11"/>
    </row>
    <row r="29" spans="1:28" x14ac:dyDescent="0.2">
      <c r="A29">
        <v>3</v>
      </c>
      <c r="B29" s="37" t="s">
        <v>39</v>
      </c>
      <c r="C29" s="3" t="s">
        <v>135</v>
      </c>
      <c r="D29" s="494">
        <v>3365</v>
      </c>
      <c r="E29" s="92">
        <f>Instruction!M31</f>
        <v>11584657</v>
      </c>
      <c r="F29" s="92">
        <f>'Student&amp;Institutional Support'!S32</f>
        <v>6732707.6189654591</v>
      </c>
      <c r="G29" s="92">
        <f>Facilities!H32</f>
        <v>1547888.9202303642</v>
      </c>
      <c r="H29" s="92">
        <f>'Student Success'!E30</f>
        <v>20000</v>
      </c>
      <c r="I29" s="92">
        <f>Research!H32</f>
        <v>195758.79570596025</v>
      </c>
      <c r="J29" s="8">
        <f t="shared" si="0"/>
        <v>20081012.33490178</v>
      </c>
      <c r="K29" s="9">
        <f t="shared" si="1"/>
        <v>2.7512480232165681E-2</v>
      </c>
      <c r="L29" s="69">
        <v>16309561.775223304</v>
      </c>
      <c r="M29" s="50">
        <v>2.7231177842971205E-2</v>
      </c>
      <c r="N29" s="18">
        <f t="shared" si="2"/>
        <v>8186627.1646286827</v>
      </c>
      <c r="O29" s="53">
        <f t="shared" si="3"/>
        <v>8271196.3226039363</v>
      </c>
      <c r="P29" s="63">
        <f t="shared" si="6"/>
        <v>16457823.487232618</v>
      </c>
      <c r="Q29" s="42">
        <f t="shared" si="4"/>
        <v>2.7371829037568435E-2</v>
      </c>
      <c r="R29" s="38">
        <f t="shared" si="7"/>
        <v>148261.71200931445</v>
      </c>
      <c r="S29" s="46">
        <f t="shared" si="5"/>
        <v>9.0904779694661354E-3</v>
      </c>
      <c r="U29" s="208">
        <v>2264639</v>
      </c>
      <c r="V29" s="447">
        <v>306844</v>
      </c>
      <c r="W29" s="403">
        <f>158333.33</f>
        <v>158333.32999999999</v>
      </c>
      <c r="Z29" s="11"/>
      <c r="AA29" s="6"/>
      <c r="AB29" s="11"/>
    </row>
    <row r="30" spans="1:28" x14ac:dyDescent="0.2">
      <c r="A30">
        <v>1</v>
      </c>
      <c r="B30" s="37" t="s">
        <v>46</v>
      </c>
      <c r="C30" s="3" t="s">
        <v>70</v>
      </c>
      <c r="D30" s="494">
        <v>3683</v>
      </c>
      <c r="E30" s="92">
        <f>Instruction!M32</f>
        <v>13289233</v>
      </c>
      <c r="F30" s="92">
        <f>'Student&amp;Institutional Support'!S33</f>
        <v>8356779.6259403462</v>
      </c>
      <c r="G30" s="92">
        <f>Facilities!H33</f>
        <v>1469983.7426136618</v>
      </c>
      <c r="H30" s="92">
        <f>'Student Success'!E31</f>
        <v>32557.537286207018</v>
      </c>
      <c r="I30" s="92">
        <f>Research!H33</f>
        <v>0</v>
      </c>
      <c r="J30" s="8">
        <f t="shared" si="0"/>
        <v>23148553.905840214</v>
      </c>
      <c r="K30" s="9">
        <f t="shared" si="1"/>
        <v>3.1715240303434915E-2</v>
      </c>
      <c r="L30" s="69">
        <v>19226731.694947593</v>
      </c>
      <c r="M30" s="50">
        <v>3.2101815937175336E-2</v>
      </c>
      <c r="N30" s="18">
        <f t="shared" si="2"/>
        <v>9650908.23102328</v>
      </c>
      <c r="O30" s="53">
        <f t="shared" si="3"/>
        <v>9534690.3207069356</v>
      </c>
      <c r="P30" s="63">
        <f t="shared" si="6"/>
        <v>19185598.551730216</v>
      </c>
      <c r="Q30" s="42">
        <f t="shared" si="4"/>
        <v>3.1908528120305119E-2</v>
      </c>
      <c r="R30" s="38">
        <f t="shared" si="7"/>
        <v>-41133.143217377365</v>
      </c>
      <c r="S30" s="46">
        <f t="shared" si="5"/>
        <v>-2.139372612568695E-3</v>
      </c>
      <c r="U30" s="208">
        <v>2460780</v>
      </c>
      <c r="V30" s="447">
        <v>434322</v>
      </c>
      <c r="W30" s="403"/>
      <c r="Z30" s="11"/>
      <c r="AA30" s="6"/>
      <c r="AB30" s="11"/>
    </row>
    <row r="31" spans="1:28" x14ac:dyDescent="0.2">
      <c r="A31">
        <v>4</v>
      </c>
      <c r="B31" s="37" t="s">
        <v>41</v>
      </c>
      <c r="C31" s="3" t="s">
        <v>117</v>
      </c>
      <c r="D31" s="494">
        <v>1929</v>
      </c>
      <c r="E31" s="92">
        <f>Instruction!M33</f>
        <v>8780450</v>
      </c>
      <c r="F31" s="92">
        <f>'Student&amp;Institutional Support'!S34</f>
        <v>5411165.3849774934</v>
      </c>
      <c r="G31" s="92">
        <f>Facilities!H34</f>
        <v>1179684.0477107107</v>
      </c>
      <c r="H31" s="92">
        <f>'Student Success'!E32</f>
        <v>0</v>
      </c>
      <c r="I31" s="92">
        <f>Research!H34</f>
        <v>13185.125660172514</v>
      </c>
      <c r="J31" s="8">
        <f t="shared" si="0"/>
        <v>15384484.558348376</v>
      </c>
      <c r="K31" s="9">
        <f t="shared" si="1"/>
        <v>2.1077887918925387E-2</v>
      </c>
      <c r="L31" s="69">
        <v>12390427.539895808</v>
      </c>
      <c r="M31" s="50">
        <v>2.0687615065287757E-2</v>
      </c>
      <c r="N31" s="18">
        <f t="shared" si="2"/>
        <v>6219407.4909830345</v>
      </c>
      <c r="O31" s="53">
        <f t="shared" si="3"/>
        <v>6336736.9125611633</v>
      </c>
      <c r="P31" s="63">
        <f t="shared" si="6"/>
        <v>12556144.403544199</v>
      </c>
      <c r="Q31" s="42">
        <f t="shared" si="4"/>
        <v>2.0882751492106569E-2</v>
      </c>
      <c r="R31" s="38">
        <f t="shared" si="7"/>
        <v>165716.8636483904</v>
      </c>
      <c r="S31" s="46">
        <f t="shared" si="5"/>
        <v>1.3374588012786516E-2</v>
      </c>
      <c r="U31" s="208">
        <v>1296160</v>
      </c>
      <c r="V31" s="447">
        <v>191528</v>
      </c>
      <c r="W31" s="403">
        <f>158333.33*2</f>
        <v>316666.65999999997</v>
      </c>
      <c r="Z31" s="11"/>
      <c r="AA31" s="6"/>
      <c r="AB31" s="11"/>
    </row>
    <row r="32" spans="1:28" x14ac:dyDescent="0.2">
      <c r="A32">
        <v>4</v>
      </c>
      <c r="B32" s="37" t="s">
        <v>42</v>
      </c>
      <c r="C32" s="3" t="s">
        <v>69</v>
      </c>
      <c r="D32" s="494">
        <v>3409</v>
      </c>
      <c r="E32" s="92">
        <f>Instruction!M34</f>
        <v>9804862</v>
      </c>
      <c r="F32" s="92">
        <f>'Student&amp;Institutional Support'!S35</f>
        <v>11182120.898622334</v>
      </c>
      <c r="G32" s="92">
        <f>Facilities!H35</f>
        <v>1941720.5346592593</v>
      </c>
      <c r="H32" s="92">
        <f>'Student Success'!E33</f>
        <v>4000</v>
      </c>
      <c r="I32" s="92">
        <f>Research!H35</f>
        <v>129430.13625180404</v>
      </c>
      <c r="J32" s="8">
        <f t="shared" si="0"/>
        <v>23062133.569533397</v>
      </c>
      <c r="K32" s="9">
        <f t="shared" si="1"/>
        <v>3.15968380160081E-2</v>
      </c>
      <c r="L32" s="69">
        <v>18770633.25982957</v>
      </c>
      <c r="M32" s="50">
        <v>3.1340293477419991E-2</v>
      </c>
      <c r="N32" s="18">
        <f t="shared" si="2"/>
        <v>9421968.4293203168</v>
      </c>
      <c r="O32" s="53">
        <f t="shared" si="3"/>
        <v>9499094.527231086</v>
      </c>
      <c r="P32" s="63">
        <f t="shared" si="6"/>
        <v>18921062.956551403</v>
      </c>
      <c r="Q32" s="42">
        <f t="shared" si="4"/>
        <v>3.1468565746714042E-2</v>
      </c>
      <c r="R32" s="38">
        <f>P32-L32</f>
        <v>150429.6967218332</v>
      </c>
      <c r="S32" s="46">
        <f t="shared" si="5"/>
        <v>8.0140981201610798E-3</v>
      </c>
      <c r="U32" s="208">
        <v>713441</v>
      </c>
      <c r="V32" s="447">
        <v>329366</v>
      </c>
      <c r="W32" s="403"/>
      <c r="Z32" s="11"/>
      <c r="AA32" s="6"/>
      <c r="AB32" s="11"/>
    </row>
    <row r="33" spans="1:28" x14ac:dyDescent="0.2">
      <c r="A33">
        <v>1</v>
      </c>
      <c r="B33" s="37" t="s">
        <v>43</v>
      </c>
      <c r="C33" s="3" t="s">
        <v>44</v>
      </c>
      <c r="D33" s="494">
        <v>8439</v>
      </c>
      <c r="E33" s="92">
        <f>Instruction!M35</f>
        <v>34294480.5</v>
      </c>
      <c r="F33" s="92">
        <f>'Student&amp;Institutional Support'!S36</f>
        <v>18887867.455948379</v>
      </c>
      <c r="G33" s="92">
        <f>Facilities!H36</f>
        <v>4643811.5248723375</v>
      </c>
      <c r="H33" s="92">
        <f>'Student Success'!E34</f>
        <v>0</v>
      </c>
      <c r="I33" s="92">
        <f>Research!H36</f>
        <v>1016902.2718072979</v>
      </c>
      <c r="J33" s="8">
        <f t="shared" si="0"/>
        <v>58843061.752628021</v>
      </c>
      <c r="K33" s="9">
        <f t="shared" si="1"/>
        <v>8.0619370491373257E-2</v>
      </c>
      <c r="L33" s="69">
        <v>50952671.267958976</v>
      </c>
      <c r="M33" s="50">
        <v>8.5072871484509455E-2</v>
      </c>
      <c r="N33" s="18">
        <f t="shared" si="2"/>
        <v>25575826.528113883</v>
      </c>
      <c r="O33" s="53">
        <f t="shared" si="3"/>
        <v>24236951.198579788</v>
      </c>
      <c r="P33" s="63">
        <f t="shared" si="6"/>
        <v>49812777.726693675</v>
      </c>
      <c r="Q33" s="42">
        <f t="shared" si="4"/>
        <v>8.2846120987941335E-2</v>
      </c>
      <c r="R33" s="38">
        <f t="shared" si="7"/>
        <v>-1139893.5412653014</v>
      </c>
      <c r="S33" s="46">
        <f t="shared" si="5"/>
        <v>-2.2371614930071601E-2</v>
      </c>
      <c r="U33" s="208">
        <v>2690830</v>
      </c>
      <c r="V33" s="447">
        <v>518115</v>
      </c>
      <c r="W33" s="403"/>
      <c r="Z33" s="11"/>
      <c r="AA33" s="6"/>
      <c r="AB33" s="11"/>
    </row>
    <row r="34" spans="1:28" x14ac:dyDescent="0.2">
      <c r="A34">
        <v>1</v>
      </c>
      <c r="B34" s="37" t="s">
        <v>45</v>
      </c>
      <c r="C34" s="3" t="s">
        <v>136</v>
      </c>
      <c r="D34" s="494">
        <v>2819</v>
      </c>
      <c r="E34" s="92">
        <f>Instruction!M36</f>
        <v>10412985.5</v>
      </c>
      <c r="F34" s="92">
        <f>'Student&amp;Institutional Support'!S37</f>
        <v>5937139.1679800628</v>
      </c>
      <c r="G34" s="92">
        <f>Facilities!H37</f>
        <v>1269049.1491036997</v>
      </c>
      <c r="H34" s="92">
        <f>'Student Success'!E35</f>
        <v>40000</v>
      </c>
      <c r="I34" s="92">
        <f>Research!H37</f>
        <v>0</v>
      </c>
      <c r="J34" s="8">
        <f t="shared" si="0"/>
        <v>17659173.817083765</v>
      </c>
      <c r="K34" s="9">
        <f t="shared" si="1"/>
        <v>2.4194381361664116E-2</v>
      </c>
      <c r="L34" s="69">
        <v>14077944.83454318</v>
      </c>
      <c r="M34" s="50">
        <v>2.3505169834505523E-2</v>
      </c>
      <c r="N34" s="18">
        <f t="shared" si="2"/>
        <v>7066461.2080318918</v>
      </c>
      <c r="O34" s="53">
        <f t="shared" si="3"/>
        <v>7273661.8602750022</v>
      </c>
      <c r="P34" s="63">
        <f>N34+O34</f>
        <v>14340123.068306893</v>
      </c>
      <c r="Q34" s="42">
        <f t="shared" si="4"/>
        <v>2.3849775598084811E-2</v>
      </c>
      <c r="R34" s="38">
        <f t="shared" si="7"/>
        <v>262178.23376371339</v>
      </c>
      <c r="S34" s="46">
        <f t="shared" si="5"/>
        <v>1.8623331519271501E-2</v>
      </c>
      <c r="U34" s="208">
        <v>1899575</v>
      </c>
      <c r="V34" s="447">
        <v>268636</v>
      </c>
      <c r="W34" s="403">
        <f>158333.33</f>
        <v>158333.32999999999</v>
      </c>
      <c r="Z34" s="11"/>
      <c r="AA34" s="6"/>
      <c r="AB34" s="11"/>
    </row>
    <row r="35" spans="1:28" x14ac:dyDescent="0.2">
      <c r="A35">
        <v>4</v>
      </c>
      <c r="B35" s="37" t="s">
        <v>47</v>
      </c>
      <c r="C35" s="3" t="s">
        <v>48</v>
      </c>
      <c r="D35" s="494">
        <v>6610</v>
      </c>
      <c r="E35" s="92">
        <f>Instruction!M37</f>
        <v>25118464.5</v>
      </c>
      <c r="F35" s="92">
        <f>'Student&amp;Institutional Support'!S38</f>
        <v>12745881.927751709</v>
      </c>
      <c r="G35" s="92">
        <f>Facilities!H38</f>
        <v>2557107.7800739533</v>
      </c>
      <c r="H35" s="92">
        <f>'Student Success'!E36</f>
        <v>40000</v>
      </c>
      <c r="I35" s="92">
        <f>Research!H38</f>
        <v>105253.62962393554</v>
      </c>
      <c r="J35" s="8">
        <f t="shared" si="0"/>
        <v>40566707.837449595</v>
      </c>
      <c r="K35" s="9">
        <f t="shared" si="1"/>
        <v>5.5579406498448905E-2</v>
      </c>
      <c r="L35" s="69">
        <v>33261968.454127967</v>
      </c>
      <c r="M35" s="50">
        <v>5.5535678448310449E-2</v>
      </c>
      <c r="N35" s="18">
        <f t="shared" si="2"/>
        <v>16695932.008992197</v>
      </c>
      <c r="O35" s="53">
        <f t="shared" si="3"/>
        <v>16709078.162463194</v>
      </c>
      <c r="P35" s="63">
        <f>N35+O35</f>
        <v>33405010.171455391</v>
      </c>
      <c r="Q35" s="42">
        <f t="shared" si="4"/>
        <v>5.5557542473379663E-2</v>
      </c>
      <c r="R35" s="38">
        <f t="shared" si="7"/>
        <v>143041.71732742339</v>
      </c>
      <c r="S35" s="46">
        <f t="shared" si="5"/>
        <v>4.3004585710161494E-3</v>
      </c>
      <c r="U35" s="208">
        <v>2434375</v>
      </c>
      <c r="V35" s="447">
        <v>313168</v>
      </c>
      <c r="W35" s="403"/>
      <c r="Z35" s="11"/>
      <c r="AA35" s="6"/>
      <c r="AB35" s="11"/>
    </row>
    <row r="36" spans="1:28" x14ac:dyDescent="0.2">
      <c r="N36" s="17"/>
      <c r="O36" s="52"/>
      <c r="P36" s="55"/>
      <c r="R36" s="11"/>
      <c r="W36" s="176"/>
    </row>
    <row r="37" spans="1:28" x14ac:dyDescent="0.2">
      <c r="B37" s="4"/>
      <c r="C37" s="87" t="s">
        <v>49</v>
      </c>
      <c r="D37" s="181">
        <f t="shared" ref="D37:R37" si="9">SUM(D6:D36)</f>
        <v>115758</v>
      </c>
      <c r="E37" s="181">
        <f t="shared" si="9"/>
        <v>413221092.5</v>
      </c>
      <c r="F37" s="181">
        <f t="shared" si="9"/>
        <v>257600066.97634083</v>
      </c>
      <c r="G37" s="181">
        <f t="shared" si="9"/>
        <v>54624462.650890179</v>
      </c>
      <c r="H37" s="181">
        <f t="shared" si="9"/>
        <v>1120953.8445693243</v>
      </c>
      <c r="I37" s="181">
        <f t="shared" si="9"/>
        <v>3320812.0589037407</v>
      </c>
      <c r="J37" s="12">
        <f t="shared" si="9"/>
        <v>729887388.03070378</v>
      </c>
      <c r="K37" s="7">
        <f t="shared" si="9"/>
        <v>1.0000000000000002</v>
      </c>
      <c r="L37" s="65">
        <f t="shared" si="9"/>
        <v>598929722</v>
      </c>
      <c r="M37" s="51">
        <f t="shared" si="9"/>
        <v>1</v>
      </c>
      <c r="N37" s="5">
        <f t="shared" si="9"/>
        <v>300634339.5</v>
      </c>
      <c r="O37" s="56">
        <f t="shared" si="9"/>
        <v>300634339.50000012</v>
      </c>
      <c r="P37" s="56">
        <f t="shared" si="9"/>
        <v>601268679.00000012</v>
      </c>
      <c r="Q37" s="7">
        <f t="shared" si="9"/>
        <v>0.99999999999999989</v>
      </c>
      <c r="R37" s="5">
        <f t="shared" si="9"/>
        <v>2338957.0000000875</v>
      </c>
      <c r="S37" s="207">
        <f>R37/L37</f>
        <v>3.905227798997238E-3</v>
      </c>
      <c r="U37" s="206">
        <f t="shared" ref="U37:W37" si="10">SUM(U6:U36)</f>
        <v>59743292</v>
      </c>
      <c r="V37" s="206">
        <f>SUM(V6:V36)</f>
        <v>9601007</v>
      </c>
      <c r="W37" s="206">
        <f t="shared" si="10"/>
        <v>5699999.8799999999</v>
      </c>
    </row>
    <row r="38" spans="1:28" ht="18.75" customHeight="1" x14ac:dyDescent="0.2">
      <c r="B38" s="16" t="s">
        <v>330</v>
      </c>
      <c r="C38" s="87"/>
      <c r="D38" s="181"/>
      <c r="E38" s="181"/>
      <c r="F38" s="181"/>
      <c r="G38" s="181"/>
      <c r="H38" s="510"/>
      <c r="I38" s="510"/>
      <c r="J38" s="12"/>
      <c r="K38" s="7"/>
      <c r="L38" s="70"/>
      <c r="M38" s="51"/>
      <c r="N38" s="5"/>
      <c r="O38" s="56"/>
      <c r="P38" s="56"/>
      <c r="Q38" s="7"/>
      <c r="R38" s="5"/>
    </row>
    <row r="39" spans="1:28" ht="21" hidden="1" customHeight="1" x14ac:dyDescent="0.2">
      <c r="B39" s="16"/>
      <c r="E39" s="210"/>
      <c r="F39" s="210"/>
      <c r="G39" s="210"/>
      <c r="H39" s="201"/>
      <c r="I39" s="201"/>
      <c r="N39" s="24"/>
      <c r="O39" s="104">
        <f>(O41)/2</f>
        <v>300634339.5</v>
      </c>
      <c r="P39" s="43"/>
      <c r="Q39" s="57"/>
      <c r="R39" s="24"/>
    </row>
    <row r="40" spans="1:28" ht="12" customHeight="1" x14ac:dyDescent="0.2">
      <c r="B40" s="497"/>
      <c r="C40" s="498"/>
      <c r="E40" s="200">
        <f>E37/$J$37</f>
        <v>0.56614362609402591</v>
      </c>
      <c r="F40" s="200">
        <f t="shared" ref="F40:I40" si="11">F37/$J$37</f>
        <v>0.35293124830032618</v>
      </c>
      <c r="G40" s="200">
        <f t="shared" si="11"/>
        <v>7.4839576004007244E-2</v>
      </c>
      <c r="H40" s="201">
        <f t="shared" si="11"/>
        <v>1.5357901272876492E-3</v>
      </c>
      <c r="I40" s="201">
        <f t="shared" si="11"/>
        <v>4.549759474353386E-3</v>
      </c>
      <c r="L40" s="87"/>
      <c r="N40" s="15"/>
      <c r="P40" s="43"/>
      <c r="Q40" s="54"/>
      <c r="R40" s="291"/>
      <c r="S40" s="399"/>
    </row>
    <row r="41" spans="1:28" x14ac:dyDescent="0.2">
      <c r="J41" s="192"/>
      <c r="N41" s="172" t="s">
        <v>127</v>
      </c>
      <c r="O41" s="477">
        <f>598929722+2338957</f>
        <v>601268679</v>
      </c>
      <c r="Q41" s="496"/>
      <c r="R41" s="11"/>
      <c r="S41" s="298"/>
    </row>
    <row r="42" spans="1:28" x14ac:dyDescent="0.2">
      <c r="M42" s="298"/>
      <c r="Q42" s="496"/>
      <c r="R42" s="11"/>
      <c r="S42" s="298"/>
    </row>
    <row r="43" spans="1:28" x14ac:dyDescent="0.2">
      <c r="J43" s="176"/>
      <c r="M43" s="298"/>
      <c r="N43" s="205"/>
      <c r="O43" s="57"/>
      <c r="Q43" s="496"/>
      <c r="R43" s="11"/>
      <c r="S43" s="476"/>
    </row>
    <row r="44" spans="1:28" x14ac:dyDescent="0.2">
      <c r="O44" s="52"/>
      <c r="P44" s="134"/>
      <c r="Q44" s="496"/>
      <c r="R44" s="11"/>
      <c r="S44" s="476"/>
    </row>
    <row r="45" spans="1:28" x14ac:dyDescent="0.2">
      <c r="M45" s="298"/>
      <c r="P45" s="134"/>
      <c r="Q45" s="496"/>
      <c r="R45" s="11"/>
      <c r="S45" s="11"/>
    </row>
    <row r="46" spans="1:28" x14ac:dyDescent="0.2">
      <c r="M46" s="298"/>
      <c r="O46" s="55"/>
      <c r="P46" s="134"/>
      <c r="Q46" s="298"/>
      <c r="R46" s="11"/>
      <c r="S46" s="476"/>
    </row>
    <row r="47" spans="1:28" x14ac:dyDescent="0.2">
      <c r="R47" s="11"/>
      <c r="S47" s="298"/>
    </row>
    <row r="48" spans="1:28" x14ac:dyDescent="0.2">
      <c r="P48" s="57"/>
    </row>
    <row r="49" spans="13:23" x14ac:dyDescent="0.2">
      <c r="M49" s="298"/>
      <c r="Q49" s="298"/>
      <c r="R49" s="11"/>
      <c r="S49" s="476"/>
    </row>
    <row r="50" spans="13:23" x14ac:dyDescent="0.2">
      <c r="M50" s="298"/>
      <c r="Q50" s="298"/>
      <c r="R50" s="11"/>
      <c r="S50" s="476"/>
    </row>
    <row r="51" spans="13:23" x14ac:dyDescent="0.2">
      <c r="P51" s="153"/>
    </row>
    <row r="52" spans="13:23" x14ac:dyDescent="0.2">
      <c r="S52" s="6"/>
    </row>
    <row r="53" spans="13:23" x14ac:dyDescent="0.2">
      <c r="M53" s="41"/>
      <c r="Q53" s="41"/>
      <c r="S53" s="6"/>
    </row>
    <row r="58" spans="13:23" x14ac:dyDescent="0.2">
      <c r="P58" s="57"/>
      <c r="Q58" s="24"/>
      <c r="R58" s="24"/>
      <c r="U58" s="176"/>
      <c r="W58" s="176"/>
    </row>
  </sheetData>
  <mergeCells count="1">
    <mergeCell ref="B40:C40"/>
  </mergeCells>
  <pageMargins left="0.3" right="0.08" top="0.82" bottom="0.13" header="0.18" footer="0.13"/>
  <pageSetup scale="80" orientation="landscape" copies="4" r:id="rId1"/>
  <headerFooter alignWithMargins="0">
    <oddHeader>&amp;C&amp;"Arial,Bold"Minnesota State
FY2023
COLLEGE/UNIVERSITY ALLOCATION
(BASED ON FY2021 DATA)
&amp;RSP-6</oddHeader>
  </headerFooter>
  <colBreaks count="2" manualBreakCount="2">
    <brk id="11" max="1048575" man="1"/>
    <brk id="19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9"/>
  <sheetViews>
    <sheetView zoomScale="90" zoomScaleNormal="90" workbookViewId="0">
      <selection activeCell="E8" sqref="E8:I24"/>
    </sheetView>
  </sheetViews>
  <sheetFormatPr defaultColWidth="9.140625" defaultRowHeight="15" customHeight="1" x14ac:dyDescent="0.2"/>
  <cols>
    <col min="1" max="1" width="7.28515625" style="64" customWidth="1"/>
    <col min="2" max="2" width="31.7109375" style="64" customWidth="1"/>
    <col min="3" max="3" width="16.140625" style="54" customWidth="1"/>
    <col min="4" max="5" width="12.7109375" style="55" customWidth="1"/>
    <col min="6" max="6" width="12.5703125" style="55" customWidth="1"/>
    <col min="7" max="7" width="13" style="55" customWidth="1"/>
    <col min="8" max="8" width="11" style="55" customWidth="1"/>
    <col min="9" max="9" width="10.42578125" style="55" customWidth="1"/>
    <col min="10" max="10" width="12.85546875" style="72" customWidth="1"/>
    <col min="11" max="12" width="15.85546875" style="54" customWidth="1"/>
    <col min="13" max="13" width="13.7109375" style="54" customWidth="1"/>
    <col min="14" max="14" width="9.140625" style="64"/>
    <col min="15" max="15" width="9.7109375" style="64" bestFit="1" customWidth="1"/>
    <col min="16" max="16384" width="9.140625" style="64"/>
  </cols>
  <sheetData>
    <row r="1" spans="1:15" ht="15" customHeight="1" x14ac:dyDescent="0.25">
      <c r="A1" s="71" t="s">
        <v>72</v>
      </c>
      <c r="M1" s="87" t="s">
        <v>279</v>
      </c>
    </row>
    <row r="2" spans="1:15" ht="15" customHeight="1" x14ac:dyDescent="0.2">
      <c r="A2" s="73" t="s">
        <v>73</v>
      </c>
      <c r="H2" s="56"/>
    </row>
    <row r="3" spans="1:15" ht="15" customHeight="1" x14ac:dyDescent="0.2">
      <c r="A3" s="74" t="s">
        <v>329</v>
      </c>
    </row>
    <row r="4" spans="1:15" s="75" customFormat="1" ht="15" customHeight="1" x14ac:dyDescent="0.2">
      <c r="C4" s="103"/>
      <c r="D4" s="89" t="s">
        <v>74</v>
      </c>
      <c r="E4" s="89" t="s">
        <v>75</v>
      </c>
      <c r="F4" s="89" t="s">
        <v>76</v>
      </c>
      <c r="G4" s="89" t="s">
        <v>77</v>
      </c>
      <c r="H4" s="89" t="s">
        <v>78</v>
      </c>
      <c r="I4" s="89" t="s">
        <v>81</v>
      </c>
      <c r="J4" s="76" t="s">
        <v>295</v>
      </c>
      <c r="K4" s="103" t="s">
        <v>296</v>
      </c>
      <c r="L4" s="103"/>
      <c r="M4" s="103" t="s">
        <v>297</v>
      </c>
    </row>
    <row r="5" spans="1:15" ht="27.75" customHeight="1" x14ac:dyDescent="0.2">
      <c r="B5" s="77"/>
      <c r="C5" s="103" t="s">
        <v>79</v>
      </c>
      <c r="D5" s="458"/>
      <c r="E5" s="457" t="s">
        <v>121</v>
      </c>
      <c r="F5" s="182"/>
      <c r="G5" s="183" t="s">
        <v>80</v>
      </c>
      <c r="H5" s="182" t="s">
        <v>121</v>
      </c>
      <c r="I5" s="184" t="s">
        <v>121</v>
      </c>
      <c r="J5" s="76" t="s">
        <v>82</v>
      </c>
      <c r="K5" s="103" t="s">
        <v>111</v>
      </c>
      <c r="L5" s="103" t="s">
        <v>123</v>
      </c>
      <c r="M5" s="103" t="s">
        <v>99</v>
      </c>
    </row>
    <row r="6" spans="1:15" s="81" customFormat="1" ht="90" customHeight="1" x14ac:dyDescent="0.2">
      <c r="A6" s="78" t="s">
        <v>0</v>
      </c>
      <c r="B6" s="79" t="s">
        <v>83</v>
      </c>
      <c r="C6" s="136" t="s">
        <v>290</v>
      </c>
      <c r="D6" s="459" t="s">
        <v>291</v>
      </c>
      <c r="E6" s="105" t="s">
        <v>292</v>
      </c>
      <c r="F6" s="185" t="s">
        <v>84</v>
      </c>
      <c r="G6" s="185" t="s">
        <v>85</v>
      </c>
      <c r="H6" s="105" t="s">
        <v>293</v>
      </c>
      <c r="I6" s="105" t="s">
        <v>294</v>
      </c>
      <c r="J6" s="80" t="s">
        <v>86</v>
      </c>
      <c r="K6" s="386" t="s">
        <v>307</v>
      </c>
      <c r="L6" s="386" t="s">
        <v>303</v>
      </c>
      <c r="M6" s="386" t="s">
        <v>142</v>
      </c>
    </row>
    <row r="7" spans="1:15" ht="15" customHeight="1" x14ac:dyDescent="0.2">
      <c r="B7" s="82"/>
      <c r="C7" s="132"/>
      <c r="D7" s="460"/>
      <c r="E7" s="186"/>
      <c r="F7" s="187"/>
      <c r="G7" s="187"/>
    </row>
    <row r="8" spans="1:15" ht="15" customHeight="1" x14ac:dyDescent="0.2">
      <c r="A8" s="83" t="s">
        <v>2</v>
      </c>
      <c r="B8" s="3" t="s">
        <v>128</v>
      </c>
      <c r="C8" s="133">
        <f>168642+6770525</f>
        <v>6939167</v>
      </c>
      <c r="D8" s="456">
        <v>8440</v>
      </c>
      <c r="E8" s="92">
        <v>-381367</v>
      </c>
      <c r="F8" s="435"/>
      <c r="G8" s="131"/>
      <c r="H8" s="92"/>
      <c r="I8" s="92"/>
      <c r="J8" s="69">
        <f t="shared" ref="J8:J13" si="0">SUM(D8:I8)</f>
        <v>-372927</v>
      </c>
      <c r="K8" s="297">
        <f t="shared" ref="K8:K12" si="1">+C8+J8</f>
        <v>6566240</v>
      </c>
      <c r="L8" s="297">
        <v>6388456</v>
      </c>
      <c r="M8" s="297">
        <f>AVERAGE(K8:L8)</f>
        <v>6477348</v>
      </c>
      <c r="O8" s="72"/>
    </row>
    <row r="9" spans="1:15" s="54" customFormat="1" ht="15" customHeight="1" x14ac:dyDescent="0.2">
      <c r="A9" s="10" t="s">
        <v>4</v>
      </c>
      <c r="B9" s="3" t="s">
        <v>124</v>
      </c>
      <c r="C9" s="133">
        <f>554485+19841920</f>
        <v>20396405</v>
      </c>
      <c r="D9" s="456">
        <v>83172</v>
      </c>
      <c r="E9" s="92">
        <v>104514</v>
      </c>
      <c r="F9" s="435"/>
      <c r="G9" s="131"/>
      <c r="H9" s="131"/>
      <c r="I9" s="131"/>
      <c r="J9" s="69">
        <f t="shared" si="0"/>
        <v>187686</v>
      </c>
      <c r="K9" s="297">
        <f t="shared" si="1"/>
        <v>20584091</v>
      </c>
      <c r="L9" s="297">
        <v>20135933</v>
      </c>
      <c r="M9" s="297">
        <f t="shared" ref="M9:M37" si="2">AVERAGE(K9:L9)</f>
        <v>20360012</v>
      </c>
      <c r="O9" s="72"/>
    </row>
    <row r="10" spans="1:15" ht="15" customHeight="1" x14ac:dyDescent="0.2">
      <c r="A10" s="83" t="s">
        <v>5</v>
      </c>
      <c r="B10" s="121" t="s">
        <v>113</v>
      </c>
      <c r="C10" s="133">
        <f>113871+6016861+7532973+1149085</f>
        <v>14812790</v>
      </c>
      <c r="D10" s="456">
        <v>1915</v>
      </c>
      <c r="E10" s="92">
        <v>522818</v>
      </c>
      <c r="F10" s="435"/>
      <c r="G10" s="188">
        <v>316680</v>
      </c>
      <c r="H10" s="188">
        <v>89559</v>
      </c>
      <c r="I10" s="188">
        <v>-84428</v>
      </c>
      <c r="J10" s="69">
        <f t="shared" si="0"/>
        <v>846544</v>
      </c>
      <c r="K10" s="297">
        <f>+C10+J10</f>
        <v>15659334</v>
      </c>
      <c r="L10" s="297">
        <v>15076515</v>
      </c>
      <c r="M10" s="297">
        <f t="shared" si="2"/>
        <v>15367924.5</v>
      </c>
      <c r="O10" s="72"/>
    </row>
    <row r="11" spans="1:15" ht="15" customHeight="1" x14ac:dyDescent="0.2">
      <c r="A11" s="83" t="s">
        <v>6</v>
      </c>
      <c r="B11" s="3" t="s">
        <v>7</v>
      </c>
      <c r="C11" s="133">
        <f>1068472+8308461</f>
        <v>9376933</v>
      </c>
      <c r="D11" s="456">
        <v>-2576</v>
      </c>
      <c r="E11" s="92">
        <v>-541656</v>
      </c>
      <c r="F11" s="462">
        <f>9254+212126</f>
        <v>221380</v>
      </c>
      <c r="G11" s="131"/>
      <c r="H11" s="92"/>
      <c r="I11" s="92"/>
      <c r="J11" s="69">
        <f t="shared" si="0"/>
        <v>-322852</v>
      </c>
      <c r="K11" s="297">
        <f t="shared" si="1"/>
        <v>9054081</v>
      </c>
      <c r="L11" s="297">
        <v>8560203</v>
      </c>
      <c r="M11" s="297">
        <f t="shared" si="2"/>
        <v>8807142</v>
      </c>
      <c r="O11" s="72"/>
    </row>
    <row r="12" spans="1:15" ht="15" customHeight="1" x14ac:dyDescent="0.2">
      <c r="A12" s="83" t="s">
        <v>8</v>
      </c>
      <c r="B12" s="3" t="s">
        <v>9</v>
      </c>
      <c r="C12" s="133">
        <f>70369+17054944</f>
        <v>17125313</v>
      </c>
      <c r="D12" s="456">
        <v>10910</v>
      </c>
      <c r="E12" s="92">
        <v>1151089</v>
      </c>
      <c r="F12" s="435"/>
      <c r="G12" s="131"/>
      <c r="H12" s="92"/>
      <c r="I12" s="92"/>
      <c r="J12" s="69">
        <f t="shared" si="0"/>
        <v>1161999</v>
      </c>
      <c r="K12" s="297">
        <f t="shared" si="1"/>
        <v>18287312</v>
      </c>
      <c r="L12" s="297">
        <v>18034622</v>
      </c>
      <c r="M12" s="297">
        <f t="shared" si="2"/>
        <v>18160967</v>
      </c>
      <c r="O12" s="72"/>
    </row>
    <row r="13" spans="1:15" ht="15" customHeight="1" x14ac:dyDescent="0.2">
      <c r="A13" s="83" t="s">
        <v>10</v>
      </c>
      <c r="B13" s="3" t="s">
        <v>146</v>
      </c>
      <c r="C13" s="133">
        <f>129208+15438170</f>
        <v>15567378</v>
      </c>
      <c r="D13" s="456">
        <v>8111</v>
      </c>
      <c r="E13" s="92">
        <v>278851</v>
      </c>
      <c r="F13" s="435"/>
      <c r="G13" s="131"/>
      <c r="H13" s="92"/>
      <c r="I13" s="92"/>
      <c r="J13" s="69">
        <f t="shared" si="0"/>
        <v>286962</v>
      </c>
      <c r="K13" s="297">
        <f t="shared" ref="K13:K37" si="3">+C13+J13</f>
        <v>15854340</v>
      </c>
      <c r="L13" s="297">
        <v>15859709</v>
      </c>
      <c r="M13" s="297">
        <f t="shared" si="2"/>
        <v>15857024.5</v>
      </c>
      <c r="O13" s="72"/>
    </row>
    <row r="14" spans="1:15" ht="15" customHeight="1" x14ac:dyDescent="0.2">
      <c r="A14" s="83" t="s">
        <v>12</v>
      </c>
      <c r="B14" s="3" t="s">
        <v>13</v>
      </c>
      <c r="C14" s="133">
        <f>515176+3204428</f>
        <v>3719604</v>
      </c>
      <c r="D14" s="456">
        <v>-23641</v>
      </c>
      <c r="E14" s="92">
        <v>-1514850</v>
      </c>
      <c r="F14" s="435"/>
      <c r="G14" s="131"/>
      <c r="H14" s="92"/>
      <c r="I14" s="92"/>
      <c r="J14" s="69">
        <f t="shared" ref="J14:J37" si="4">SUM(D14:I14)</f>
        <v>-1538491</v>
      </c>
      <c r="K14" s="297">
        <f t="shared" si="3"/>
        <v>2181113</v>
      </c>
      <c r="L14" s="297">
        <v>2217757</v>
      </c>
      <c r="M14" s="297">
        <f t="shared" si="2"/>
        <v>2199435</v>
      </c>
      <c r="O14" s="72"/>
    </row>
    <row r="15" spans="1:15" ht="15" customHeight="1" x14ac:dyDescent="0.2">
      <c r="A15" s="83" t="s">
        <v>14</v>
      </c>
      <c r="B15" s="3" t="s">
        <v>139</v>
      </c>
      <c r="C15" s="133">
        <f>278126+12758712</f>
        <v>13036838</v>
      </c>
      <c r="D15" s="456">
        <v>-102998</v>
      </c>
      <c r="E15" s="92">
        <v>-645037</v>
      </c>
      <c r="F15" s="435"/>
      <c r="G15" s="131"/>
      <c r="H15" s="92"/>
      <c r="I15" s="92"/>
      <c r="J15" s="69">
        <f t="shared" ref="J15:J20" si="5">SUM(D15:I15)</f>
        <v>-748035</v>
      </c>
      <c r="K15" s="297">
        <f t="shared" si="3"/>
        <v>12288803</v>
      </c>
      <c r="L15" s="297">
        <v>12469729</v>
      </c>
      <c r="M15" s="297">
        <f t="shared" si="2"/>
        <v>12379266</v>
      </c>
      <c r="O15" s="72"/>
    </row>
    <row r="16" spans="1:15" ht="15" customHeight="1" x14ac:dyDescent="0.2">
      <c r="A16" s="83" t="s">
        <v>16</v>
      </c>
      <c r="B16" s="3" t="s">
        <v>17</v>
      </c>
      <c r="C16" s="133">
        <f>301826+9808278</f>
        <v>10110104</v>
      </c>
      <c r="D16" s="456">
        <v>47283</v>
      </c>
      <c r="E16" s="92">
        <v>-157955</v>
      </c>
      <c r="F16" s="435"/>
      <c r="G16" s="131"/>
      <c r="H16" s="92"/>
      <c r="I16" s="92"/>
      <c r="J16" s="69">
        <f t="shared" si="5"/>
        <v>-110672</v>
      </c>
      <c r="K16" s="297">
        <f t="shared" si="3"/>
        <v>9999432</v>
      </c>
      <c r="L16" s="297">
        <v>10159963</v>
      </c>
      <c r="M16" s="297">
        <f t="shared" si="2"/>
        <v>10079697.5</v>
      </c>
      <c r="O16" s="72"/>
    </row>
    <row r="17" spans="1:15" ht="15" customHeight="1" x14ac:dyDescent="0.2">
      <c r="A17" s="83" t="s">
        <v>18</v>
      </c>
      <c r="B17" s="3" t="s">
        <v>140</v>
      </c>
      <c r="C17" s="133">
        <f>4043041+13843658+2841612+312801</f>
        <v>21041112</v>
      </c>
      <c r="D17" s="456"/>
      <c r="E17" s="92">
        <v>199799</v>
      </c>
      <c r="F17" s="435"/>
      <c r="G17" s="188">
        <v>195157</v>
      </c>
      <c r="H17" s="188">
        <v>233835</v>
      </c>
      <c r="I17" s="188">
        <f>-186800-32723</f>
        <v>-219523</v>
      </c>
      <c r="J17" s="69">
        <f t="shared" si="5"/>
        <v>409268</v>
      </c>
      <c r="K17" s="297">
        <f t="shared" si="3"/>
        <v>21450380</v>
      </c>
      <c r="L17" s="297">
        <v>20868190</v>
      </c>
      <c r="M17" s="297">
        <f t="shared" si="2"/>
        <v>21159285</v>
      </c>
      <c r="O17" s="72"/>
    </row>
    <row r="18" spans="1:15" ht="15" customHeight="1" x14ac:dyDescent="0.2">
      <c r="A18" s="83" t="s">
        <v>19</v>
      </c>
      <c r="B18" s="3" t="s">
        <v>129</v>
      </c>
      <c r="C18" s="133">
        <f>144168+14664652</f>
        <v>14808820</v>
      </c>
      <c r="D18" s="456">
        <v>-63436</v>
      </c>
      <c r="E18" s="92">
        <v>-93636</v>
      </c>
      <c r="F18" s="435"/>
      <c r="G18" s="131"/>
      <c r="H18" s="131"/>
      <c r="I18" s="92"/>
      <c r="J18" s="69">
        <f t="shared" si="5"/>
        <v>-157072</v>
      </c>
      <c r="K18" s="297">
        <f t="shared" si="3"/>
        <v>14651748</v>
      </c>
      <c r="L18" s="297">
        <v>14245493</v>
      </c>
      <c r="M18" s="297">
        <f t="shared" si="2"/>
        <v>14448620.5</v>
      </c>
      <c r="O18" s="72"/>
    </row>
    <row r="19" spans="1:15" ht="15" customHeight="1" x14ac:dyDescent="0.2">
      <c r="A19" s="84" t="s">
        <v>118</v>
      </c>
      <c r="B19" s="3" t="s">
        <v>331</v>
      </c>
      <c r="C19" s="133">
        <f>309710+11165138</f>
        <v>11474848</v>
      </c>
      <c r="D19" s="456">
        <v>-31912</v>
      </c>
      <c r="E19" s="92">
        <v>-1246127</v>
      </c>
      <c r="F19" s="435"/>
      <c r="G19" s="131"/>
      <c r="H19" s="92"/>
      <c r="I19" s="92"/>
      <c r="J19" s="69">
        <f t="shared" si="5"/>
        <v>-1278039</v>
      </c>
      <c r="K19" s="297">
        <f>+C19+J19</f>
        <v>10196809</v>
      </c>
      <c r="L19" s="297">
        <v>10279115</v>
      </c>
      <c r="M19" s="297">
        <f>AVERAGE(K19:L19)</f>
        <v>10237962</v>
      </c>
      <c r="O19" s="72"/>
    </row>
    <row r="20" spans="1:15" ht="14.25" customHeight="1" x14ac:dyDescent="0.2">
      <c r="A20" s="83" t="s">
        <v>21</v>
      </c>
      <c r="B20" s="121" t="s">
        <v>177</v>
      </c>
      <c r="C20" s="135">
        <f>194884+5401669</f>
        <v>5596553</v>
      </c>
      <c r="D20" s="456">
        <v>-104111</v>
      </c>
      <c r="E20" s="92">
        <v>-700840</v>
      </c>
      <c r="F20" s="435"/>
      <c r="G20" s="131"/>
      <c r="H20" s="92"/>
      <c r="I20" s="92"/>
      <c r="J20" s="69">
        <f t="shared" si="5"/>
        <v>-804951</v>
      </c>
      <c r="K20" s="297">
        <f t="shared" si="3"/>
        <v>4791602</v>
      </c>
      <c r="L20" s="297">
        <v>4608582</v>
      </c>
      <c r="M20" s="297">
        <f t="shared" si="2"/>
        <v>4700092</v>
      </c>
      <c r="O20" s="72"/>
    </row>
    <row r="21" spans="1:15" ht="15" customHeight="1" x14ac:dyDescent="0.2">
      <c r="A21" s="84" t="s">
        <v>109</v>
      </c>
      <c r="B21" s="3" t="s">
        <v>141</v>
      </c>
      <c r="C21" s="133">
        <f>684142+11868495</f>
        <v>12552637</v>
      </c>
      <c r="D21" s="456">
        <v>-8379</v>
      </c>
      <c r="E21" s="92">
        <v>-540666</v>
      </c>
      <c r="F21" s="435"/>
      <c r="G21" s="131"/>
      <c r="H21" s="92"/>
      <c r="I21" s="92"/>
      <c r="J21" s="69">
        <f t="shared" si="4"/>
        <v>-549045</v>
      </c>
      <c r="K21" s="297">
        <f t="shared" si="3"/>
        <v>12003592</v>
      </c>
      <c r="L21" s="297">
        <v>12237047</v>
      </c>
      <c r="M21" s="297">
        <f t="shared" si="2"/>
        <v>12120319.5</v>
      </c>
      <c r="O21" s="72"/>
    </row>
    <row r="22" spans="1:15" ht="15" customHeight="1" x14ac:dyDescent="0.2">
      <c r="A22" s="83" t="s">
        <v>26</v>
      </c>
      <c r="B22" s="3" t="s">
        <v>62</v>
      </c>
      <c r="C22" s="133">
        <f>5895286+8772394+3295362+177415</f>
        <v>18140457</v>
      </c>
      <c r="D22" s="456"/>
      <c r="E22" s="92">
        <v>129406</v>
      </c>
      <c r="F22" s="435"/>
      <c r="G22" s="188">
        <v>418711</v>
      </c>
      <c r="H22" s="188">
        <v>-137470</v>
      </c>
      <c r="I22" s="188">
        <f>-4708+10296</f>
        <v>5588</v>
      </c>
      <c r="J22" s="69">
        <f t="shared" si="4"/>
        <v>416235</v>
      </c>
      <c r="K22" s="297">
        <f t="shared" si="3"/>
        <v>18556692</v>
      </c>
      <c r="L22" s="297">
        <v>18536995</v>
      </c>
      <c r="M22" s="297">
        <f t="shared" si="2"/>
        <v>18546843.5</v>
      </c>
      <c r="O22" s="72"/>
    </row>
    <row r="23" spans="1:15" ht="15" customHeight="1" x14ac:dyDescent="0.2">
      <c r="A23" s="83" t="s">
        <v>22</v>
      </c>
      <c r="B23" s="3" t="s">
        <v>23</v>
      </c>
      <c r="C23" s="133">
        <f>239494+15008362+16917012+5540425+353141</f>
        <v>38058434</v>
      </c>
      <c r="D23" s="456">
        <v>72479</v>
      </c>
      <c r="E23" s="92">
        <v>4730877</v>
      </c>
      <c r="F23" s="435"/>
      <c r="G23" s="188">
        <v>1016357</v>
      </c>
      <c r="H23" s="188">
        <v>1404363</v>
      </c>
      <c r="I23" s="188">
        <f>316567+13761</f>
        <v>330328</v>
      </c>
      <c r="J23" s="69">
        <f t="shared" si="4"/>
        <v>7554404</v>
      </c>
      <c r="K23" s="297">
        <f t="shared" si="3"/>
        <v>45612838</v>
      </c>
      <c r="L23" s="297">
        <v>42163692</v>
      </c>
      <c r="M23" s="297">
        <f t="shared" si="2"/>
        <v>43888265</v>
      </c>
      <c r="O23" s="72"/>
    </row>
    <row r="24" spans="1:15" ht="15" customHeight="1" x14ac:dyDescent="0.2">
      <c r="A24" s="83" t="s">
        <v>24</v>
      </c>
      <c r="B24" s="3" t="s">
        <v>137</v>
      </c>
      <c r="C24" s="133">
        <f>387445+7586175</f>
        <v>7973620</v>
      </c>
      <c r="D24" s="456">
        <v>-121542</v>
      </c>
      <c r="E24" s="92">
        <v>-330196</v>
      </c>
      <c r="F24" s="436">
        <v>62616</v>
      </c>
      <c r="G24" s="131"/>
      <c r="H24" s="92"/>
      <c r="I24" s="92"/>
      <c r="J24" s="69">
        <f t="shared" si="4"/>
        <v>-389122</v>
      </c>
      <c r="K24" s="297">
        <f t="shared" si="3"/>
        <v>7584498</v>
      </c>
      <c r="L24" s="297">
        <v>7722394</v>
      </c>
      <c r="M24" s="297">
        <f t="shared" si="2"/>
        <v>7653446</v>
      </c>
      <c r="O24" s="72"/>
    </row>
    <row r="25" spans="1:15" ht="15" customHeight="1" x14ac:dyDescent="0.2">
      <c r="A25" s="83" t="s">
        <v>27</v>
      </c>
      <c r="B25" s="3" t="s">
        <v>132</v>
      </c>
      <c r="C25" s="133">
        <f>294536+17639745</f>
        <v>17934281</v>
      </c>
      <c r="D25" s="456">
        <v>19070</v>
      </c>
      <c r="E25" s="92">
        <v>1144767</v>
      </c>
      <c r="F25" s="435"/>
      <c r="G25" s="131"/>
      <c r="H25" s="131"/>
      <c r="I25" s="92"/>
      <c r="J25" s="69">
        <f t="shared" si="4"/>
        <v>1163837</v>
      </c>
      <c r="K25" s="297">
        <f t="shared" si="3"/>
        <v>19098118</v>
      </c>
      <c r="L25" s="297">
        <v>18420361</v>
      </c>
      <c r="M25" s="297">
        <f t="shared" si="2"/>
        <v>18759239.5</v>
      </c>
      <c r="O25" s="72"/>
    </row>
    <row r="26" spans="1:15" ht="15" customHeight="1" x14ac:dyDescent="0.2">
      <c r="A26" s="83" t="s">
        <v>29</v>
      </c>
      <c r="B26" s="463" t="s">
        <v>133</v>
      </c>
      <c r="C26" s="133">
        <f>106141+12296342</f>
        <v>12402483</v>
      </c>
      <c r="D26" s="456">
        <v>6979</v>
      </c>
      <c r="E26" s="92">
        <v>-762694</v>
      </c>
      <c r="F26" s="435"/>
      <c r="G26" s="131"/>
      <c r="H26" s="92"/>
      <c r="I26" s="92"/>
      <c r="J26" s="69">
        <f t="shared" si="4"/>
        <v>-755715</v>
      </c>
      <c r="K26" s="297">
        <f t="shared" si="3"/>
        <v>11646768</v>
      </c>
      <c r="L26" s="297">
        <v>11993693</v>
      </c>
      <c r="M26" s="297">
        <f t="shared" si="2"/>
        <v>11820230.5</v>
      </c>
      <c r="O26" s="72"/>
    </row>
    <row r="27" spans="1:15" ht="15" customHeight="1" x14ac:dyDescent="0.2">
      <c r="A27" s="83" t="s">
        <v>31</v>
      </c>
      <c r="B27" s="3" t="s">
        <v>134</v>
      </c>
      <c r="C27" s="133">
        <f>178085+8907514</f>
        <v>9085599</v>
      </c>
      <c r="D27" s="456">
        <v>-26422</v>
      </c>
      <c r="E27" s="92">
        <v>-1458080</v>
      </c>
      <c r="F27" s="436">
        <v>37003</v>
      </c>
      <c r="G27" s="131"/>
      <c r="H27" s="92"/>
      <c r="I27" s="92"/>
      <c r="J27" s="69">
        <f>SUM(D27:I27)</f>
        <v>-1447499</v>
      </c>
      <c r="K27" s="297">
        <f>+C27+J27</f>
        <v>7638100</v>
      </c>
      <c r="L27" s="297">
        <v>6852943</v>
      </c>
      <c r="M27" s="297">
        <f t="shared" si="2"/>
        <v>7245521.5</v>
      </c>
      <c r="O27" s="72"/>
    </row>
    <row r="28" spans="1:15" ht="15" customHeight="1" x14ac:dyDescent="0.2">
      <c r="A28" s="83" t="s">
        <v>33</v>
      </c>
      <c r="B28" s="3" t="s">
        <v>130</v>
      </c>
      <c r="C28" s="133">
        <f>208198+2786793</f>
        <v>2994991</v>
      </c>
      <c r="D28" s="456">
        <v>26492</v>
      </c>
      <c r="E28" s="92">
        <v>-300483</v>
      </c>
      <c r="F28" s="435"/>
      <c r="G28" s="131"/>
      <c r="H28" s="92"/>
      <c r="I28" s="92"/>
      <c r="J28" s="69">
        <f>SUM(D28:I28)</f>
        <v>-273991</v>
      </c>
      <c r="K28" s="297">
        <f t="shared" si="3"/>
        <v>2721000</v>
      </c>
      <c r="L28" s="297">
        <v>2607184</v>
      </c>
      <c r="M28" s="297">
        <f t="shared" si="2"/>
        <v>2664092</v>
      </c>
      <c r="O28" s="72"/>
    </row>
    <row r="29" spans="1:15" ht="15" customHeight="1" x14ac:dyDescent="0.2">
      <c r="A29" s="83" t="s">
        <v>35</v>
      </c>
      <c r="B29" s="3" t="s">
        <v>36</v>
      </c>
      <c r="C29" s="133">
        <f>25317+9972467</f>
        <v>9997784</v>
      </c>
      <c r="D29" s="456">
        <v>5990</v>
      </c>
      <c r="E29" s="92">
        <v>-176711</v>
      </c>
      <c r="F29" s="436"/>
      <c r="G29" s="131"/>
      <c r="H29" s="92"/>
      <c r="I29" s="92"/>
      <c r="J29" s="69">
        <f t="shared" si="4"/>
        <v>-170721</v>
      </c>
      <c r="K29" s="297">
        <f t="shared" si="3"/>
        <v>9827063</v>
      </c>
      <c r="L29" s="297">
        <v>9860212</v>
      </c>
      <c r="M29" s="297">
        <f t="shared" si="2"/>
        <v>9843637.5</v>
      </c>
      <c r="O29" s="72"/>
    </row>
    <row r="30" spans="1:15" ht="15" customHeight="1" x14ac:dyDescent="0.2">
      <c r="A30" s="83" t="s">
        <v>37</v>
      </c>
      <c r="B30" s="3" t="s">
        <v>131</v>
      </c>
      <c r="C30" s="133">
        <f>304963+6579699</f>
        <v>6884662</v>
      </c>
      <c r="D30" s="456">
        <v>44980</v>
      </c>
      <c r="E30" s="92">
        <v>180654</v>
      </c>
      <c r="F30" s="437">
        <f>5939+70657</f>
        <v>76596</v>
      </c>
      <c r="G30" s="131"/>
      <c r="H30" s="92"/>
      <c r="I30" s="92"/>
      <c r="J30" s="69">
        <f t="shared" si="4"/>
        <v>302230</v>
      </c>
      <c r="K30" s="297">
        <f t="shared" si="3"/>
        <v>7186892</v>
      </c>
      <c r="L30" s="297">
        <v>7132286</v>
      </c>
      <c r="M30" s="297">
        <f t="shared" si="2"/>
        <v>7159589</v>
      </c>
      <c r="O30" s="72"/>
    </row>
    <row r="31" spans="1:15" ht="15" customHeight="1" x14ac:dyDescent="0.2">
      <c r="A31" s="83" t="s">
        <v>39</v>
      </c>
      <c r="B31" s="3" t="s">
        <v>135</v>
      </c>
      <c r="C31" s="133">
        <f>92728+12211222</f>
        <v>12303950</v>
      </c>
      <c r="D31" s="456">
        <v>-2413</v>
      </c>
      <c r="E31" s="92">
        <v>-242345</v>
      </c>
      <c r="F31" s="166"/>
      <c r="G31" s="131"/>
      <c r="H31" s="92"/>
      <c r="I31" s="92"/>
      <c r="J31" s="69">
        <f t="shared" si="4"/>
        <v>-244758</v>
      </c>
      <c r="K31" s="297">
        <f t="shared" si="3"/>
        <v>12059192</v>
      </c>
      <c r="L31" s="297">
        <v>11110122</v>
      </c>
      <c r="M31" s="297">
        <f t="shared" si="2"/>
        <v>11584657</v>
      </c>
      <c r="O31" s="72"/>
    </row>
    <row r="32" spans="1:15" ht="15" customHeight="1" x14ac:dyDescent="0.2">
      <c r="A32" s="83" t="s">
        <v>46</v>
      </c>
      <c r="B32" s="3" t="s">
        <v>70</v>
      </c>
      <c r="C32" s="133">
        <f>80791+13051871</f>
        <v>13132662</v>
      </c>
      <c r="D32" s="456">
        <v>22739</v>
      </c>
      <c r="E32" s="92">
        <v>218548</v>
      </c>
      <c r="F32" s="437"/>
      <c r="G32" s="131"/>
      <c r="H32" s="131"/>
      <c r="I32" s="92"/>
      <c r="J32" s="69">
        <f t="shared" si="4"/>
        <v>241287</v>
      </c>
      <c r="K32" s="297">
        <f t="shared" si="3"/>
        <v>13373949</v>
      </c>
      <c r="L32" s="297">
        <v>13204517</v>
      </c>
      <c r="M32" s="297">
        <f t="shared" si="2"/>
        <v>13289233</v>
      </c>
      <c r="O32" s="72"/>
    </row>
    <row r="33" spans="1:15" ht="15" customHeight="1" x14ac:dyDescent="0.2">
      <c r="A33" s="83" t="s">
        <v>41</v>
      </c>
      <c r="B33" s="3" t="s">
        <v>117</v>
      </c>
      <c r="C33" s="133">
        <f>42792+9580678</f>
        <v>9623470</v>
      </c>
      <c r="D33" s="456">
        <v>3162</v>
      </c>
      <c r="E33" s="92">
        <v>-745990</v>
      </c>
      <c r="F33" s="436">
        <v>66796</v>
      </c>
      <c r="G33" s="131"/>
      <c r="H33" s="92"/>
      <c r="I33" s="92"/>
      <c r="J33" s="69">
        <f t="shared" si="4"/>
        <v>-676032</v>
      </c>
      <c r="K33" s="297">
        <f t="shared" si="3"/>
        <v>8947438</v>
      </c>
      <c r="L33" s="297">
        <v>8613462</v>
      </c>
      <c r="M33" s="297">
        <f t="shared" si="2"/>
        <v>8780450</v>
      </c>
      <c r="O33" s="72"/>
    </row>
    <row r="34" spans="1:15" ht="15" customHeight="1" x14ac:dyDescent="0.2">
      <c r="A34" s="83" t="s">
        <v>42</v>
      </c>
      <c r="B34" s="3" t="s">
        <v>69</v>
      </c>
      <c r="C34" s="133">
        <f>1556762+3358724+4150319+1379658</f>
        <v>10445463</v>
      </c>
      <c r="D34" s="456">
        <v>23779</v>
      </c>
      <c r="E34" s="92">
        <v>-331549</v>
      </c>
      <c r="F34" s="437"/>
      <c r="G34" s="188">
        <v>303998</v>
      </c>
      <c r="H34" s="188">
        <v>-384970</v>
      </c>
      <c r="I34" s="188">
        <v>10841</v>
      </c>
      <c r="J34" s="69">
        <f t="shared" si="4"/>
        <v>-377901</v>
      </c>
      <c r="K34" s="297">
        <f>+C34+J34</f>
        <v>10067562</v>
      </c>
      <c r="L34" s="297">
        <v>9542162</v>
      </c>
      <c r="M34" s="297">
        <f t="shared" si="2"/>
        <v>9804862</v>
      </c>
      <c r="O34" s="72"/>
    </row>
    <row r="35" spans="1:15" ht="15" customHeight="1" x14ac:dyDescent="0.2">
      <c r="A35" s="83" t="s">
        <v>43</v>
      </c>
      <c r="B35" s="3" t="s">
        <v>44</v>
      </c>
      <c r="C35" s="133">
        <f>830520+14975468+15773361+5749462+378614</f>
        <v>37707425</v>
      </c>
      <c r="D35" s="456">
        <v>-110055</v>
      </c>
      <c r="E35" s="92">
        <v>-3420879</v>
      </c>
      <c r="F35" s="435"/>
      <c r="G35" s="188">
        <v>1246565</v>
      </c>
      <c r="H35" s="188">
        <v>-1237163</v>
      </c>
      <c r="I35" s="188">
        <v>-188933</v>
      </c>
      <c r="J35" s="69">
        <f t="shared" si="4"/>
        <v>-3710465</v>
      </c>
      <c r="K35" s="297">
        <f t="shared" si="3"/>
        <v>33996960</v>
      </c>
      <c r="L35" s="297">
        <v>34592001</v>
      </c>
      <c r="M35" s="297">
        <f t="shared" si="2"/>
        <v>34294480.5</v>
      </c>
      <c r="O35" s="72"/>
    </row>
    <row r="36" spans="1:15" ht="15" customHeight="1" x14ac:dyDescent="0.2">
      <c r="A36" s="83" t="s">
        <v>45</v>
      </c>
      <c r="B36" s="3" t="s">
        <v>136</v>
      </c>
      <c r="C36" s="133">
        <f>62448+10065560</f>
        <v>10128008</v>
      </c>
      <c r="D36" s="456">
        <v>-5838</v>
      </c>
      <c r="E36" s="92">
        <v>327672</v>
      </c>
      <c r="F36" s="435"/>
      <c r="G36" s="131"/>
      <c r="H36" s="92"/>
      <c r="I36" s="92"/>
      <c r="J36" s="69">
        <f t="shared" si="4"/>
        <v>321834</v>
      </c>
      <c r="K36" s="297">
        <f t="shared" si="3"/>
        <v>10449842</v>
      </c>
      <c r="L36" s="297">
        <v>10376129</v>
      </c>
      <c r="M36" s="297">
        <f t="shared" si="2"/>
        <v>10412985.5</v>
      </c>
      <c r="O36" s="72"/>
    </row>
    <row r="37" spans="1:15" ht="15" customHeight="1" x14ac:dyDescent="0.2">
      <c r="A37" s="83" t="s">
        <v>47</v>
      </c>
      <c r="B37" s="3" t="s">
        <v>48</v>
      </c>
      <c r="C37" s="133">
        <f>8609056+12655993+2799216+447171</f>
        <v>24511436</v>
      </c>
      <c r="D37" s="456"/>
      <c r="E37" s="92">
        <v>517959</v>
      </c>
      <c r="F37" s="435"/>
      <c r="G37" s="188">
        <v>669751</v>
      </c>
      <c r="H37" s="188">
        <v>-395899</v>
      </c>
      <c r="I37" s="188">
        <f>-94729-13542</f>
        <v>-108271</v>
      </c>
      <c r="J37" s="69">
        <f t="shared" si="4"/>
        <v>683540</v>
      </c>
      <c r="K37" s="297">
        <f t="shared" si="3"/>
        <v>25194976</v>
      </c>
      <c r="L37" s="297">
        <v>25041953</v>
      </c>
      <c r="M37" s="297">
        <f t="shared" si="2"/>
        <v>25118464.5</v>
      </c>
      <c r="O37" s="72"/>
    </row>
    <row r="39" spans="1:15" ht="15" customHeight="1" x14ac:dyDescent="0.2">
      <c r="B39" s="64" t="s">
        <v>49</v>
      </c>
      <c r="C39" s="55">
        <f t="shared" ref="C39:M39" si="6">SUM(C8:C38)</f>
        <v>417883227</v>
      </c>
      <c r="D39" s="55">
        <f t="shared" si="6"/>
        <v>-217822</v>
      </c>
      <c r="E39" s="55">
        <f t="shared" si="6"/>
        <v>-4084107</v>
      </c>
      <c r="F39" s="55">
        <f t="shared" si="6"/>
        <v>464391</v>
      </c>
      <c r="G39" s="55">
        <f t="shared" si="6"/>
        <v>4167219</v>
      </c>
      <c r="H39" s="55">
        <f t="shared" si="6"/>
        <v>-427745</v>
      </c>
      <c r="I39" s="55">
        <f t="shared" si="6"/>
        <v>-254398</v>
      </c>
      <c r="J39" s="72">
        <f t="shared" si="6"/>
        <v>-352462</v>
      </c>
      <c r="K39" s="52">
        <f t="shared" si="6"/>
        <v>417530765</v>
      </c>
      <c r="L39" s="52">
        <f t="shared" si="6"/>
        <v>408911420</v>
      </c>
      <c r="M39" s="52">
        <f t="shared" si="6"/>
        <v>413221092.5</v>
      </c>
    </row>
    <row r="40" spans="1:15" ht="12" customHeight="1" x14ac:dyDescent="0.2">
      <c r="C40" s="55"/>
      <c r="K40" s="52"/>
      <c r="L40" s="52"/>
      <c r="M40" s="52"/>
    </row>
    <row r="41" spans="1:15" ht="12" customHeight="1" x14ac:dyDescent="0.2">
      <c r="A41" s="16" t="s">
        <v>305</v>
      </c>
    </row>
    <row r="42" spans="1:15" ht="12" customHeight="1" x14ac:dyDescent="0.2">
      <c r="A42" s="85" t="str">
        <f>'FY2015 Detail'!B40</f>
        <v>s:\finance\bargain\FY23 allocation\Summary of FY2023 Institutional Allocation Draft</v>
      </c>
      <c r="E42" s="189"/>
      <c r="F42" s="189"/>
      <c r="G42" s="189"/>
      <c r="H42" s="189"/>
    </row>
    <row r="43" spans="1:15" ht="12" customHeight="1" x14ac:dyDescent="0.2">
      <c r="A43" s="85"/>
      <c r="E43" s="189"/>
      <c r="F43" s="189"/>
      <c r="G43" s="189"/>
      <c r="H43" s="189"/>
    </row>
    <row r="44" spans="1:15" ht="15" customHeight="1" x14ac:dyDescent="0.2">
      <c r="C44" s="52"/>
      <c r="E44" s="52"/>
      <c r="H44" s="190"/>
      <c r="K44" s="52"/>
      <c r="L44" s="52"/>
      <c r="M44" s="297"/>
    </row>
    <row r="45" spans="1:15" ht="15" customHeight="1" x14ac:dyDescent="0.2">
      <c r="C45" s="57">
        <f>8943299+308189187+79645709+22754819+1669142</f>
        <v>421202156</v>
      </c>
    </row>
    <row r="47" spans="1:15" ht="15" customHeight="1" x14ac:dyDescent="0.2">
      <c r="E47" s="191"/>
      <c r="F47" s="191"/>
      <c r="G47" s="191"/>
    </row>
    <row r="49" spans="8:8" ht="15" customHeight="1" x14ac:dyDescent="0.2">
      <c r="H49" s="191"/>
    </row>
  </sheetData>
  <phoneticPr fontId="11" type="noConversion"/>
  <pageMargins left="0.31" right="0.13" top="0.56000000000000005" bottom="0.24" header="0.5" footer="0.21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  <pageSetUpPr fitToPage="1"/>
  </sheetPr>
  <dimension ref="A1:I44"/>
  <sheetViews>
    <sheetView zoomScale="80" workbookViewId="0">
      <selection activeCell="E36" sqref="E36"/>
    </sheetView>
  </sheetViews>
  <sheetFormatPr defaultColWidth="9.140625" defaultRowHeight="15" customHeight="1" x14ac:dyDescent="0.2"/>
  <cols>
    <col min="1" max="1" width="6.28515625" style="54" customWidth="1"/>
    <col min="2" max="2" width="32.28515625" style="54" customWidth="1"/>
    <col min="3" max="3" width="22.85546875" style="54" customWidth="1"/>
    <col min="4" max="4" width="17.42578125" style="54" customWidth="1"/>
    <col min="5" max="5" width="23.85546875" style="54" customWidth="1"/>
    <col min="6" max="6" width="10.28515625" style="52" customWidth="1"/>
    <col min="7" max="7" width="24.7109375" style="104" customWidth="1"/>
    <col min="8" max="16384" width="9.140625" style="54"/>
  </cols>
  <sheetData>
    <row r="1" spans="1:9" ht="15" customHeight="1" x14ac:dyDescent="0.25">
      <c r="A1" s="106" t="s">
        <v>72</v>
      </c>
      <c r="G1" s="446" t="s">
        <v>280</v>
      </c>
    </row>
    <row r="2" spans="1:9" ht="15" customHeight="1" x14ac:dyDescent="0.2">
      <c r="A2" s="87" t="s">
        <v>87</v>
      </c>
    </row>
    <row r="3" spans="1:9" ht="15" customHeight="1" x14ac:dyDescent="0.2">
      <c r="A3" s="87" t="s">
        <v>314</v>
      </c>
      <c r="I3" s="87"/>
    </row>
    <row r="4" spans="1:9" ht="15" customHeight="1" x14ac:dyDescent="0.2">
      <c r="A4" s="87" t="s">
        <v>176</v>
      </c>
      <c r="E4" s="103" t="s">
        <v>116</v>
      </c>
      <c r="G4" s="140" t="s">
        <v>88</v>
      </c>
    </row>
    <row r="5" spans="1:9" s="103" customFormat="1" ht="15" customHeight="1" x14ac:dyDescent="0.2">
      <c r="C5" s="103" t="s">
        <v>79</v>
      </c>
      <c r="D5" s="103" t="s">
        <v>74</v>
      </c>
      <c r="E5" s="103" t="s">
        <v>75</v>
      </c>
      <c r="F5" s="141" t="s">
        <v>76</v>
      </c>
      <c r="G5" s="140" t="s">
        <v>77</v>
      </c>
    </row>
    <row r="6" spans="1:9" ht="42" customHeight="1" x14ac:dyDescent="0.2">
      <c r="A6" s="142" t="s">
        <v>0</v>
      </c>
      <c r="B6" s="142" t="s">
        <v>1</v>
      </c>
      <c r="C6" s="143" t="s">
        <v>315</v>
      </c>
      <c r="D6" s="144" t="s">
        <v>119</v>
      </c>
      <c r="E6" s="143" t="s">
        <v>316</v>
      </c>
      <c r="F6" s="142" t="s">
        <v>313</v>
      </c>
      <c r="G6" s="145" t="s">
        <v>89</v>
      </c>
    </row>
    <row r="7" spans="1:9" ht="15" customHeight="1" x14ac:dyDescent="0.2">
      <c r="A7" s="146"/>
      <c r="B7" s="146"/>
      <c r="C7" s="147"/>
      <c r="D7" s="148"/>
      <c r="E7" s="148"/>
      <c r="F7" s="149"/>
    </row>
    <row r="8" spans="1:9" ht="15" customHeight="1" x14ac:dyDescent="0.2">
      <c r="A8" s="10" t="s">
        <v>2</v>
      </c>
      <c r="B8" s="3" t="s">
        <v>128</v>
      </c>
      <c r="C8" s="150">
        <v>2232315.37</v>
      </c>
      <c r="D8" s="151">
        <f>'Revenue Offset'!G8</f>
        <v>0.46003292614045088</v>
      </c>
      <c r="E8" s="152">
        <f t="shared" ref="E8:E13" si="0">C8*(1-D8)</f>
        <v>1205376.7982705969</v>
      </c>
      <c r="F8" s="53">
        <f>Summary!D6</f>
        <v>1690</v>
      </c>
      <c r="G8" s="484">
        <f>E8/F8</f>
        <v>713.24070903585618</v>
      </c>
      <c r="H8" s="158"/>
      <c r="I8" s="55"/>
    </row>
    <row r="9" spans="1:9" ht="15" customHeight="1" x14ac:dyDescent="0.2">
      <c r="A9" s="10" t="s">
        <v>4</v>
      </c>
      <c r="B9" s="3" t="s">
        <v>124</v>
      </c>
      <c r="C9" s="150">
        <v>7978064.9800000004</v>
      </c>
      <c r="D9" s="151">
        <f>'Revenue Offset'!G9</f>
        <v>0.49772736108685306</v>
      </c>
      <c r="E9" s="152">
        <f>C9*(1-D9)</f>
        <v>4007163.7509251628</v>
      </c>
      <c r="F9" s="53">
        <f>Summary!D7</f>
        <v>6313</v>
      </c>
      <c r="G9" s="484">
        <f t="shared" ref="G9:G37" si="1">E9/F9</f>
        <v>634.74794090371654</v>
      </c>
      <c r="H9" s="158"/>
      <c r="I9" s="55"/>
    </row>
    <row r="10" spans="1:9" ht="15" customHeight="1" x14ac:dyDescent="0.2">
      <c r="A10" s="10" t="s">
        <v>5</v>
      </c>
      <c r="B10" s="3" t="s">
        <v>113</v>
      </c>
      <c r="C10" s="173">
        <v>8155647.9100000001</v>
      </c>
      <c r="D10" s="151">
        <f>'Revenue Offset'!G10</f>
        <v>0.57080304104372648</v>
      </c>
      <c r="E10" s="152">
        <f t="shared" si="0"/>
        <v>3500379.2812900878</v>
      </c>
      <c r="F10" s="53">
        <f>Summary!D8</f>
        <v>4265</v>
      </c>
      <c r="G10" s="484">
        <f t="shared" si="1"/>
        <v>820.72198857915305</v>
      </c>
      <c r="H10" s="464"/>
      <c r="I10" s="55"/>
    </row>
    <row r="11" spans="1:9" ht="15" customHeight="1" x14ac:dyDescent="0.2">
      <c r="A11" s="10" t="s">
        <v>6</v>
      </c>
      <c r="B11" s="3" t="s">
        <v>7</v>
      </c>
      <c r="C11" s="173">
        <v>3622378.41</v>
      </c>
      <c r="D11" s="151">
        <f>'Revenue Offset'!G11</f>
        <v>0.43497597530505389</v>
      </c>
      <c r="E11" s="152">
        <f t="shared" si="0"/>
        <v>2046730.8281862796</v>
      </c>
      <c r="F11" s="53">
        <f>Summary!D9</f>
        <v>2547</v>
      </c>
      <c r="G11" s="484">
        <f t="shared" si="1"/>
        <v>803.58493450580272</v>
      </c>
      <c r="H11" s="464"/>
      <c r="I11" s="55"/>
    </row>
    <row r="12" spans="1:9" ht="15" customHeight="1" x14ac:dyDescent="0.2">
      <c r="A12" s="10" t="s">
        <v>8</v>
      </c>
      <c r="B12" s="3" t="s">
        <v>9</v>
      </c>
      <c r="C12" s="150">
        <v>6328797.5</v>
      </c>
      <c r="D12" s="151">
        <f>'Revenue Offset'!G12</f>
        <v>0.4996004376283093</v>
      </c>
      <c r="E12" s="152">
        <f t="shared" si="0"/>
        <v>3166927.4993390501</v>
      </c>
      <c r="F12" s="53">
        <f>Summary!D10</f>
        <v>5558</v>
      </c>
      <c r="G12" s="484">
        <f t="shared" si="1"/>
        <v>569.79623953563339</v>
      </c>
      <c r="H12" s="464"/>
      <c r="I12" s="55"/>
    </row>
    <row r="13" spans="1:9" ht="15" customHeight="1" x14ac:dyDescent="0.2">
      <c r="A13" s="10" t="s">
        <v>10</v>
      </c>
      <c r="B13" s="3" t="s">
        <v>146</v>
      </c>
      <c r="C13" s="150">
        <v>7016561.1299999999</v>
      </c>
      <c r="D13" s="151">
        <f>'Revenue Offset'!G13</f>
        <v>0.48999835783470663</v>
      </c>
      <c r="E13" s="152">
        <f t="shared" si="0"/>
        <v>3578457.6986531662</v>
      </c>
      <c r="F13" s="53">
        <f>Summary!D11</f>
        <v>4439</v>
      </c>
      <c r="G13" s="484">
        <f t="shared" si="1"/>
        <v>806.140504314748</v>
      </c>
      <c r="H13" s="464"/>
      <c r="I13" s="55"/>
    </row>
    <row r="14" spans="1:9" ht="15" customHeight="1" x14ac:dyDescent="0.2">
      <c r="A14" s="10" t="s">
        <v>12</v>
      </c>
      <c r="B14" s="3" t="s">
        <v>13</v>
      </c>
      <c r="C14" s="150">
        <v>1351517.81</v>
      </c>
      <c r="D14" s="151">
        <f>'Revenue Offset'!G14</f>
        <v>0.33315161885150563</v>
      </c>
      <c r="E14" s="152">
        <f t="shared" ref="E14:E37" si="2">C14*(1-D14)</f>
        <v>901257.46369185846</v>
      </c>
      <c r="F14" s="53">
        <f>Summary!D12</f>
        <v>786</v>
      </c>
      <c r="G14" s="484">
        <f t="shared" si="1"/>
        <v>1146.637994518904</v>
      </c>
      <c r="H14" s="464"/>
      <c r="I14" s="55"/>
    </row>
    <row r="15" spans="1:9" ht="15" customHeight="1" x14ac:dyDescent="0.2">
      <c r="A15" s="10" t="s">
        <v>14</v>
      </c>
      <c r="B15" s="3" t="s">
        <v>139</v>
      </c>
      <c r="C15" s="150">
        <v>4491719.92</v>
      </c>
      <c r="D15" s="151">
        <f>'Revenue Offset'!G15</f>
        <v>0.41926694079864041</v>
      </c>
      <c r="E15" s="152">
        <f t="shared" si="2"/>
        <v>2608490.2502172859</v>
      </c>
      <c r="F15" s="53">
        <f>Summary!D13</f>
        <v>2712</v>
      </c>
      <c r="G15" s="484">
        <f t="shared" si="1"/>
        <v>961.83268813321752</v>
      </c>
      <c r="H15" s="464"/>
      <c r="I15" s="55"/>
    </row>
    <row r="16" spans="1:9" ht="15" customHeight="1" x14ac:dyDescent="0.2">
      <c r="A16" s="10" t="s">
        <v>16</v>
      </c>
      <c r="B16" s="3" t="s">
        <v>17</v>
      </c>
      <c r="C16" s="150">
        <v>3174972.03</v>
      </c>
      <c r="D16" s="151">
        <f>'Revenue Offset'!G16</f>
        <v>0.4336552229324242</v>
      </c>
      <c r="E16" s="152">
        <f t="shared" si="2"/>
        <v>1798128.8265261385</v>
      </c>
      <c r="F16" s="53">
        <f>Summary!D14</f>
        <v>2775</v>
      </c>
      <c r="G16" s="484">
        <f t="shared" si="1"/>
        <v>647.97435190131114</v>
      </c>
      <c r="H16" s="464"/>
      <c r="I16" s="55"/>
    </row>
    <row r="17" spans="1:9" ht="15" customHeight="1" x14ac:dyDescent="0.2">
      <c r="A17" s="10" t="s">
        <v>18</v>
      </c>
      <c r="B17" s="3" t="s">
        <v>140</v>
      </c>
      <c r="C17" s="150">
        <v>23614324.219999999</v>
      </c>
      <c r="D17" s="151">
        <f>'Revenue Offset'!G17</f>
        <v>0.6005167250745268</v>
      </c>
      <c r="E17" s="152">
        <f t="shared" si="2"/>
        <v>9433527.5745575204</v>
      </c>
      <c r="F17" s="53">
        <f>Summary!D15</f>
        <v>5757</v>
      </c>
      <c r="G17" s="484">
        <f t="shared" si="1"/>
        <v>1638.6186511303665</v>
      </c>
      <c r="H17" s="464"/>
      <c r="I17" s="55"/>
    </row>
    <row r="18" spans="1:9" ht="14.25" customHeight="1" x14ac:dyDescent="0.2">
      <c r="A18" s="10" t="s">
        <v>19</v>
      </c>
      <c r="B18" s="3" t="s">
        <v>129</v>
      </c>
      <c r="C18" s="173">
        <v>6936504.8300000001</v>
      </c>
      <c r="D18" s="151">
        <f>'Revenue Offset'!G18</f>
        <v>0.4511599203894881</v>
      </c>
      <c r="E18" s="152">
        <f t="shared" si="2"/>
        <v>3807031.8631159007</v>
      </c>
      <c r="F18" s="53">
        <f>Summary!D16</f>
        <v>4219</v>
      </c>
      <c r="G18" s="484">
        <f t="shared" si="1"/>
        <v>902.35407990421913</v>
      </c>
      <c r="H18" s="464"/>
      <c r="I18" s="55"/>
    </row>
    <row r="19" spans="1:9" ht="15" customHeight="1" x14ac:dyDescent="0.2">
      <c r="A19" s="37" t="s">
        <v>118</v>
      </c>
      <c r="B19" s="3" t="s">
        <v>331</v>
      </c>
      <c r="C19" s="173">
        <v>3278811.35</v>
      </c>
      <c r="D19" s="151">
        <f>'Revenue Offset'!G19</f>
        <v>0.39845699457742023</v>
      </c>
      <c r="E19" s="152">
        <f>C19*(1-D19)</f>
        <v>1972346.0336926661</v>
      </c>
      <c r="F19" s="53">
        <f>Summary!D17</f>
        <v>2669</v>
      </c>
      <c r="G19" s="484">
        <f>E19/F19</f>
        <v>738.98315237642043</v>
      </c>
      <c r="H19" s="464"/>
      <c r="I19" s="55"/>
    </row>
    <row r="20" spans="1:9" ht="15" customHeight="1" x14ac:dyDescent="0.2">
      <c r="A20" s="10" t="s">
        <v>21</v>
      </c>
      <c r="B20" s="121" t="s">
        <v>177</v>
      </c>
      <c r="C20" s="150">
        <v>2085497.59</v>
      </c>
      <c r="D20" s="151">
        <f>'Revenue Offset'!G20</f>
        <v>0.39377509948195011</v>
      </c>
      <c r="E20" s="152">
        <f t="shared" si="2"/>
        <v>1264280.5690283829</v>
      </c>
      <c r="F20" s="53">
        <f>Summary!D18</f>
        <v>1110</v>
      </c>
      <c r="G20" s="484">
        <f t="shared" si="1"/>
        <v>1138.9915036291738</v>
      </c>
      <c r="H20" s="464"/>
      <c r="I20" s="55"/>
    </row>
    <row r="21" spans="1:9" ht="15" customHeight="1" x14ac:dyDescent="0.2">
      <c r="A21" s="37" t="s">
        <v>109</v>
      </c>
      <c r="B21" s="3" t="s">
        <v>141</v>
      </c>
      <c r="C21" s="150">
        <v>4628431.33</v>
      </c>
      <c r="D21" s="151">
        <f>'Revenue Offset'!G21</f>
        <v>0.44393982996697445</v>
      </c>
      <c r="E21" s="152">
        <f t="shared" si="2"/>
        <v>2573686.3123459825</v>
      </c>
      <c r="F21" s="53">
        <f>Summary!D19</f>
        <v>3433</v>
      </c>
      <c r="G21" s="484">
        <f t="shared" si="1"/>
        <v>749.69015798018711</v>
      </c>
      <c r="H21" s="464"/>
      <c r="I21" s="55"/>
    </row>
    <row r="22" spans="1:9" ht="15" customHeight="1" x14ac:dyDescent="0.2">
      <c r="A22" s="10" t="s">
        <v>26</v>
      </c>
      <c r="B22" s="3" t="s">
        <v>62</v>
      </c>
      <c r="C22" s="150">
        <v>13655294.119999999</v>
      </c>
      <c r="D22" s="151">
        <f>'Revenue Offset'!G22</f>
        <v>0.59115937666174934</v>
      </c>
      <c r="E22" s="152">
        <f t="shared" si="2"/>
        <v>5582838.9598879488</v>
      </c>
      <c r="F22" s="53">
        <f>Summary!D20</f>
        <v>4893</v>
      </c>
      <c r="G22" s="484">
        <f t="shared" si="1"/>
        <v>1140.9848681561309</v>
      </c>
      <c r="H22" s="464"/>
      <c r="I22" s="55"/>
    </row>
    <row r="23" spans="1:9" ht="15" customHeight="1" x14ac:dyDescent="0.2">
      <c r="A23" s="10" t="s">
        <v>22</v>
      </c>
      <c r="B23" s="3" t="s">
        <v>23</v>
      </c>
      <c r="C23" s="150">
        <v>33872183.439999998</v>
      </c>
      <c r="D23" s="151">
        <f>'Revenue Offset'!G23</f>
        <v>0.66134355642338016</v>
      </c>
      <c r="E23" s="152">
        <f t="shared" si="2"/>
        <v>11471033.179965276</v>
      </c>
      <c r="F23" s="53">
        <f>Summary!D21</f>
        <v>13421</v>
      </c>
      <c r="G23" s="484">
        <f t="shared" si="1"/>
        <v>854.70778481225511</v>
      </c>
      <c r="H23" s="464"/>
      <c r="I23" s="55"/>
    </row>
    <row r="24" spans="1:9" ht="15" customHeight="1" x14ac:dyDescent="0.2">
      <c r="A24" s="10" t="s">
        <v>24</v>
      </c>
      <c r="B24" s="3" t="s">
        <v>137</v>
      </c>
      <c r="C24" s="150">
        <v>2384884.7599999998</v>
      </c>
      <c r="D24" s="151">
        <f>'Revenue Offset'!G24</f>
        <v>0.42545911482131288</v>
      </c>
      <c r="E24" s="152">
        <f t="shared" si="2"/>
        <v>1370213.8010595606</v>
      </c>
      <c r="F24" s="53">
        <f>Summary!D22</f>
        <v>1837</v>
      </c>
      <c r="G24" s="484">
        <f t="shared" si="1"/>
        <v>745.89755093062638</v>
      </c>
      <c r="H24" s="464"/>
      <c r="I24" s="55"/>
    </row>
    <row r="25" spans="1:9" ht="15" customHeight="1" x14ac:dyDescent="0.2">
      <c r="A25" s="10" t="s">
        <v>27</v>
      </c>
      <c r="B25" s="3" t="s">
        <v>132</v>
      </c>
      <c r="C25" s="150">
        <v>12169078.51</v>
      </c>
      <c r="D25" s="151">
        <f>'Revenue Offset'!G25</f>
        <v>0.55595636800180659</v>
      </c>
      <c r="E25" s="152">
        <f t="shared" si="2"/>
        <v>5403601.8196515637</v>
      </c>
      <c r="F25" s="53">
        <f>Summary!D23</f>
        <v>6565</v>
      </c>
      <c r="G25" s="484">
        <f t="shared" si="1"/>
        <v>823.092432544031</v>
      </c>
      <c r="H25" s="464"/>
      <c r="I25" s="55"/>
    </row>
    <row r="26" spans="1:9" ht="15" customHeight="1" x14ac:dyDescent="0.2">
      <c r="A26" s="10" t="s">
        <v>29</v>
      </c>
      <c r="B26" s="3" t="s">
        <v>133</v>
      </c>
      <c r="C26" s="150">
        <v>7295957.7199999997</v>
      </c>
      <c r="D26" s="151">
        <f>'Revenue Offset'!G26</f>
        <v>0.49544415081137827</v>
      </c>
      <c r="E26" s="152">
        <f t="shared" si="2"/>
        <v>3681218.1430588802</v>
      </c>
      <c r="F26" s="53">
        <f>Summary!D24</f>
        <v>3563</v>
      </c>
      <c r="G26" s="484">
        <f t="shared" si="1"/>
        <v>1033.1793834013135</v>
      </c>
      <c r="H26" s="464"/>
      <c r="I26" s="55"/>
    </row>
    <row r="27" spans="1:9" ht="15" customHeight="1" x14ac:dyDescent="0.2">
      <c r="A27" s="10" t="s">
        <v>31</v>
      </c>
      <c r="B27" s="3" t="s">
        <v>134</v>
      </c>
      <c r="C27" s="150">
        <v>3127769.64</v>
      </c>
      <c r="D27" s="151">
        <f>'Revenue Offset'!G27</f>
        <v>0.41650737324311699</v>
      </c>
      <c r="E27" s="152">
        <f t="shared" si="2"/>
        <v>1825030.5231340302</v>
      </c>
      <c r="F27" s="53">
        <f>Summary!D25</f>
        <v>1763</v>
      </c>
      <c r="G27" s="484">
        <f t="shared" si="1"/>
        <v>1035.18464159616</v>
      </c>
      <c r="H27" s="464"/>
      <c r="I27" s="55"/>
    </row>
    <row r="28" spans="1:9" ht="15" customHeight="1" x14ac:dyDescent="0.2">
      <c r="A28" s="10" t="s">
        <v>33</v>
      </c>
      <c r="B28" s="3" t="s">
        <v>130</v>
      </c>
      <c r="C28" s="150">
        <v>898690.14</v>
      </c>
      <c r="D28" s="151">
        <f>'Revenue Offset'!G28</f>
        <v>0.35453374531279624</v>
      </c>
      <c r="E28" s="152">
        <f t="shared" si="2"/>
        <v>580074.15879011876</v>
      </c>
      <c r="F28" s="53">
        <f>Summary!D26</f>
        <v>735</v>
      </c>
      <c r="G28" s="484">
        <f t="shared" si="1"/>
        <v>789.21654257159014</v>
      </c>
      <c r="H28" s="464"/>
      <c r="I28" s="55"/>
    </row>
    <row r="29" spans="1:9" ht="15" customHeight="1" x14ac:dyDescent="0.2">
      <c r="A29" s="10" t="s">
        <v>35</v>
      </c>
      <c r="B29" s="3" t="s">
        <v>36</v>
      </c>
      <c r="C29" s="150">
        <v>2684661.92</v>
      </c>
      <c r="D29" s="151">
        <f>'Revenue Offset'!G29</f>
        <v>0.45508372100356775</v>
      </c>
      <c r="E29" s="152">
        <f>C29*(1-D29)</f>
        <v>1462915.9838098173</v>
      </c>
      <c r="F29" s="53">
        <f>Summary!D27</f>
        <v>2356</v>
      </c>
      <c r="G29" s="484">
        <f t="shared" si="1"/>
        <v>620.93208141333503</v>
      </c>
      <c r="H29" s="464"/>
      <c r="I29" s="55"/>
    </row>
    <row r="30" spans="1:9" ht="15" customHeight="1" x14ac:dyDescent="0.2">
      <c r="A30" s="10" t="s">
        <v>37</v>
      </c>
      <c r="B30" s="3" t="s">
        <v>131</v>
      </c>
      <c r="C30" s="150">
        <v>2772460.17</v>
      </c>
      <c r="D30" s="151">
        <f>'Revenue Offset'!G30</f>
        <v>0.492761862387736</v>
      </c>
      <c r="E30" s="152">
        <f>C30*(1-D30)</f>
        <v>1406297.5332349809</v>
      </c>
      <c r="F30" s="53">
        <f>Summary!D28</f>
        <v>2098</v>
      </c>
      <c r="G30" s="484">
        <f t="shared" si="1"/>
        <v>670.30387666109675</v>
      </c>
      <c r="H30" s="464"/>
      <c r="I30" s="55"/>
    </row>
    <row r="31" spans="1:9" ht="15" customHeight="1" x14ac:dyDescent="0.2">
      <c r="A31" s="10" t="s">
        <v>39</v>
      </c>
      <c r="B31" s="3" t="s">
        <v>135</v>
      </c>
      <c r="C31" s="150">
        <v>6242626.7400000002</v>
      </c>
      <c r="D31" s="151">
        <f>'Revenue Offset'!G31</f>
        <v>0.49778841675834068</v>
      </c>
      <c r="E31" s="152">
        <f t="shared" si="2"/>
        <v>3135119.4586821189</v>
      </c>
      <c r="F31" s="53">
        <f>Summary!D29</f>
        <v>3365</v>
      </c>
      <c r="G31" s="484">
        <f t="shared" si="1"/>
        <v>931.68483170345291</v>
      </c>
      <c r="H31" s="464"/>
      <c r="I31" s="55"/>
    </row>
    <row r="32" spans="1:9" ht="15" customHeight="1" x14ac:dyDescent="0.2">
      <c r="A32" s="10" t="s">
        <v>46</v>
      </c>
      <c r="B32" s="3" t="s">
        <v>70</v>
      </c>
      <c r="C32" s="150">
        <v>4477982.5599999996</v>
      </c>
      <c r="D32" s="151">
        <f>'Revenue Offset'!G32</f>
        <v>0.47232029341697507</v>
      </c>
      <c r="E32" s="152">
        <f t="shared" si="2"/>
        <v>2362940.523344703</v>
      </c>
      <c r="F32" s="53">
        <f>Summary!D30</f>
        <v>3683</v>
      </c>
      <c r="G32" s="484">
        <f t="shared" si="1"/>
        <v>641.58037560268883</v>
      </c>
      <c r="H32" s="464"/>
      <c r="I32" s="55"/>
    </row>
    <row r="33" spans="1:9" ht="15" customHeight="1" x14ac:dyDescent="0.2">
      <c r="A33" s="10" t="s">
        <v>41</v>
      </c>
      <c r="B33" s="3" t="s">
        <v>117</v>
      </c>
      <c r="C33" s="150">
        <v>3969700.72</v>
      </c>
      <c r="D33" s="151">
        <f>'Revenue Offset'!G33</f>
        <v>0.44181013257687313</v>
      </c>
      <c r="E33" s="152">
        <f>C33*(1-D33)</f>
        <v>2215846.7186062918</v>
      </c>
      <c r="F33" s="53">
        <f>Summary!D31</f>
        <v>1929</v>
      </c>
      <c r="G33" s="484">
        <f>E33/F33</f>
        <v>1148.7022906201616</v>
      </c>
      <c r="H33" s="464"/>
      <c r="I33" s="55"/>
    </row>
    <row r="34" spans="1:9" ht="15" customHeight="1" x14ac:dyDescent="0.2">
      <c r="A34" s="10" t="s">
        <v>42</v>
      </c>
      <c r="B34" s="3" t="s">
        <v>69</v>
      </c>
      <c r="C34" s="150">
        <v>4905062.87</v>
      </c>
      <c r="D34" s="151">
        <f>'Revenue Offset'!G34</f>
        <v>0.51531567434129255</v>
      </c>
      <c r="E34" s="152">
        <f t="shared" si="2"/>
        <v>2377407.0894595142</v>
      </c>
      <c r="F34" s="53">
        <f>Summary!D32</f>
        <v>3409</v>
      </c>
      <c r="G34" s="484">
        <f t="shared" si="1"/>
        <v>697.39134334394669</v>
      </c>
      <c r="H34" s="464"/>
      <c r="I34" s="55"/>
    </row>
    <row r="35" spans="1:9" ht="15" customHeight="1" x14ac:dyDescent="0.2">
      <c r="A35" s="10" t="s">
        <v>43</v>
      </c>
      <c r="B35" s="3" t="s">
        <v>44</v>
      </c>
      <c r="C35" s="150">
        <v>21196674.52</v>
      </c>
      <c r="D35" s="151">
        <f>'Revenue Offset'!G35</f>
        <v>0.5556467377489458</v>
      </c>
      <c r="E35" s="152">
        <f t="shared" si="2"/>
        <v>9418811.4718357977</v>
      </c>
      <c r="F35" s="53">
        <f>Summary!D33</f>
        <v>8439</v>
      </c>
      <c r="G35" s="484">
        <f t="shared" si="1"/>
        <v>1116.1051631515343</v>
      </c>
      <c r="H35" s="464"/>
      <c r="I35" s="55"/>
    </row>
    <row r="36" spans="1:9" ht="15" customHeight="1" x14ac:dyDescent="0.2">
      <c r="A36" s="10" t="s">
        <v>45</v>
      </c>
      <c r="B36" s="3" t="s">
        <v>136</v>
      </c>
      <c r="C36" s="150">
        <v>3522182.13</v>
      </c>
      <c r="D36" s="151">
        <f>'Revenue Offset'!G36</f>
        <v>0.49510073758441531</v>
      </c>
      <c r="E36" s="152">
        <f t="shared" si="2"/>
        <v>1778347.159530353</v>
      </c>
      <c r="F36" s="53">
        <f>Summary!D34</f>
        <v>2819</v>
      </c>
      <c r="G36" s="484">
        <f t="shared" si="1"/>
        <v>630.84326340204086</v>
      </c>
      <c r="H36" s="464"/>
      <c r="I36" s="55"/>
    </row>
    <row r="37" spans="1:9" ht="15" customHeight="1" x14ac:dyDescent="0.2">
      <c r="A37" s="10" t="s">
        <v>47</v>
      </c>
      <c r="B37" s="3" t="s">
        <v>48</v>
      </c>
      <c r="C37" s="150">
        <v>14103654.91</v>
      </c>
      <c r="D37" s="151">
        <f>'Revenue Offset'!G37</f>
        <v>0.59625389616347579</v>
      </c>
      <c r="E37" s="152">
        <f t="shared" si="2"/>
        <v>5694295.7197673647</v>
      </c>
      <c r="F37" s="53">
        <f>Summary!D35</f>
        <v>6610</v>
      </c>
      <c r="G37" s="484">
        <f t="shared" si="1"/>
        <v>861.46682598598557</v>
      </c>
      <c r="H37" s="464"/>
      <c r="I37" s="55"/>
    </row>
    <row r="38" spans="1:9" ht="15" customHeight="1" x14ac:dyDescent="0.2">
      <c r="G38" s="464"/>
      <c r="H38" s="158"/>
    </row>
    <row r="39" spans="1:9" ht="15" customHeight="1" x14ac:dyDescent="0.2">
      <c r="B39" s="54" t="s">
        <v>49</v>
      </c>
      <c r="C39" s="52">
        <f>SUM(C8:C38)</f>
        <v>222174409.24999994</v>
      </c>
      <c r="D39" s="153">
        <f>'Revenue Offset'!G39</f>
        <v>0.52740429883085982</v>
      </c>
      <c r="E39" s="52">
        <f>SUM(E8:E38)</f>
        <v>101629776.99365838</v>
      </c>
      <c r="F39" s="52">
        <f>SUM(F8:F38)</f>
        <v>115758</v>
      </c>
      <c r="G39" s="464">
        <f>+E39/F39</f>
        <v>877.95035326852894</v>
      </c>
      <c r="H39" s="158"/>
    </row>
    <row r="40" spans="1:9" ht="12" customHeight="1" x14ac:dyDescent="0.2">
      <c r="C40" s="154"/>
    </row>
    <row r="41" spans="1:9" ht="15" customHeight="1" x14ac:dyDescent="0.2">
      <c r="A41" s="16" t="s">
        <v>312</v>
      </c>
      <c r="E41" s="155"/>
    </row>
    <row r="42" spans="1:9" ht="15" customHeight="1" x14ac:dyDescent="0.2">
      <c r="A42" s="129" t="str">
        <f>'FY2015 Detail'!B40</f>
        <v>s:\finance\bargain\FY23 allocation\Summary of FY2023 Institutional Allocation Draft</v>
      </c>
    </row>
    <row r="43" spans="1:9" ht="15" customHeight="1" x14ac:dyDescent="0.2">
      <c r="A43" s="129"/>
    </row>
    <row r="44" spans="1:9" ht="15" customHeight="1" x14ac:dyDescent="0.2">
      <c r="C44" s="55"/>
      <c r="D44" s="134"/>
      <c r="E44" s="55"/>
      <c r="F44" s="55"/>
    </row>
  </sheetData>
  <phoneticPr fontId="11" type="noConversion"/>
  <pageMargins left="0.75" right="0.4" top="0.64" bottom="0.28000000000000003" header="0.5" footer="0.24"/>
  <pageSetup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39997558519241921"/>
    <pageSetUpPr fitToPage="1"/>
  </sheetPr>
  <dimension ref="A1:S47"/>
  <sheetViews>
    <sheetView zoomScale="80" zoomScaleNormal="80" workbookViewId="0">
      <selection activeCell="C7" sqref="C7"/>
    </sheetView>
  </sheetViews>
  <sheetFormatPr defaultColWidth="9.140625" defaultRowHeight="12.75" x14ac:dyDescent="0.2"/>
  <cols>
    <col min="1" max="1" width="7.7109375" style="54" customWidth="1"/>
    <col min="2" max="2" width="30.7109375" style="157" customWidth="1"/>
    <col min="3" max="3" width="8.5703125" style="55" customWidth="1"/>
    <col min="4" max="4" width="12.7109375" style="55" customWidth="1"/>
    <col min="5" max="5" width="9.28515625" style="55" customWidth="1"/>
    <col min="6" max="6" width="12.7109375" style="55" bestFit="1" customWidth="1"/>
    <col min="7" max="7" width="11.42578125" style="55" customWidth="1"/>
    <col min="8" max="9" width="12" style="55" customWidth="1"/>
    <col min="10" max="10" width="16.140625" style="55" customWidth="1"/>
    <col min="11" max="11" width="12.28515625" style="55" customWidth="1"/>
    <col min="12" max="12" width="10.5703125" style="87" customWidth="1"/>
    <col min="13" max="13" width="14" style="158" customWidth="1"/>
    <col min="14" max="14" width="7.7109375" style="54" customWidth="1"/>
    <col min="15" max="15" width="30.7109375" style="157" customWidth="1"/>
    <col min="16" max="16" width="12.28515625" style="52" customWidth="1"/>
    <col min="17" max="18" width="16.42578125" style="87" customWidth="1"/>
    <col min="19" max="19" width="16.28515625" style="54" bestFit="1" customWidth="1"/>
    <col min="20" max="20" width="3.42578125" style="54" customWidth="1"/>
    <col min="21" max="16384" width="9.140625" style="54"/>
  </cols>
  <sheetData>
    <row r="1" spans="1:19" ht="15.75" x14ac:dyDescent="0.25">
      <c r="A1" s="156" t="s">
        <v>72</v>
      </c>
      <c r="M1" s="87"/>
      <c r="N1" s="156" t="s">
        <v>72</v>
      </c>
      <c r="R1" s="264"/>
      <c r="S1" s="87" t="s">
        <v>281</v>
      </c>
    </row>
    <row r="2" spans="1:19" x14ac:dyDescent="0.2">
      <c r="A2" s="108" t="s">
        <v>126</v>
      </c>
      <c r="N2" s="108" t="s">
        <v>126</v>
      </c>
      <c r="R2" s="171"/>
    </row>
    <row r="3" spans="1:19" x14ac:dyDescent="0.2">
      <c r="A3" s="87" t="s">
        <v>318</v>
      </c>
      <c r="G3" s="464"/>
      <c r="K3" s="87" t="s">
        <v>281</v>
      </c>
      <c r="N3" s="87" t="s">
        <v>318</v>
      </c>
      <c r="R3" s="264"/>
    </row>
    <row r="4" spans="1:19" s="159" customFormat="1" ht="13.5" x14ac:dyDescent="0.25">
      <c r="A4" s="265" t="s">
        <v>161</v>
      </c>
      <c r="B4" s="160"/>
      <c r="N4" s="265" t="s">
        <v>162</v>
      </c>
      <c r="O4" s="160"/>
    </row>
    <row r="5" spans="1:19" s="266" customFormat="1" ht="12.75" customHeight="1" x14ac:dyDescent="0.2">
      <c r="B5" s="267"/>
      <c r="C5" s="161"/>
      <c r="D5" s="161"/>
      <c r="E5" s="161"/>
      <c r="F5" s="90" t="s">
        <v>97</v>
      </c>
      <c r="G5" s="161"/>
      <c r="H5" s="161"/>
      <c r="I5" s="161"/>
      <c r="J5" s="90" t="s">
        <v>163</v>
      </c>
      <c r="K5" s="90" t="s">
        <v>164</v>
      </c>
      <c r="L5" s="91"/>
      <c r="M5" s="162" t="s">
        <v>165</v>
      </c>
      <c r="O5" s="267"/>
      <c r="P5" s="162" t="s">
        <v>98</v>
      </c>
      <c r="Q5" s="91" t="s">
        <v>166</v>
      </c>
      <c r="R5" s="91"/>
    </row>
    <row r="6" spans="1:19" s="103" customFormat="1" x14ac:dyDescent="0.2">
      <c r="B6" s="91"/>
      <c r="C6" s="90" t="s">
        <v>79</v>
      </c>
      <c r="D6" s="90" t="s">
        <v>74</v>
      </c>
      <c r="E6" s="90" t="s">
        <v>75</v>
      </c>
      <c r="F6" s="90" t="s">
        <v>76</v>
      </c>
      <c r="G6" s="90" t="s">
        <v>77</v>
      </c>
      <c r="H6" s="90" t="s">
        <v>78</v>
      </c>
      <c r="I6" s="90" t="s">
        <v>81</v>
      </c>
      <c r="J6" s="90" t="s">
        <v>82</v>
      </c>
      <c r="K6" s="91" t="s">
        <v>111</v>
      </c>
      <c r="L6" s="91" t="s">
        <v>123</v>
      </c>
      <c r="M6" s="91" t="s">
        <v>99</v>
      </c>
      <c r="O6" s="91"/>
      <c r="P6" s="91" t="s">
        <v>167</v>
      </c>
      <c r="Q6" s="91" t="s">
        <v>168</v>
      </c>
      <c r="R6" s="91" t="s">
        <v>169</v>
      </c>
    </row>
    <row r="7" spans="1:19" s="163" customFormat="1" ht="76.5" x14ac:dyDescent="0.2">
      <c r="A7" s="268" t="s">
        <v>0</v>
      </c>
      <c r="B7" s="269" t="s">
        <v>1</v>
      </c>
      <c r="C7" s="270" t="s">
        <v>313</v>
      </c>
      <c r="D7" s="271" t="s">
        <v>170</v>
      </c>
      <c r="E7" s="271" t="s">
        <v>100</v>
      </c>
      <c r="F7" s="271" t="s">
        <v>101</v>
      </c>
      <c r="G7" s="448" t="s">
        <v>334</v>
      </c>
      <c r="H7" s="272" t="s">
        <v>171</v>
      </c>
      <c r="I7" s="272" t="s">
        <v>172</v>
      </c>
      <c r="J7" s="272" t="s">
        <v>173</v>
      </c>
      <c r="K7" s="245" t="s">
        <v>174</v>
      </c>
      <c r="L7" s="273" t="s">
        <v>119</v>
      </c>
      <c r="M7" s="245" t="s">
        <v>102</v>
      </c>
      <c r="N7" s="268" t="s">
        <v>0</v>
      </c>
      <c r="O7" s="269" t="s">
        <v>1</v>
      </c>
      <c r="P7" s="274" t="s">
        <v>103</v>
      </c>
      <c r="Q7" s="245" t="s">
        <v>308</v>
      </c>
      <c r="R7" s="245" t="s">
        <v>304</v>
      </c>
      <c r="S7" s="268" t="s">
        <v>175</v>
      </c>
    </row>
    <row r="8" spans="1:19" s="165" customFormat="1" x14ac:dyDescent="0.2">
      <c r="A8" s="54"/>
      <c r="B8" s="275"/>
      <c r="C8" s="276"/>
      <c r="D8" s="277"/>
      <c r="E8" s="277"/>
      <c r="F8" s="277"/>
      <c r="G8" s="449"/>
      <c r="H8" s="278"/>
      <c r="I8" s="278"/>
      <c r="J8" s="278"/>
      <c r="K8" s="279"/>
      <c r="L8" s="164"/>
      <c r="M8" s="279"/>
      <c r="N8" s="54"/>
      <c r="O8" s="275"/>
      <c r="P8" s="280"/>
      <c r="Q8" s="279"/>
      <c r="R8" s="164"/>
    </row>
    <row r="9" spans="1:19" x14ac:dyDescent="0.2">
      <c r="A9" s="281" t="s">
        <v>2</v>
      </c>
      <c r="B9" s="249" t="s">
        <v>128</v>
      </c>
      <c r="C9" s="282">
        <f>Summary!D6</f>
        <v>1690</v>
      </c>
      <c r="D9" s="283">
        <v>1231341</v>
      </c>
      <c r="E9" s="283">
        <v>2098</v>
      </c>
      <c r="F9" s="283">
        <f>+C9*E9</f>
        <v>3545620</v>
      </c>
      <c r="G9" s="450">
        <f>'Weighted differ concurrent'!L6</f>
        <v>3529.15</v>
      </c>
      <c r="H9" s="284">
        <v>1436188</v>
      </c>
      <c r="I9" s="284">
        <v>589</v>
      </c>
      <c r="J9" s="284">
        <f t="shared" ref="J9:J38" si="0">+G9*I9</f>
        <v>2078669.35</v>
      </c>
      <c r="K9" s="285">
        <f t="shared" ref="K9:K38" si="1">+H9+J9+D9+F9</f>
        <v>8291818.3499999996</v>
      </c>
      <c r="L9" s="286">
        <f>'Revenue Offset'!G8</f>
        <v>0.46003292614045088</v>
      </c>
      <c r="M9" s="287">
        <f t="shared" ref="M9:M38" si="2">K9*(1-L9)</f>
        <v>4477308.8914244147</v>
      </c>
      <c r="N9" s="281" t="s">
        <v>2</v>
      </c>
      <c r="O9" s="249" t="s">
        <v>128</v>
      </c>
      <c r="P9" s="288"/>
      <c r="Q9" s="287">
        <f t="shared" ref="Q9:Q15" si="3">+M9+P9</f>
        <v>4477308.8914244147</v>
      </c>
      <c r="R9" s="287">
        <v>4603722.6345714778</v>
      </c>
      <c r="S9" s="289">
        <f t="shared" ref="S9:S38" si="4">AVERAGE(Q9:R9)</f>
        <v>4540515.7629979458</v>
      </c>
    </row>
    <row r="10" spans="1:19" x14ac:dyDescent="0.2">
      <c r="A10" s="281" t="s">
        <v>4</v>
      </c>
      <c r="B10" s="249" t="s">
        <v>124</v>
      </c>
      <c r="C10" s="282">
        <f>Summary!D7</f>
        <v>6313</v>
      </c>
      <c r="D10" s="283">
        <v>1231341</v>
      </c>
      <c r="E10" s="283">
        <v>2098</v>
      </c>
      <c r="F10" s="283">
        <f t="shared" ref="F10:F38" si="5">+C10*E10</f>
        <v>13244674</v>
      </c>
      <c r="G10" s="450">
        <f>'Weighted differ concurrent'!L7+'Weighted differ concurrent'!L8</f>
        <v>13756.900000000001</v>
      </c>
      <c r="H10" s="284">
        <v>1436188</v>
      </c>
      <c r="I10" s="284">
        <v>589</v>
      </c>
      <c r="J10" s="284">
        <f t="shared" si="0"/>
        <v>8102814.1000000006</v>
      </c>
      <c r="K10" s="285">
        <f>+H10+J10+D10+F10</f>
        <v>24015017.100000001</v>
      </c>
      <c r="L10" s="286">
        <f>'Revenue Offset'!G9</f>
        <v>0.49772736108685306</v>
      </c>
      <c r="M10" s="287">
        <f>K10*(1-L10)</f>
        <v>12062086.012361348</v>
      </c>
      <c r="N10" s="281" t="s">
        <v>4</v>
      </c>
      <c r="O10" s="249" t="s">
        <v>124</v>
      </c>
      <c r="P10" s="288">
        <f>200000*2</f>
        <v>400000</v>
      </c>
      <c r="Q10" s="287">
        <f t="shared" si="3"/>
        <v>12462086.012361348</v>
      </c>
      <c r="R10" s="287">
        <v>11953201.858130069</v>
      </c>
      <c r="S10" s="289">
        <f t="shared" si="4"/>
        <v>12207643.935245708</v>
      </c>
    </row>
    <row r="11" spans="1:19" ht="15" customHeight="1" x14ac:dyDescent="0.2">
      <c r="A11" s="281" t="s">
        <v>5</v>
      </c>
      <c r="B11" s="249" t="s">
        <v>113</v>
      </c>
      <c r="C11" s="282">
        <f>Summary!D8</f>
        <v>4265</v>
      </c>
      <c r="D11" s="283">
        <v>5195697</v>
      </c>
      <c r="E11" s="283">
        <v>1982</v>
      </c>
      <c r="F11" s="283">
        <f t="shared" si="5"/>
        <v>8453230</v>
      </c>
      <c r="G11" s="450">
        <f>'Weighted differ concurrent'!L29+'Weighted differ concurrent'!L40</f>
        <v>7557.7</v>
      </c>
      <c r="H11" s="284">
        <v>1895412</v>
      </c>
      <c r="I11" s="284">
        <v>1301</v>
      </c>
      <c r="J11" s="284">
        <f t="shared" si="0"/>
        <v>9832567.6999999993</v>
      </c>
      <c r="K11" s="285">
        <f t="shared" si="1"/>
        <v>25376906.699999999</v>
      </c>
      <c r="L11" s="286">
        <f>'Revenue Offset'!G10</f>
        <v>0.57080304104372648</v>
      </c>
      <c r="M11" s="287">
        <f t="shared" si="2"/>
        <v>10891691.183357082</v>
      </c>
      <c r="N11" s="281" t="s">
        <v>5</v>
      </c>
      <c r="O11" s="249" t="s">
        <v>113</v>
      </c>
      <c r="P11" s="288">
        <v>200000</v>
      </c>
      <c r="Q11" s="287">
        <f t="shared" si="3"/>
        <v>11091691.183357082</v>
      </c>
      <c r="R11" s="287">
        <v>10586952.304952534</v>
      </c>
      <c r="S11" s="289">
        <f t="shared" si="4"/>
        <v>10839321.744154807</v>
      </c>
    </row>
    <row r="12" spans="1:19" x14ac:dyDescent="0.2">
      <c r="A12" s="281" t="s">
        <v>6</v>
      </c>
      <c r="B12" s="249" t="s">
        <v>7</v>
      </c>
      <c r="C12" s="282">
        <f>Summary!D9</f>
        <v>2547</v>
      </c>
      <c r="D12" s="283">
        <v>1231341</v>
      </c>
      <c r="E12" s="283">
        <v>2098</v>
      </c>
      <c r="F12" s="283">
        <f t="shared" si="5"/>
        <v>5343606</v>
      </c>
      <c r="G12" s="450">
        <f>'Weighted differ concurrent'!L9</f>
        <v>5182.8500000000004</v>
      </c>
      <c r="H12" s="284">
        <v>1436188</v>
      </c>
      <c r="I12" s="284">
        <v>589</v>
      </c>
      <c r="J12" s="284">
        <f t="shared" si="0"/>
        <v>3052698.6500000004</v>
      </c>
      <c r="K12" s="285">
        <f t="shared" si="1"/>
        <v>11063833.65</v>
      </c>
      <c r="L12" s="286">
        <f>'Revenue Offset'!G11</f>
        <v>0.43497597530505389</v>
      </c>
      <c r="M12" s="287">
        <f t="shared" si="2"/>
        <v>6251331.8174783755</v>
      </c>
      <c r="N12" s="281" t="s">
        <v>6</v>
      </c>
      <c r="O12" s="249" t="s">
        <v>7</v>
      </c>
      <c r="P12" s="288">
        <v>200000</v>
      </c>
      <c r="Q12" s="287">
        <f t="shared" si="3"/>
        <v>6451331.8174783755</v>
      </c>
      <c r="R12" s="287">
        <v>6239004.1376170423</v>
      </c>
      <c r="S12" s="289">
        <f t="shared" si="4"/>
        <v>6345167.9775477089</v>
      </c>
    </row>
    <row r="13" spans="1:19" x14ac:dyDescent="0.2">
      <c r="A13" s="281" t="s">
        <v>8</v>
      </c>
      <c r="B13" s="249" t="s">
        <v>9</v>
      </c>
      <c r="C13" s="282">
        <f>Summary!D10</f>
        <v>5558</v>
      </c>
      <c r="D13" s="283">
        <v>1231341</v>
      </c>
      <c r="E13" s="283">
        <v>2098</v>
      </c>
      <c r="F13" s="283">
        <f t="shared" si="5"/>
        <v>11660684</v>
      </c>
      <c r="G13" s="450">
        <f>'Weighted differ concurrent'!L10</f>
        <v>12689.9</v>
      </c>
      <c r="H13" s="284">
        <v>1436188</v>
      </c>
      <c r="I13" s="284">
        <v>589</v>
      </c>
      <c r="J13" s="284">
        <f t="shared" si="0"/>
        <v>7474351.0999999996</v>
      </c>
      <c r="K13" s="285">
        <f t="shared" si="1"/>
        <v>21802564.100000001</v>
      </c>
      <c r="L13" s="286">
        <f>'Revenue Offset'!G12</f>
        <v>0.4996004376283093</v>
      </c>
      <c r="M13" s="287">
        <f t="shared" si="2"/>
        <v>10909993.534220735</v>
      </c>
      <c r="N13" s="281" t="s">
        <v>8</v>
      </c>
      <c r="O13" s="249" t="s">
        <v>9</v>
      </c>
      <c r="P13" s="288"/>
      <c r="Q13" s="287">
        <f t="shared" si="3"/>
        <v>10909993.534220735</v>
      </c>
      <c r="R13" s="287">
        <v>10646956.588903766</v>
      </c>
      <c r="S13" s="289">
        <f t="shared" si="4"/>
        <v>10778475.061562251</v>
      </c>
    </row>
    <row r="14" spans="1:19" x14ac:dyDescent="0.2">
      <c r="A14" s="281" t="s">
        <v>10</v>
      </c>
      <c r="B14" s="3" t="s">
        <v>146</v>
      </c>
      <c r="C14" s="282">
        <f>Summary!D11</f>
        <v>4439</v>
      </c>
      <c r="D14" s="283">
        <v>1231341</v>
      </c>
      <c r="E14" s="283">
        <v>2098</v>
      </c>
      <c r="F14" s="283">
        <f t="shared" si="5"/>
        <v>9313022</v>
      </c>
      <c r="G14" s="450">
        <f>'Weighted differ concurrent'!L11+'Weighted differ concurrent'!L14</f>
        <v>9795.5</v>
      </c>
      <c r="H14" s="284">
        <v>1436188</v>
      </c>
      <c r="I14" s="284">
        <v>589</v>
      </c>
      <c r="J14" s="284">
        <f t="shared" si="0"/>
        <v>5769549.5</v>
      </c>
      <c r="K14" s="285">
        <f t="shared" si="1"/>
        <v>17750100.5</v>
      </c>
      <c r="L14" s="286">
        <f>'Revenue Offset'!G13</f>
        <v>0.48999835783470663</v>
      </c>
      <c r="M14" s="287">
        <f t="shared" si="2"/>
        <v>9052580.403598994</v>
      </c>
      <c r="N14" s="281" t="s">
        <v>10</v>
      </c>
      <c r="O14" s="3" t="s">
        <v>146</v>
      </c>
      <c r="P14" s="288">
        <v>200000</v>
      </c>
      <c r="Q14" s="287">
        <f t="shared" si="3"/>
        <v>9252580.403598994</v>
      </c>
      <c r="R14" s="287">
        <v>9411092.2288728077</v>
      </c>
      <c r="S14" s="289">
        <f t="shared" si="4"/>
        <v>9331836.3162358999</v>
      </c>
    </row>
    <row r="15" spans="1:19" x14ac:dyDescent="0.2">
      <c r="A15" s="281" t="s">
        <v>12</v>
      </c>
      <c r="B15" s="249" t="s">
        <v>13</v>
      </c>
      <c r="C15" s="282">
        <f>Summary!D12</f>
        <v>786</v>
      </c>
      <c r="D15" s="283">
        <v>1231341</v>
      </c>
      <c r="E15" s="283">
        <v>2098</v>
      </c>
      <c r="F15" s="283">
        <f t="shared" si="5"/>
        <v>1649028</v>
      </c>
      <c r="G15" s="450">
        <f>'Weighted differ concurrent'!L12</f>
        <v>1766.55</v>
      </c>
      <c r="H15" s="284">
        <v>1436188</v>
      </c>
      <c r="I15" s="284">
        <v>589</v>
      </c>
      <c r="J15" s="284">
        <f t="shared" si="0"/>
        <v>1040497.95</v>
      </c>
      <c r="K15" s="285">
        <f t="shared" si="1"/>
        <v>5357054.95</v>
      </c>
      <c r="L15" s="286">
        <f>'Revenue Offset'!G14</f>
        <v>0.33315161885150563</v>
      </c>
      <c r="M15" s="287">
        <f t="shared" si="2"/>
        <v>3572343.4211310288</v>
      </c>
      <c r="N15" s="281" t="s">
        <v>12</v>
      </c>
      <c r="O15" s="249" t="s">
        <v>13</v>
      </c>
      <c r="P15" s="288"/>
      <c r="Q15" s="287">
        <f t="shared" si="3"/>
        <v>3572343.4211310288</v>
      </c>
      <c r="R15" s="287">
        <v>3328528.9430044694</v>
      </c>
      <c r="S15" s="289">
        <f t="shared" si="4"/>
        <v>3450436.1820677491</v>
      </c>
    </row>
    <row r="16" spans="1:19" x14ac:dyDescent="0.2">
      <c r="A16" s="281" t="s">
        <v>14</v>
      </c>
      <c r="B16" s="249" t="s">
        <v>139</v>
      </c>
      <c r="C16" s="282">
        <f>Summary!D13</f>
        <v>2712</v>
      </c>
      <c r="D16" s="283">
        <v>1231341</v>
      </c>
      <c r="E16" s="283">
        <v>2098</v>
      </c>
      <c r="F16" s="283">
        <f t="shared" si="5"/>
        <v>5689776</v>
      </c>
      <c r="G16" s="450">
        <f>'Weighted differ concurrent'!L13</f>
        <v>6768.7</v>
      </c>
      <c r="H16" s="284">
        <v>1436188</v>
      </c>
      <c r="I16" s="284">
        <v>589</v>
      </c>
      <c r="J16" s="284">
        <f t="shared" si="0"/>
        <v>3986764.3</v>
      </c>
      <c r="K16" s="285">
        <f t="shared" si="1"/>
        <v>12344069.300000001</v>
      </c>
      <c r="L16" s="286">
        <f>'Revenue Offset'!G15</f>
        <v>0.41926694079864041</v>
      </c>
      <c r="M16" s="287">
        <f t="shared" si="2"/>
        <v>7168609.1275825854</v>
      </c>
      <c r="N16" s="281" t="s">
        <v>14</v>
      </c>
      <c r="O16" s="249" t="s">
        <v>139</v>
      </c>
      <c r="P16" s="288">
        <v>200000</v>
      </c>
      <c r="Q16" s="287">
        <f t="shared" ref="Q16:Q38" si="6">+M16+P16</f>
        <v>7368609.1275825854</v>
      </c>
      <c r="R16" s="287">
        <v>7480302.1549533997</v>
      </c>
      <c r="S16" s="289">
        <f t="shared" si="4"/>
        <v>7424455.6412679926</v>
      </c>
    </row>
    <row r="17" spans="1:19" x14ac:dyDescent="0.2">
      <c r="A17" s="281" t="s">
        <v>16</v>
      </c>
      <c r="B17" s="249" t="s">
        <v>17</v>
      </c>
      <c r="C17" s="282">
        <f>Summary!D14</f>
        <v>2775</v>
      </c>
      <c r="D17" s="283">
        <v>1231341</v>
      </c>
      <c r="E17" s="283">
        <v>2098</v>
      </c>
      <c r="F17" s="283">
        <f t="shared" si="5"/>
        <v>5821950</v>
      </c>
      <c r="G17" s="450">
        <f>'Weighted differ concurrent'!L15</f>
        <v>6530.8</v>
      </c>
      <c r="H17" s="284">
        <v>1436188</v>
      </c>
      <c r="I17" s="284">
        <v>589</v>
      </c>
      <c r="J17" s="284">
        <f t="shared" si="0"/>
        <v>3846641.2</v>
      </c>
      <c r="K17" s="285">
        <f t="shared" si="1"/>
        <v>12336120.199999999</v>
      </c>
      <c r="L17" s="286">
        <f>'Revenue Offset'!G16</f>
        <v>0.4336552229324242</v>
      </c>
      <c r="M17" s="287">
        <f t="shared" si="2"/>
        <v>6986497.2445478179</v>
      </c>
      <c r="N17" s="281" t="s">
        <v>16</v>
      </c>
      <c r="O17" s="249" t="s">
        <v>17</v>
      </c>
      <c r="P17" s="288"/>
      <c r="Q17" s="287">
        <f t="shared" si="6"/>
        <v>6986497.2445478179</v>
      </c>
      <c r="R17" s="287">
        <v>6869358.6630419614</v>
      </c>
      <c r="S17" s="289">
        <f t="shared" si="4"/>
        <v>6927927.9537948892</v>
      </c>
    </row>
    <row r="18" spans="1:19" x14ac:dyDescent="0.2">
      <c r="A18" s="281" t="s">
        <v>18</v>
      </c>
      <c r="B18" s="249" t="s">
        <v>140</v>
      </c>
      <c r="C18" s="282">
        <f>Summary!D15</f>
        <v>5757</v>
      </c>
      <c r="D18" s="283">
        <v>5195697</v>
      </c>
      <c r="E18" s="283">
        <v>1982</v>
      </c>
      <c r="F18" s="283">
        <f t="shared" si="5"/>
        <v>11410374</v>
      </c>
      <c r="G18" s="450">
        <f>'Weighted differ concurrent'!L41</f>
        <v>11261.7</v>
      </c>
      <c r="H18" s="284">
        <v>1895412</v>
      </c>
      <c r="I18" s="284">
        <v>1301</v>
      </c>
      <c r="J18" s="284">
        <f t="shared" si="0"/>
        <v>14651471.700000001</v>
      </c>
      <c r="K18" s="285">
        <f t="shared" si="1"/>
        <v>33152954.700000003</v>
      </c>
      <c r="L18" s="286">
        <f>'Revenue Offset'!G17</f>
        <v>0.6005167250745268</v>
      </c>
      <c r="M18" s="287">
        <f t="shared" si="2"/>
        <v>13244050.917011861</v>
      </c>
      <c r="N18" s="281" t="s">
        <v>18</v>
      </c>
      <c r="O18" s="249" t="s">
        <v>140</v>
      </c>
      <c r="P18" s="288"/>
      <c r="Q18" s="287">
        <f t="shared" si="6"/>
        <v>13244050.917011861</v>
      </c>
      <c r="R18" s="287">
        <v>12847740.667618876</v>
      </c>
      <c r="S18" s="289">
        <f t="shared" si="4"/>
        <v>13045895.792315368</v>
      </c>
    </row>
    <row r="19" spans="1:19" x14ac:dyDescent="0.2">
      <c r="A19" s="281" t="s">
        <v>19</v>
      </c>
      <c r="B19" s="249" t="s">
        <v>129</v>
      </c>
      <c r="C19" s="282">
        <f>Summary!D16</f>
        <v>4219</v>
      </c>
      <c r="D19" s="283">
        <v>1231341</v>
      </c>
      <c r="E19" s="283">
        <v>2098</v>
      </c>
      <c r="F19" s="283">
        <f t="shared" si="5"/>
        <v>8851462</v>
      </c>
      <c r="G19" s="450">
        <f>'Weighted differ concurrent'!L16</f>
        <v>10387.549999999999</v>
      </c>
      <c r="H19" s="284">
        <v>1436188</v>
      </c>
      <c r="I19" s="284">
        <v>589</v>
      </c>
      <c r="J19" s="284">
        <f t="shared" si="0"/>
        <v>6118266.9499999993</v>
      </c>
      <c r="K19" s="285">
        <f t="shared" si="1"/>
        <v>17637257.949999999</v>
      </c>
      <c r="L19" s="286">
        <f>'Revenue Offset'!G18</f>
        <v>0.4511599203894881</v>
      </c>
      <c r="M19" s="287">
        <f t="shared" si="2"/>
        <v>9680034.0573891345</v>
      </c>
      <c r="N19" s="281" t="s">
        <v>19</v>
      </c>
      <c r="O19" s="249" t="s">
        <v>129</v>
      </c>
      <c r="P19" s="288"/>
      <c r="Q19" s="287">
        <f t="shared" si="6"/>
        <v>9680034.0573891345</v>
      </c>
      <c r="R19" s="287">
        <v>9159845.5533266403</v>
      </c>
      <c r="S19" s="289">
        <f t="shared" si="4"/>
        <v>9419939.8053578883</v>
      </c>
    </row>
    <row r="20" spans="1:19" ht="14.25" customHeight="1" x14ac:dyDescent="0.2">
      <c r="A20" s="255" t="s">
        <v>118</v>
      </c>
      <c r="B20" s="249" t="s">
        <v>331</v>
      </c>
      <c r="C20" s="282">
        <f>Summary!D17</f>
        <v>2669</v>
      </c>
      <c r="D20" s="283">
        <v>1231341</v>
      </c>
      <c r="E20" s="283">
        <v>2098</v>
      </c>
      <c r="F20" s="283">
        <f>+C20*E20</f>
        <v>5599562</v>
      </c>
      <c r="G20" s="450">
        <f>'Weighted differ concurrent'!L17</f>
        <v>5265.2</v>
      </c>
      <c r="H20" s="284">
        <v>1436188</v>
      </c>
      <c r="I20" s="284">
        <v>589</v>
      </c>
      <c r="J20" s="284">
        <f>+G20*I20</f>
        <v>3101202.8</v>
      </c>
      <c r="K20" s="285">
        <f>+H20+J20+D20+F20</f>
        <v>11368293.800000001</v>
      </c>
      <c r="L20" s="286">
        <f>'Revenue Offset'!G19</f>
        <v>0.39845699457742023</v>
      </c>
      <c r="M20" s="287">
        <f>K20*(1-L20)</f>
        <v>6838517.6189788803</v>
      </c>
      <c r="N20" s="255" t="s">
        <v>118</v>
      </c>
      <c r="O20" s="249" t="s">
        <v>63</v>
      </c>
      <c r="P20" s="167">
        <f>(200000*4)+(201*500)</f>
        <v>900500</v>
      </c>
      <c r="Q20" s="287">
        <f>+M20+P20</f>
        <v>7739017.6189788803</v>
      </c>
      <c r="R20" s="287">
        <v>7676543.8487518476</v>
      </c>
      <c r="S20" s="289">
        <f>AVERAGE(Q20:R20)</f>
        <v>7707780.7338653635</v>
      </c>
    </row>
    <row r="21" spans="1:19" x14ac:dyDescent="0.2">
      <c r="A21" s="281" t="s">
        <v>21</v>
      </c>
      <c r="B21" s="254" t="s">
        <v>177</v>
      </c>
      <c r="C21" s="282">
        <f>Summary!D18</f>
        <v>1110</v>
      </c>
      <c r="D21" s="283">
        <v>1231341</v>
      </c>
      <c r="E21" s="283">
        <v>2098</v>
      </c>
      <c r="F21" s="283">
        <f t="shared" si="5"/>
        <v>2328780</v>
      </c>
      <c r="G21" s="450">
        <f>'Weighted differ concurrent'!L23</f>
        <v>2639.1</v>
      </c>
      <c r="H21" s="284">
        <v>1436188</v>
      </c>
      <c r="I21" s="284">
        <v>589</v>
      </c>
      <c r="J21" s="284">
        <f t="shared" si="0"/>
        <v>1554429.9</v>
      </c>
      <c r="K21" s="285">
        <f t="shared" si="1"/>
        <v>6550738.9000000004</v>
      </c>
      <c r="L21" s="286">
        <f>'Revenue Offset'!G20</f>
        <v>0.39377509948195011</v>
      </c>
      <c r="M21" s="287">
        <f t="shared" si="2"/>
        <v>3971221.0379722198</v>
      </c>
      <c r="N21" s="281" t="s">
        <v>21</v>
      </c>
      <c r="O21" s="254" t="s">
        <v>71</v>
      </c>
      <c r="P21" s="288">
        <v>200000</v>
      </c>
      <c r="Q21" s="287">
        <f t="shared" si="6"/>
        <v>4171221.0379722198</v>
      </c>
      <c r="R21" s="287">
        <v>3958775.2218711516</v>
      </c>
      <c r="S21" s="289">
        <f t="shared" si="4"/>
        <v>4064998.1299216859</v>
      </c>
    </row>
    <row r="22" spans="1:19" x14ac:dyDescent="0.2">
      <c r="A22" s="255" t="s">
        <v>109</v>
      </c>
      <c r="B22" s="249" t="s">
        <v>141</v>
      </c>
      <c r="C22" s="282">
        <f>Summary!D19</f>
        <v>3433</v>
      </c>
      <c r="D22" s="283">
        <v>1231341</v>
      </c>
      <c r="E22" s="283">
        <v>2098</v>
      </c>
      <c r="F22" s="283">
        <f>+C22*E22</f>
        <v>7202434</v>
      </c>
      <c r="G22" s="450">
        <f>'Weighted differ concurrent'!L24</f>
        <v>7042.55</v>
      </c>
      <c r="H22" s="284">
        <v>1436188</v>
      </c>
      <c r="I22" s="284">
        <v>589</v>
      </c>
      <c r="J22" s="284">
        <f t="shared" si="0"/>
        <v>4148061.95</v>
      </c>
      <c r="K22" s="285">
        <f t="shared" si="1"/>
        <v>14018024.949999999</v>
      </c>
      <c r="L22" s="286">
        <f>'Revenue Offset'!G21</f>
        <v>0.44393982996697445</v>
      </c>
      <c r="M22" s="287">
        <f t="shared" si="2"/>
        <v>7794865.3372241938</v>
      </c>
      <c r="N22" s="255" t="s">
        <v>109</v>
      </c>
      <c r="O22" s="249" t="s">
        <v>141</v>
      </c>
      <c r="P22" s="288">
        <f>(200000)+(199*500)+(271*500)</f>
        <v>435000</v>
      </c>
      <c r="Q22" s="287">
        <f>+M22+P22</f>
        <v>8229865.3372241938</v>
      </c>
      <c r="R22" s="287">
        <v>8144959.4197502239</v>
      </c>
      <c r="S22" s="289">
        <f t="shared" si="4"/>
        <v>8187412.3784872089</v>
      </c>
    </row>
    <row r="23" spans="1:19" x14ac:dyDescent="0.2">
      <c r="A23" s="281" t="s">
        <v>26</v>
      </c>
      <c r="B23" s="249" t="s">
        <v>62</v>
      </c>
      <c r="C23" s="282">
        <f>Summary!D20</f>
        <v>4893</v>
      </c>
      <c r="D23" s="283">
        <v>5195697</v>
      </c>
      <c r="E23" s="283">
        <v>1982</v>
      </c>
      <c r="F23" s="283">
        <f>+C23*E23</f>
        <v>9697926</v>
      </c>
      <c r="G23" s="450">
        <f>'Weighted differ concurrent'!L43</f>
        <v>7401.4</v>
      </c>
      <c r="H23" s="284">
        <v>1895412</v>
      </c>
      <c r="I23" s="284">
        <v>1301</v>
      </c>
      <c r="J23" s="284">
        <f t="shared" si="0"/>
        <v>9629221.4000000004</v>
      </c>
      <c r="K23" s="285">
        <f t="shared" si="1"/>
        <v>26418256.399999999</v>
      </c>
      <c r="L23" s="286">
        <f>'Revenue Offset'!G22</f>
        <v>0.59115937666174934</v>
      </c>
      <c r="M23" s="287">
        <f t="shared" si="2"/>
        <v>10800856.414085729</v>
      </c>
      <c r="N23" s="281" t="s">
        <v>26</v>
      </c>
      <c r="O23" s="249" t="s">
        <v>62</v>
      </c>
      <c r="P23" s="288"/>
      <c r="Q23" s="287">
        <f t="shared" si="6"/>
        <v>10800856.414085729</v>
      </c>
      <c r="R23" s="287">
        <v>10590465.520591862</v>
      </c>
      <c r="S23" s="289">
        <f t="shared" si="4"/>
        <v>10695660.967338797</v>
      </c>
    </row>
    <row r="24" spans="1:19" x14ac:dyDescent="0.2">
      <c r="A24" s="281" t="s">
        <v>22</v>
      </c>
      <c r="B24" s="249" t="s">
        <v>23</v>
      </c>
      <c r="C24" s="282">
        <f>Summary!D21</f>
        <v>13421</v>
      </c>
      <c r="D24" s="283">
        <v>5195697</v>
      </c>
      <c r="E24" s="283">
        <v>1982</v>
      </c>
      <c r="F24" s="283">
        <f>+C24*E24</f>
        <v>26600422</v>
      </c>
      <c r="G24" s="450">
        <f>'Weighted differ concurrent'!L42</f>
        <v>18402.8</v>
      </c>
      <c r="H24" s="284">
        <v>1895412</v>
      </c>
      <c r="I24" s="284">
        <v>1301</v>
      </c>
      <c r="J24" s="284">
        <f t="shared" si="0"/>
        <v>23942042.800000001</v>
      </c>
      <c r="K24" s="285">
        <f t="shared" si="1"/>
        <v>57633573.799999997</v>
      </c>
      <c r="L24" s="286">
        <f>'Revenue Offset'!G23</f>
        <v>0.66134355642338016</v>
      </c>
      <c r="M24" s="287">
        <f t="shared" si="2"/>
        <v>19517981.133718655</v>
      </c>
      <c r="N24" s="281" t="s">
        <v>22</v>
      </c>
      <c r="O24" s="249" t="s">
        <v>23</v>
      </c>
      <c r="P24" s="288"/>
      <c r="Q24" s="287">
        <f t="shared" si="6"/>
        <v>19517981.133718655</v>
      </c>
      <c r="R24" s="287">
        <v>18863948.312862795</v>
      </c>
      <c r="S24" s="289">
        <f t="shared" si="4"/>
        <v>19190964.723290727</v>
      </c>
    </row>
    <row r="25" spans="1:19" x14ac:dyDescent="0.2">
      <c r="A25" s="281" t="s">
        <v>24</v>
      </c>
      <c r="B25" s="249" t="s">
        <v>137</v>
      </c>
      <c r="C25" s="282">
        <f>Summary!D22</f>
        <v>1837</v>
      </c>
      <c r="D25" s="283">
        <v>1231341</v>
      </c>
      <c r="E25" s="283">
        <v>2098</v>
      </c>
      <c r="F25" s="283">
        <f t="shared" si="5"/>
        <v>3854026</v>
      </c>
      <c r="G25" s="450">
        <f>'Weighted differ concurrent'!L25</f>
        <v>4525.55</v>
      </c>
      <c r="H25" s="284">
        <v>1436188</v>
      </c>
      <c r="I25" s="284">
        <v>589</v>
      </c>
      <c r="J25" s="284">
        <f t="shared" si="0"/>
        <v>2665548.9500000002</v>
      </c>
      <c r="K25" s="285">
        <f t="shared" si="1"/>
        <v>9187103.9499999993</v>
      </c>
      <c r="L25" s="286">
        <f>'Revenue Offset'!G24</f>
        <v>0.42545911482131288</v>
      </c>
      <c r="M25" s="287">
        <f t="shared" si="2"/>
        <v>5278366.8356616115</v>
      </c>
      <c r="N25" s="281" t="s">
        <v>24</v>
      </c>
      <c r="O25" s="249" t="s">
        <v>137</v>
      </c>
      <c r="P25" s="288">
        <f>(200000)+((68+49+186)*500)</f>
        <v>351500</v>
      </c>
      <c r="Q25" s="287">
        <f t="shared" si="6"/>
        <v>5629866.8356616115</v>
      </c>
      <c r="R25" s="287">
        <v>5495656.4662878327</v>
      </c>
      <c r="S25" s="289">
        <f t="shared" si="4"/>
        <v>5562761.6509747226</v>
      </c>
    </row>
    <row r="26" spans="1:19" x14ac:dyDescent="0.2">
      <c r="A26" s="281" t="s">
        <v>27</v>
      </c>
      <c r="B26" s="249" t="s">
        <v>132</v>
      </c>
      <c r="C26" s="282">
        <f>Summary!D23</f>
        <v>6565</v>
      </c>
      <c r="D26" s="283">
        <v>1231341</v>
      </c>
      <c r="E26" s="283">
        <v>2098</v>
      </c>
      <c r="F26" s="283">
        <f t="shared" si="5"/>
        <v>13773370</v>
      </c>
      <c r="G26" s="450">
        <f>'Weighted differ concurrent'!L26</f>
        <v>15559.65</v>
      </c>
      <c r="H26" s="284">
        <v>1436188</v>
      </c>
      <c r="I26" s="284">
        <v>589</v>
      </c>
      <c r="J26" s="284">
        <f t="shared" si="0"/>
        <v>9164633.8499999996</v>
      </c>
      <c r="K26" s="285">
        <f t="shared" si="1"/>
        <v>25605532.850000001</v>
      </c>
      <c r="L26" s="286">
        <f>'Revenue Offset'!G25</f>
        <v>0.55595636800180659</v>
      </c>
      <c r="M26" s="287">
        <f t="shared" si="2"/>
        <v>11369973.805963052</v>
      </c>
      <c r="N26" s="281" t="s">
        <v>27</v>
      </c>
      <c r="O26" s="249" t="s">
        <v>132</v>
      </c>
      <c r="P26" s="288"/>
      <c r="Q26" s="287">
        <f t="shared" si="6"/>
        <v>11369973.805963052</v>
      </c>
      <c r="R26" s="287">
        <v>11012579.057386722</v>
      </c>
      <c r="S26" s="289">
        <f t="shared" si="4"/>
        <v>11191276.431674886</v>
      </c>
    </row>
    <row r="27" spans="1:19" ht="14.25" customHeight="1" x14ac:dyDescent="0.2">
      <c r="A27" s="281" t="s">
        <v>29</v>
      </c>
      <c r="B27" s="249" t="s">
        <v>133</v>
      </c>
      <c r="C27" s="282">
        <f>Summary!D24</f>
        <v>3563</v>
      </c>
      <c r="D27" s="283">
        <v>1231341</v>
      </c>
      <c r="E27" s="283">
        <v>2098</v>
      </c>
      <c r="F27" s="283">
        <f t="shared" si="5"/>
        <v>7475174</v>
      </c>
      <c r="G27" s="450">
        <f>'Weighted differ concurrent'!L27</f>
        <v>9119.35</v>
      </c>
      <c r="H27" s="284">
        <v>1436188</v>
      </c>
      <c r="I27" s="284">
        <v>589</v>
      </c>
      <c r="J27" s="284">
        <f t="shared" si="0"/>
        <v>5371297.1500000004</v>
      </c>
      <c r="K27" s="285">
        <f t="shared" si="1"/>
        <v>15514000.15</v>
      </c>
      <c r="L27" s="286">
        <f>'Revenue Offset'!G26</f>
        <v>0.49544415081137827</v>
      </c>
      <c r="M27" s="287">
        <f t="shared" si="2"/>
        <v>7827679.5199956549</v>
      </c>
      <c r="N27" s="281" t="s">
        <v>29</v>
      </c>
      <c r="O27" s="249" t="s">
        <v>133</v>
      </c>
      <c r="P27" s="288"/>
      <c r="Q27" s="287">
        <f t="shared" si="6"/>
        <v>7827679.5199956549</v>
      </c>
      <c r="R27" s="287">
        <v>7908051.6242695544</v>
      </c>
      <c r="S27" s="289">
        <f t="shared" si="4"/>
        <v>7867865.5721326042</v>
      </c>
    </row>
    <row r="28" spans="1:19" x14ac:dyDescent="0.2">
      <c r="A28" s="281" t="s">
        <v>31</v>
      </c>
      <c r="B28" s="249" t="s">
        <v>134</v>
      </c>
      <c r="C28" s="282">
        <f>Summary!D25</f>
        <v>1763</v>
      </c>
      <c r="D28" s="283">
        <v>1231341</v>
      </c>
      <c r="E28" s="283">
        <v>2098</v>
      </c>
      <c r="F28" s="283">
        <f t="shared" si="5"/>
        <v>3698774</v>
      </c>
      <c r="G28" s="450">
        <f>'Weighted differ concurrent'!L28</f>
        <v>4036.9</v>
      </c>
      <c r="H28" s="284">
        <v>1436188</v>
      </c>
      <c r="I28" s="284">
        <v>589</v>
      </c>
      <c r="J28" s="284">
        <f t="shared" si="0"/>
        <v>2377734.1</v>
      </c>
      <c r="K28" s="285">
        <f t="shared" si="1"/>
        <v>8744037.0999999996</v>
      </c>
      <c r="L28" s="286">
        <f>'Revenue Offset'!G27</f>
        <v>0.41650737324311699</v>
      </c>
      <c r="M28" s="287">
        <f t="shared" si="2"/>
        <v>5102081.175938637</v>
      </c>
      <c r="N28" s="281" t="s">
        <v>31</v>
      </c>
      <c r="O28" s="249" t="s">
        <v>134</v>
      </c>
      <c r="P28" s="288">
        <v>200000</v>
      </c>
      <c r="Q28" s="287">
        <f t="shared" si="6"/>
        <v>5302081.175938637</v>
      </c>
      <c r="R28" s="287">
        <v>5238232.4821703285</v>
      </c>
      <c r="S28" s="289">
        <f t="shared" si="4"/>
        <v>5270156.8290544823</v>
      </c>
    </row>
    <row r="29" spans="1:19" x14ac:dyDescent="0.2">
      <c r="A29" s="281" t="s">
        <v>33</v>
      </c>
      <c r="B29" s="249" t="s">
        <v>130</v>
      </c>
      <c r="C29" s="282">
        <f>Summary!D26</f>
        <v>735</v>
      </c>
      <c r="D29" s="283">
        <v>1231341</v>
      </c>
      <c r="E29" s="283">
        <v>2098</v>
      </c>
      <c r="F29" s="283">
        <f t="shared" si="5"/>
        <v>1542030</v>
      </c>
      <c r="G29" s="450">
        <f>'Weighted differ concurrent'!L30</f>
        <v>2135.6999999999998</v>
      </c>
      <c r="H29" s="284">
        <v>1436188</v>
      </c>
      <c r="I29" s="284">
        <v>589</v>
      </c>
      <c r="J29" s="284">
        <f t="shared" si="0"/>
        <v>1257927.2999999998</v>
      </c>
      <c r="K29" s="285">
        <f t="shared" si="1"/>
        <v>5467486.2999999998</v>
      </c>
      <c r="L29" s="286">
        <f>'Revenue Offset'!G28</f>
        <v>0.35453374531279624</v>
      </c>
      <c r="M29" s="287">
        <f t="shared" si="2"/>
        <v>3529077.9046145971</v>
      </c>
      <c r="N29" s="281" t="s">
        <v>33</v>
      </c>
      <c r="O29" s="249" t="s">
        <v>130</v>
      </c>
      <c r="P29" s="288"/>
      <c r="Q29" s="287">
        <f t="shared" si="6"/>
        <v>3529077.9046145971</v>
      </c>
      <c r="R29" s="287">
        <v>3385728.1278428012</v>
      </c>
      <c r="S29" s="289">
        <f t="shared" si="4"/>
        <v>3457403.0162286991</v>
      </c>
    </row>
    <row r="30" spans="1:19" x14ac:dyDescent="0.2">
      <c r="A30" s="281" t="s">
        <v>35</v>
      </c>
      <c r="B30" s="249" t="s">
        <v>36</v>
      </c>
      <c r="C30" s="282">
        <f>Summary!D27</f>
        <v>2356</v>
      </c>
      <c r="D30" s="283">
        <v>1231341</v>
      </c>
      <c r="E30" s="283">
        <v>2098</v>
      </c>
      <c r="F30" s="283">
        <f t="shared" si="5"/>
        <v>4942888</v>
      </c>
      <c r="G30" s="450">
        <f>'Weighted differ concurrent'!L31</f>
        <v>4248.3</v>
      </c>
      <c r="H30" s="284">
        <v>1436188</v>
      </c>
      <c r="I30" s="284">
        <v>589</v>
      </c>
      <c r="J30" s="284">
        <f t="shared" si="0"/>
        <v>2502248.7000000002</v>
      </c>
      <c r="K30" s="285">
        <f t="shared" si="1"/>
        <v>10112665.699999999</v>
      </c>
      <c r="L30" s="286">
        <f>'Revenue Offset'!G29</f>
        <v>0.45508372100356775</v>
      </c>
      <c r="M30" s="287">
        <f t="shared" si="2"/>
        <v>5510556.1639788505</v>
      </c>
      <c r="N30" s="281" t="s">
        <v>35</v>
      </c>
      <c r="O30" s="249" t="s">
        <v>36</v>
      </c>
      <c r="P30" s="288">
        <v>200000</v>
      </c>
      <c r="Q30" s="287">
        <f t="shared" si="6"/>
        <v>5710556.1639788505</v>
      </c>
      <c r="R30" s="287">
        <v>5642509.7985939085</v>
      </c>
      <c r="S30" s="289">
        <f t="shared" si="4"/>
        <v>5676532.9812863795</v>
      </c>
    </row>
    <row r="31" spans="1:19" x14ac:dyDescent="0.2">
      <c r="A31" s="281" t="s">
        <v>37</v>
      </c>
      <c r="B31" s="249" t="s">
        <v>131</v>
      </c>
      <c r="C31" s="282">
        <f>Summary!D28</f>
        <v>2098</v>
      </c>
      <c r="D31" s="283">
        <v>1231341</v>
      </c>
      <c r="E31" s="283">
        <v>2098</v>
      </c>
      <c r="F31" s="283">
        <f t="shared" si="5"/>
        <v>4401604</v>
      </c>
      <c r="G31" s="450">
        <f>'Weighted differ concurrent'!L32</f>
        <v>4547.45</v>
      </c>
      <c r="H31" s="284">
        <v>1436188</v>
      </c>
      <c r="I31" s="284">
        <v>589</v>
      </c>
      <c r="J31" s="284">
        <f t="shared" si="0"/>
        <v>2678448.0499999998</v>
      </c>
      <c r="K31" s="285">
        <f t="shared" si="1"/>
        <v>9747581.0500000007</v>
      </c>
      <c r="L31" s="286">
        <f>'Revenue Offset'!G30</f>
        <v>0.492761862387736</v>
      </c>
      <c r="M31" s="287">
        <f t="shared" si="2"/>
        <v>4944344.8580265967</v>
      </c>
      <c r="N31" s="281" t="s">
        <v>37</v>
      </c>
      <c r="O31" s="249" t="s">
        <v>131</v>
      </c>
      <c r="P31" s="288">
        <f>200000+(36*500)</f>
        <v>218000</v>
      </c>
      <c r="Q31" s="287">
        <f t="shared" si="6"/>
        <v>5162344.8580265967</v>
      </c>
      <c r="R31" s="287">
        <v>5161605.7606758531</v>
      </c>
      <c r="S31" s="289">
        <f t="shared" si="4"/>
        <v>5161975.3093512245</v>
      </c>
    </row>
    <row r="32" spans="1:19" x14ac:dyDescent="0.2">
      <c r="A32" s="281" t="s">
        <v>39</v>
      </c>
      <c r="B32" s="249" t="s">
        <v>135</v>
      </c>
      <c r="C32" s="282">
        <f>Summary!D29</f>
        <v>3365</v>
      </c>
      <c r="D32" s="283">
        <v>1231341</v>
      </c>
      <c r="E32" s="283">
        <v>2098</v>
      </c>
      <c r="F32" s="283">
        <f t="shared" si="5"/>
        <v>7059770</v>
      </c>
      <c r="G32" s="450">
        <f>'Weighted differ concurrent'!L33</f>
        <v>7228.9</v>
      </c>
      <c r="H32" s="284">
        <v>1436188</v>
      </c>
      <c r="I32" s="284">
        <v>589</v>
      </c>
      <c r="J32" s="284">
        <f t="shared" si="0"/>
        <v>4257822.0999999996</v>
      </c>
      <c r="K32" s="285">
        <f t="shared" si="1"/>
        <v>13985121.1</v>
      </c>
      <c r="L32" s="286">
        <f>'Revenue Offset'!G31</f>
        <v>0.49778841675834068</v>
      </c>
      <c r="M32" s="287">
        <f t="shared" si="2"/>
        <v>7023489.8094573366</v>
      </c>
      <c r="N32" s="281" t="s">
        <v>39</v>
      </c>
      <c r="O32" s="249" t="s">
        <v>135</v>
      </c>
      <c r="P32" s="288"/>
      <c r="Q32" s="287">
        <f t="shared" si="6"/>
        <v>7023489.8094573366</v>
      </c>
      <c r="R32" s="287">
        <v>6441925.4284735816</v>
      </c>
      <c r="S32" s="289">
        <f t="shared" si="4"/>
        <v>6732707.6189654591</v>
      </c>
    </row>
    <row r="33" spans="1:19" x14ac:dyDescent="0.2">
      <c r="A33" s="281" t="s">
        <v>46</v>
      </c>
      <c r="B33" s="249" t="s">
        <v>70</v>
      </c>
      <c r="C33" s="282">
        <f>Summary!D30</f>
        <v>3683</v>
      </c>
      <c r="D33" s="283">
        <v>1231341</v>
      </c>
      <c r="E33" s="283">
        <v>2098</v>
      </c>
      <c r="F33" s="283">
        <f t="shared" si="5"/>
        <v>7726934</v>
      </c>
      <c r="G33" s="450">
        <f>'Weighted differ concurrent'!L35</f>
        <v>9314.4</v>
      </c>
      <c r="H33" s="284">
        <v>1436188</v>
      </c>
      <c r="I33" s="284">
        <v>589</v>
      </c>
      <c r="J33" s="284">
        <f t="shared" si="0"/>
        <v>5486181.5999999996</v>
      </c>
      <c r="K33" s="285">
        <f t="shared" si="1"/>
        <v>15880644.6</v>
      </c>
      <c r="L33" s="286">
        <f>'Revenue Offset'!G32</f>
        <v>0.47232029341697507</v>
      </c>
      <c r="M33" s="287">
        <f t="shared" si="2"/>
        <v>8379893.8828772996</v>
      </c>
      <c r="N33" s="281" t="s">
        <v>46</v>
      </c>
      <c r="O33" s="249" t="s">
        <v>70</v>
      </c>
      <c r="P33" s="288"/>
      <c r="Q33" s="287">
        <f t="shared" si="6"/>
        <v>8379893.8828772996</v>
      </c>
      <c r="R33" s="287">
        <v>8333665.3690033928</v>
      </c>
      <c r="S33" s="289">
        <f t="shared" si="4"/>
        <v>8356779.6259403462</v>
      </c>
    </row>
    <row r="34" spans="1:19" x14ac:dyDescent="0.2">
      <c r="A34" s="281" t="s">
        <v>41</v>
      </c>
      <c r="B34" s="249" t="s">
        <v>117</v>
      </c>
      <c r="C34" s="282">
        <f>Summary!D31</f>
        <v>1929</v>
      </c>
      <c r="D34" s="283">
        <v>1231341</v>
      </c>
      <c r="E34" s="283">
        <v>2098</v>
      </c>
      <c r="F34" s="283">
        <f t="shared" si="5"/>
        <v>4047042</v>
      </c>
      <c r="G34" s="450">
        <f>'Weighted differ concurrent'!L36</f>
        <v>4546.3500000000004</v>
      </c>
      <c r="H34" s="284">
        <v>1436188</v>
      </c>
      <c r="I34" s="284">
        <v>589</v>
      </c>
      <c r="J34" s="284">
        <f t="shared" si="0"/>
        <v>2677800.1500000004</v>
      </c>
      <c r="K34" s="285">
        <f t="shared" si="1"/>
        <v>9392371.1500000004</v>
      </c>
      <c r="L34" s="286">
        <f>'Revenue Offset'!G33</f>
        <v>0.44181013257687313</v>
      </c>
      <c r="M34" s="287">
        <f t="shared" si="2"/>
        <v>5242726.4070073022</v>
      </c>
      <c r="N34" s="281" t="s">
        <v>41</v>
      </c>
      <c r="O34" s="249" t="s">
        <v>117</v>
      </c>
      <c r="P34" s="288">
        <v>200000</v>
      </c>
      <c r="Q34" s="287">
        <f t="shared" si="6"/>
        <v>5442726.4070073022</v>
      </c>
      <c r="R34" s="287">
        <v>5379604.3629476847</v>
      </c>
      <c r="S34" s="289">
        <f t="shared" si="4"/>
        <v>5411165.3849774934</v>
      </c>
    </row>
    <row r="35" spans="1:19" x14ac:dyDescent="0.2">
      <c r="A35" s="281" t="s">
        <v>42</v>
      </c>
      <c r="B35" s="249" t="s">
        <v>69</v>
      </c>
      <c r="C35" s="282">
        <f>Summary!D32</f>
        <v>3409</v>
      </c>
      <c r="D35" s="283">
        <v>5195697</v>
      </c>
      <c r="E35" s="283">
        <v>1982</v>
      </c>
      <c r="F35" s="283">
        <f t="shared" si="5"/>
        <v>6756638</v>
      </c>
      <c r="G35" s="450">
        <f>'Weighted differ concurrent'!L45</f>
        <v>7575.65</v>
      </c>
      <c r="H35" s="284">
        <v>1895412</v>
      </c>
      <c r="I35" s="284">
        <v>1301</v>
      </c>
      <c r="J35" s="284">
        <f t="shared" si="0"/>
        <v>9855920.6500000004</v>
      </c>
      <c r="K35" s="285">
        <f t="shared" si="1"/>
        <v>23703667.649999999</v>
      </c>
      <c r="L35" s="286">
        <f>'Revenue Offset'!G34</f>
        <v>0.51531567434129255</v>
      </c>
      <c r="M35" s="287">
        <f t="shared" si="2"/>
        <v>11488796.170578368</v>
      </c>
      <c r="N35" s="281" t="s">
        <v>42</v>
      </c>
      <c r="O35" s="249" t="s">
        <v>69</v>
      </c>
      <c r="P35" s="288"/>
      <c r="Q35" s="287">
        <f t="shared" si="6"/>
        <v>11488796.170578368</v>
      </c>
      <c r="R35" s="287">
        <v>10875445.626666298</v>
      </c>
      <c r="S35" s="289">
        <f t="shared" si="4"/>
        <v>11182120.898622334</v>
      </c>
    </row>
    <row r="36" spans="1:19" x14ac:dyDescent="0.2">
      <c r="A36" s="281" t="s">
        <v>43</v>
      </c>
      <c r="B36" s="249" t="s">
        <v>44</v>
      </c>
      <c r="C36" s="282">
        <f>Summary!D33</f>
        <v>8439</v>
      </c>
      <c r="D36" s="283">
        <v>5195697</v>
      </c>
      <c r="E36" s="283">
        <v>1982</v>
      </c>
      <c r="F36" s="283">
        <f>+C36*E36</f>
        <v>16726098</v>
      </c>
      <c r="G36" s="450">
        <f>'Weighted differ concurrent'!L44</f>
        <v>14070.65</v>
      </c>
      <c r="H36" s="284">
        <v>1895412</v>
      </c>
      <c r="I36" s="284">
        <v>1301</v>
      </c>
      <c r="J36" s="284">
        <f t="shared" si="0"/>
        <v>18305915.649999999</v>
      </c>
      <c r="K36" s="285">
        <f t="shared" si="1"/>
        <v>42123122.649999999</v>
      </c>
      <c r="L36" s="286">
        <f>'Revenue Offset'!G35</f>
        <v>0.5556467377489458</v>
      </c>
      <c r="M36" s="287">
        <f t="shared" si="2"/>
        <v>18717546.965728771</v>
      </c>
      <c r="N36" s="281" t="s">
        <v>43</v>
      </c>
      <c r="O36" s="249" t="s">
        <v>44</v>
      </c>
      <c r="P36" s="288"/>
      <c r="Q36" s="287">
        <f>+M36+P36</f>
        <v>18717546.965728771</v>
      </c>
      <c r="R36" s="287">
        <v>19058187.946167987</v>
      </c>
      <c r="S36" s="289">
        <f t="shared" si="4"/>
        <v>18887867.455948379</v>
      </c>
    </row>
    <row r="37" spans="1:19" x14ac:dyDescent="0.2">
      <c r="A37" s="281" t="s">
        <v>45</v>
      </c>
      <c r="B37" s="249" t="s">
        <v>136</v>
      </c>
      <c r="C37" s="282">
        <f>Summary!D34</f>
        <v>2819</v>
      </c>
      <c r="D37" s="283">
        <v>1231341</v>
      </c>
      <c r="E37" s="283">
        <v>2098</v>
      </c>
      <c r="F37" s="283">
        <f t="shared" si="5"/>
        <v>5914262</v>
      </c>
      <c r="G37" s="450">
        <f>'Weighted differ concurrent'!L34</f>
        <v>5648.1</v>
      </c>
      <c r="H37" s="284">
        <v>1436188</v>
      </c>
      <c r="I37" s="284">
        <v>589</v>
      </c>
      <c r="J37" s="284">
        <f t="shared" si="0"/>
        <v>3326730.9000000004</v>
      </c>
      <c r="K37" s="285">
        <f t="shared" si="1"/>
        <v>11908521.9</v>
      </c>
      <c r="L37" s="286">
        <f>'Revenue Offset'!G36</f>
        <v>0.49510073758441531</v>
      </c>
      <c r="M37" s="287">
        <f t="shared" si="2"/>
        <v>6012603.9237698372</v>
      </c>
      <c r="N37" s="281" t="s">
        <v>45</v>
      </c>
      <c r="O37" s="249" t="s">
        <v>136</v>
      </c>
      <c r="P37" s="288"/>
      <c r="Q37" s="287">
        <f t="shared" si="6"/>
        <v>6012603.9237698372</v>
      </c>
      <c r="R37" s="287">
        <v>5861674.4121902883</v>
      </c>
      <c r="S37" s="289">
        <f t="shared" si="4"/>
        <v>5937139.1679800628</v>
      </c>
    </row>
    <row r="38" spans="1:19" x14ac:dyDescent="0.2">
      <c r="A38" s="281" t="s">
        <v>47</v>
      </c>
      <c r="B38" s="249" t="s">
        <v>48</v>
      </c>
      <c r="C38" s="282">
        <f>Summary!D35</f>
        <v>6610</v>
      </c>
      <c r="D38" s="283">
        <v>5195697</v>
      </c>
      <c r="E38" s="283">
        <v>1982</v>
      </c>
      <c r="F38" s="283">
        <f t="shared" si="5"/>
        <v>13101020</v>
      </c>
      <c r="G38" s="450">
        <f>'Weighted differ concurrent'!L46</f>
        <v>8535.4</v>
      </c>
      <c r="H38" s="284">
        <v>1895412</v>
      </c>
      <c r="I38" s="284">
        <v>1301</v>
      </c>
      <c r="J38" s="284">
        <f t="shared" si="0"/>
        <v>11104555.4</v>
      </c>
      <c r="K38" s="285">
        <f t="shared" si="1"/>
        <v>31296684.399999999</v>
      </c>
      <c r="L38" s="286">
        <f>'Revenue Offset'!G37</f>
        <v>0.59625389616347579</v>
      </c>
      <c r="M38" s="287">
        <f t="shared" si="2"/>
        <v>12635914.389501326</v>
      </c>
      <c r="N38" s="281" t="s">
        <v>47</v>
      </c>
      <c r="O38" s="249" t="s">
        <v>48</v>
      </c>
      <c r="P38" s="288">
        <v>200000</v>
      </c>
      <c r="Q38" s="287">
        <f t="shared" si="6"/>
        <v>12835914.389501326</v>
      </c>
      <c r="R38" s="287">
        <v>12655849.466002092</v>
      </c>
      <c r="S38" s="289">
        <f t="shared" si="4"/>
        <v>12745881.927751709</v>
      </c>
    </row>
    <row r="39" spans="1:19" x14ac:dyDescent="0.2">
      <c r="B39" s="168"/>
      <c r="K39" s="56"/>
      <c r="L39" s="127"/>
      <c r="M39" s="56"/>
      <c r="O39" s="168"/>
      <c r="P39" s="56"/>
      <c r="Q39" s="211"/>
      <c r="R39" s="211"/>
    </row>
    <row r="40" spans="1:19" x14ac:dyDescent="0.2">
      <c r="B40" s="157" t="s">
        <v>49</v>
      </c>
      <c r="C40" s="55">
        <f>SUM(C9:C39)</f>
        <v>115758</v>
      </c>
      <c r="D40" s="55">
        <f>SUM(D9:D39)</f>
        <v>64690722</v>
      </c>
      <c r="F40" s="55">
        <f>SUM(F9:F39)</f>
        <v>237432180</v>
      </c>
      <c r="G40" s="55">
        <f>SUM(G9:G39)</f>
        <v>231070.69999999998</v>
      </c>
      <c r="H40" s="55">
        <f>SUM(H9:H39)</f>
        <v>46300208</v>
      </c>
      <c r="J40" s="55">
        <f>SUM(J9:J39)</f>
        <v>189362015.90000004</v>
      </c>
      <c r="K40" s="55">
        <f>SUM(K9:K39)</f>
        <v>537785125.89999998</v>
      </c>
      <c r="L40" s="102">
        <f>'Revenue Offset'!G39</f>
        <v>0.52740429883085982</v>
      </c>
      <c r="M40" s="55">
        <f t="shared" ref="M40:S40" si="7">SUM(M9:M39)</f>
        <v>256283019.96518227</v>
      </c>
      <c r="O40" s="157" t="s">
        <v>49</v>
      </c>
      <c r="P40" s="55">
        <f t="shared" si="7"/>
        <v>4105000</v>
      </c>
      <c r="Q40" s="55">
        <f t="shared" si="7"/>
        <v>260388019.96518227</v>
      </c>
      <c r="R40" s="55">
        <f t="shared" si="7"/>
        <v>254812113.98749924</v>
      </c>
      <c r="S40" s="55">
        <f t="shared" si="7"/>
        <v>257600066.97634083</v>
      </c>
    </row>
    <row r="41" spans="1:19" x14ac:dyDescent="0.2">
      <c r="B41" s="168"/>
      <c r="L41" s="169"/>
      <c r="O41" s="168"/>
      <c r="Q41" s="169"/>
      <c r="R41" s="169"/>
    </row>
    <row r="42" spans="1:19" x14ac:dyDescent="0.2">
      <c r="A42" s="16" t="s">
        <v>312</v>
      </c>
      <c r="B42" s="170"/>
      <c r="M42" s="171"/>
      <c r="N42" s="129"/>
      <c r="O42" s="170"/>
    </row>
    <row r="43" spans="1:19" x14ac:dyDescent="0.2">
      <c r="A43" s="129"/>
      <c r="B43" s="170"/>
      <c r="N43" s="129"/>
      <c r="O43" s="170"/>
    </row>
    <row r="44" spans="1:19" x14ac:dyDescent="0.2">
      <c r="A44" s="129"/>
      <c r="B44" s="170"/>
      <c r="N44" s="129"/>
      <c r="O44" s="170"/>
    </row>
    <row r="45" spans="1:19" x14ac:dyDescent="0.2">
      <c r="J45" s="200"/>
    </row>
    <row r="46" spans="1:19" x14ac:dyDescent="0.2">
      <c r="E46" s="200"/>
      <c r="I46" s="200"/>
      <c r="L46" s="290"/>
      <c r="M46" s="202"/>
      <c r="P46" s="201"/>
    </row>
    <row r="47" spans="1:19" x14ac:dyDescent="0.2">
      <c r="E47" s="200"/>
      <c r="I47" s="200"/>
      <c r="L47" s="290"/>
      <c r="M47" s="202"/>
      <c r="P47" s="201"/>
    </row>
  </sheetData>
  <pageMargins left="0.7" right="0.7" top="0.75" bottom="0.75" header="0.3" footer="0.3"/>
  <pageSetup scale="1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52"/>
  <sheetViews>
    <sheetView zoomScale="90" zoomScaleNormal="90" workbookViewId="0">
      <selection activeCell="B48" sqref="B48"/>
    </sheetView>
  </sheetViews>
  <sheetFormatPr defaultColWidth="9.140625" defaultRowHeight="12.75" x14ac:dyDescent="0.2"/>
  <cols>
    <col min="1" max="1" width="46.28515625" style="302" bestFit="1" customWidth="1"/>
    <col min="2" max="2" width="10" style="302" customWidth="1"/>
    <col min="3" max="3" width="11.85546875" style="302" customWidth="1"/>
    <col min="4" max="4" width="11.28515625" style="384" customWidth="1"/>
    <col min="5" max="6" width="10" style="384" customWidth="1"/>
    <col min="7" max="7" width="11.85546875" style="384" customWidth="1"/>
    <col min="8" max="8" width="11.28515625" style="384" customWidth="1"/>
    <col min="9" max="9" width="8" style="302" customWidth="1"/>
    <col min="10" max="10" width="17.28515625" style="302" customWidth="1"/>
    <col min="11" max="11" width="11.5703125" style="302" customWidth="1"/>
    <col min="12" max="12" width="11.28515625" style="302" customWidth="1"/>
    <col min="13" max="13" width="11.5703125" style="302" customWidth="1"/>
    <col min="14" max="14" width="1.5703125" style="302" customWidth="1"/>
    <col min="15" max="15" width="11.42578125" style="302" customWidth="1"/>
    <col min="16" max="16384" width="9.140625" style="302"/>
  </cols>
  <sheetData>
    <row r="1" spans="1:16" x14ac:dyDescent="0.2">
      <c r="A1" s="499" t="s">
        <v>253</v>
      </c>
      <c r="B1" s="499"/>
      <c r="C1" s="499"/>
      <c r="D1" s="499"/>
      <c r="E1" s="499"/>
      <c r="F1" s="499"/>
      <c r="G1" s="499"/>
      <c r="H1" s="499"/>
      <c r="I1" s="499"/>
      <c r="J1" s="301"/>
      <c r="K1" s="439" t="s">
        <v>282</v>
      </c>
      <c r="L1" s="301" t="s">
        <v>207</v>
      </c>
      <c r="M1" s="301" t="s">
        <v>214</v>
      </c>
    </row>
    <row r="2" spans="1:16" x14ac:dyDescent="0.2">
      <c r="A2" s="299" t="s">
        <v>230</v>
      </c>
      <c r="B2" s="299"/>
      <c r="C2" s="299"/>
      <c r="D2" s="300"/>
      <c r="E2" s="300"/>
      <c r="F2" s="300"/>
      <c r="G2" s="300"/>
      <c r="H2" s="300"/>
      <c r="I2" s="299"/>
      <c r="J2" s="302" t="s">
        <v>231</v>
      </c>
      <c r="L2" s="303">
        <v>0.1</v>
      </c>
      <c r="M2" s="303">
        <v>0.1</v>
      </c>
    </row>
    <row r="3" spans="1:16" x14ac:dyDescent="0.2">
      <c r="A3" s="500" t="s">
        <v>319</v>
      </c>
      <c r="B3" s="500"/>
      <c r="C3" s="500"/>
      <c r="D3" s="500"/>
      <c r="E3" s="500"/>
      <c r="F3" s="500"/>
      <c r="G3" s="500"/>
      <c r="H3" s="500"/>
      <c r="I3" s="500"/>
      <c r="J3" s="302" t="s">
        <v>232</v>
      </c>
      <c r="L3" s="303">
        <v>0.75</v>
      </c>
      <c r="M3" s="303">
        <v>0.75</v>
      </c>
    </row>
    <row r="4" spans="1:16" ht="15.6" customHeight="1" thickBot="1" x14ac:dyDescent="0.25">
      <c r="B4" s="304" t="s">
        <v>79</v>
      </c>
      <c r="C4" s="304" t="s">
        <v>74</v>
      </c>
      <c r="D4" s="304" t="s">
        <v>75</v>
      </c>
      <c r="E4" s="304" t="s">
        <v>76</v>
      </c>
      <c r="F4" s="304" t="s">
        <v>77</v>
      </c>
      <c r="G4" s="304" t="s">
        <v>78</v>
      </c>
      <c r="H4" s="304" t="s">
        <v>233</v>
      </c>
      <c r="I4" s="305"/>
      <c r="J4" s="306" t="s">
        <v>234</v>
      </c>
      <c r="K4" s="306" t="s">
        <v>111</v>
      </c>
      <c r="L4" s="306" t="s">
        <v>235</v>
      </c>
      <c r="M4" s="306" t="s">
        <v>236</v>
      </c>
    </row>
    <row r="5" spans="1:16" s="316" customFormat="1" ht="77.25" thickBot="1" x14ac:dyDescent="0.25">
      <c r="A5" s="307" t="s">
        <v>207</v>
      </c>
      <c r="B5" s="308" t="s">
        <v>237</v>
      </c>
      <c r="C5" s="309" t="s">
        <v>238</v>
      </c>
      <c r="D5" s="310" t="s">
        <v>239</v>
      </c>
      <c r="E5" s="310" t="s">
        <v>240</v>
      </c>
      <c r="F5" s="310" t="s">
        <v>241</v>
      </c>
      <c r="G5" s="311" t="s">
        <v>242</v>
      </c>
      <c r="H5" s="310" t="s">
        <v>243</v>
      </c>
      <c r="I5" s="312" t="s">
        <v>244</v>
      </c>
      <c r="J5" s="313" t="s">
        <v>245</v>
      </c>
      <c r="K5" s="314" t="s">
        <v>246</v>
      </c>
      <c r="L5" s="313" t="s">
        <v>247</v>
      </c>
      <c r="M5" s="315" t="s">
        <v>248</v>
      </c>
    </row>
    <row r="6" spans="1:16" s="327" customFormat="1" ht="12.75" customHeight="1" x14ac:dyDescent="0.2">
      <c r="A6" s="317" t="s">
        <v>189</v>
      </c>
      <c r="B6" s="318">
        <v>3527</v>
      </c>
      <c r="C6" s="319">
        <v>503</v>
      </c>
      <c r="D6" s="320">
        <v>410</v>
      </c>
      <c r="E6" s="320">
        <v>628</v>
      </c>
      <c r="F6" s="367">
        <v>292</v>
      </c>
      <c r="G6" s="368">
        <v>51</v>
      </c>
      <c r="H6" s="321">
        <f>SUM(D6:F6)-G6</f>
        <v>1279</v>
      </c>
      <c r="I6" s="322">
        <f t="shared" ref="I6:I16" si="0">H6/H$48</f>
        <v>9.904363650443334E-3</v>
      </c>
      <c r="J6" s="323">
        <f t="shared" ref="J6:J36" si="1">H6*$L$2</f>
        <v>127.9</v>
      </c>
      <c r="K6" s="324">
        <f>C6*L3</f>
        <v>377.25</v>
      </c>
      <c r="L6" s="325">
        <f t="shared" ref="L6:L36" si="2">(B6-C6)+J6+K6</f>
        <v>3529.15</v>
      </c>
      <c r="M6" s="326">
        <f t="shared" ref="M6:M37" si="3">(L6+-B6)/B6</f>
        <v>6.0958321519707708E-4</v>
      </c>
    </row>
    <row r="7" spans="1:16" s="327" customFormat="1" x14ac:dyDescent="0.2">
      <c r="A7" s="328" t="s">
        <v>190</v>
      </c>
      <c r="B7" s="318">
        <v>11216</v>
      </c>
      <c r="C7" s="319">
        <v>2385</v>
      </c>
      <c r="D7" s="320">
        <v>1750</v>
      </c>
      <c r="E7" s="320">
        <v>2614</v>
      </c>
      <c r="F7" s="329">
        <v>3075</v>
      </c>
      <c r="G7" s="330">
        <v>723</v>
      </c>
      <c r="H7" s="331">
        <f>SUM(D7:F7)-G7</f>
        <v>6716</v>
      </c>
      <c r="I7" s="326">
        <f t="shared" si="0"/>
        <v>5.2007588957292752E-2</v>
      </c>
      <c r="J7" s="332">
        <f t="shared" si="1"/>
        <v>671.6</v>
      </c>
      <c r="K7" s="333">
        <f t="shared" ref="K7:K36" si="4">C7*$L$3</f>
        <v>1788.75</v>
      </c>
      <c r="L7" s="334">
        <f t="shared" si="2"/>
        <v>11291.35</v>
      </c>
      <c r="M7" s="326">
        <f t="shared" si="3"/>
        <v>6.718081312410874E-3</v>
      </c>
      <c r="P7" s="511">
        <f>B7+B8</f>
        <v>13496</v>
      </c>
    </row>
    <row r="8" spans="1:16" s="327" customFormat="1" x14ac:dyDescent="0.2">
      <c r="A8" s="328" t="s">
        <v>191</v>
      </c>
      <c r="B8" s="318">
        <v>2280</v>
      </c>
      <c r="C8" s="319">
        <v>9</v>
      </c>
      <c r="D8" s="320">
        <v>448</v>
      </c>
      <c r="E8" s="320">
        <v>773</v>
      </c>
      <c r="F8" s="329">
        <v>662</v>
      </c>
      <c r="G8" s="330">
        <v>5</v>
      </c>
      <c r="H8" s="331">
        <f t="shared" ref="H8:H35" si="5">SUM(D8:F8)-G8</f>
        <v>1878</v>
      </c>
      <c r="I8" s="326">
        <f t="shared" si="0"/>
        <v>1.4542920199790917E-2</v>
      </c>
      <c r="J8" s="332">
        <f t="shared" si="1"/>
        <v>187.8</v>
      </c>
      <c r="K8" s="333">
        <f t="shared" si="4"/>
        <v>6.75</v>
      </c>
      <c r="L8" s="334">
        <f t="shared" si="2"/>
        <v>2465.5500000000002</v>
      </c>
      <c r="M8" s="326">
        <f t="shared" si="3"/>
        <v>8.1381578947368499E-2</v>
      </c>
    </row>
    <row r="9" spans="1:16" s="327" customFormat="1" x14ac:dyDescent="0.2">
      <c r="A9" s="328" t="s">
        <v>7</v>
      </c>
      <c r="B9" s="318">
        <v>5659</v>
      </c>
      <c r="C9" s="319">
        <v>2717</v>
      </c>
      <c r="D9" s="320">
        <v>850</v>
      </c>
      <c r="E9" s="320">
        <v>1139</v>
      </c>
      <c r="F9" s="329">
        <v>578</v>
      </c>
      <c r="G9" s="330">
        <v>536</v>
      </c>
      <c r="H9" s="331">
        <f t="shared" si="5"/>
        <v>2031</v>
      </c>
      <c r="I9" s="326">
        <f t="shared" si="0"/>
        <v>1.5727726797537461E-2</v>
      </c>
      <c r="J9" s="332">
        <f t="shared" si="1"/>
        <v>203.10000000000002</v>
      </c>
      <c r="K9" s="333">
        <f t="shared" si="4"/>
        <v>2037.75</v>
      </c>
      <c r="L9" s="334">
        <f t="shared" si="2"/>
        <v>5182.8500000000004</v>
      </c>
      <c r="M9" s="326">
        <f t="shared" si="3"/>
        <v>-8.4140307474818807E-2</v>
      </c>
    </row>
    <row r="10" spans="1:16" s="327" customFormat="1" x14ac:dyDescent="0.2">
      <c r="A10" s="328" t="s">
        <v>9</v>
      </c>
      <c r="B10" s="318">
        <v>11703</v>
      </c>
      <c r="C10" s="319">
        <v>516</v>
      </c>
      <c r="D10" s="320">
        <v>2490</v>
      </c>
      <c r="E10" s="320">
        <v>3981</v>
      </c>
      <c r="F10" s="329">
        <v>4835</v>
      </c>
      <c r="G10" s="330">
        <v>147</v>
      </c>
      <c r="H10" s="331">
        <f t="shared" si="5"/>
        <v>11159</v>
      </c>
      <c r="I10" s="326">
        <f t="shared" si="0"/>
        <v>8.6413443295775744E-2</v>
      </c>
      <c r="J10" s="332">
        <f t="shared" si="1"/>
        <v>1115.9000000000001</v>
      </c>
      <c r="K10" s="333">
        <f t="shared" si="4"/>
        <v>387</v>
      </c>
      <c r="L10" s="334">
        <f t="shared" si="2"/>
        <v>12689.9</v>
      </c>
      <c r="M10" s="326">
        <f t="shared" si="3"/>
        <v>8.432880458002219E-2</v>
      </c>
      <c r="P10" s="511">
        <f>B11+B14</f>
        <v>9250</v>
      </c>
    </row>
    <row r="11" spans="1:16" s="327" customFormat="1" x14ac:dyDescent="0.2">
      <c r="A11" s="328" t="s">
        <v>192</v>
      </c>
      <c r="B11" s="318">
        <v>3171</v>
      </c>
      <c r="C11" s="319">
        <v>69</v>
      </c>
      <c r="D11" s="320">
        <v>590</v>
      </c>
      <c r="E11" s="320">
        <v>947</v>
      </c>
      <c r="F11" s="329">
        <v>924</v>
      </c>
      <c r="G11" s="330">
        <v>32</v>
      </c>
      <c r="H11" s="331">
        <f t="shared" si="5"/>
        <v>2429</v>
      </c>
      <c r="I11" s="326">
        <f t="shared" si="0"/>
        <v>1.8809772718472915E-2</v>
      </c>
      <c r="J11" s="332">
        <f t="shared" si="1"/>
        <v>242.9</v>
      </c>
      <c r="K11" s="333">
        <f t="shared" si="4"/>
        <v>51.75</v>
      </c>
      <c r="L11" s="334">
        <f t="shared" si="2"/>
        <v>3396.65</v>
      </c>
      <c r="M11" s="326">
        <f t="shared" si="3"/>
        <v>7.1160517187007277E-2</v>
      </c>
    </row>
    <row r="12" spans="1:16" s="327" customFormat="1" x14ac:dyDescent="0.2">
      <c r="A12" s="328" t="s">
        <v>221</v>
      </c>
      <c r="B12" s="318">
        <v>1976</v>
      </c>
      <c r="C12" s="319">
        <v>1207</v>
      </c>
      <c r="D12" s="320">
        <v>296</v>
      </c>
      <c r="E12" s="320">
        <v>408</v>
      </c>
      <c r="F12" s="329">
        <v>413</v>
      </c>
      <c r="G12" s="330">
        <v>194</v>
      </c>
      <c r="H12" s="331">
        <f t="shared" si="5"/>
        <v>923</v>
      </c>
      <c r="I12" s="326">
        <f t="shared" si="0"/>
        <v>7.1475587563402639E-3</v>
      </c>
      <c r="J12" s="332">
        <f t="shared" si="1"/>
        <v>92.300000000000011</v>
      </c>
      <c r="K12" s="333">
        <f t="shared" si="4"/>
        <v>905.25</v>
      </c>
      <c r="L12" s="334">
        <f t="shared" si="2"/>
        <v>1766.55</v>
      </c>
      <c r="M12" s="326">
        <f t="shared" si="3"/>
        <v>-0.10599696356275307</v>
      </c>
    </row>
    <row r="13" spans="1:16" s="327" customFormat="1" x14ac:dyDescent="0.2">
      <c r="A13" s="328" t="s">
        <v>139</v>
      </c>
      <c r="B13" s="318">
        <v>6296</v>
      </c>
      <c r="C13" s="319">
        <v>584</v>
      </c>
      <c r="D13" s="320">
        <v>1619</v>
      </c>
      <c r="E13" s="320">
        <v>1815</v>
      </c>
      <c r="F13" s="329">
        <v>2895</v>
      </c>
      <c r="G13" s="330">
        <v>142</v>
      </c>
      <c r="H13" s="331">
        <f t="shared" si="5"/>
        <v>6187</v>
      </c>
      <c r="I13" s="326">
        <f t="shared" si="0"/>
        <v>4.7911100785999146E-2</v>
      </c>
      <c r="J13" s="332">
        <f t="shared" si="1"/>
        <v>618.70000000000005</v>
      </c>
      <c r="K13" s="333">
        <f t="shared" si="4"/>
        <v>438</v>
      </c>
      <c r="L13" s="334">
        <f t="shared" si="2"/>
        <v>6768.7</v>
      </c>
      <c r="M13" s="326">
        <f t="shared" si="3"/>
        <v>7.5079415501905944E-2</v>
      </c>
    </row>
    <row r="14" spans="1:16" s="327" customFormat="1" x14ac:dyDescent="0.2">
      <c r="A14" s="328" t="s">
        <v>193</v>
      </c>
      <c r="B14" s="318">
        <v>6079</v>
      </c>
      <c r="C14" s="319">
        <v>507</v>
      </c>
      <c r="D14" s="320">
        <v>1052</v>
      </c>
      <c r="E14" s="320">
        <v>1452</v>
      </c>
      <c r="F14" s="329">
        <v>2211</v>
      </c>
      <c r="G14" s="330">
        <v>249</v>
      </c>
      <c r="H14" s="331">
        <f t="shared" si="5"/>
        <v>4466</v>
      </c>
      <c r="I14" s="326">
        <f t="shared" si="0"/>
        <v>3.4583962519843574E-2</v>
      </c>
      <c r="J14" s="332">
        <f t="shared" si="1"/>
        <v>446.6</v>
      </c>
      <c r="K14" s="333">
        <f t="shared" si="4"/>
        <v>380.25</v>
      </c>
      <c r="L14" s="334">
        <f t="shared" si="2"/>
        <v>6398.85</v>
      </c>
      <c r="M14" s="326">
        <f t="shared" si="3"/>
        <v>5.2615561770028026E-2</v>
      </c>
    </row>
    <row r="15" spans="1:16" s="327" customFormat="1" x14ac:dyDescent="0.2">
      <c r="A15" s="328" t="s">
        <v>17</v>
      </c>
      <c r="B15" s="318">
        <v>6544</v>
      </c>
      <c r="C15" s="319">
        <v>1206</v>
      </c>
      <c r="D15" s="320">
        <v>758</v>
      </c>
      <c r="E15" s="320">
        <v>1385</v>
      </c>
      <c r="F15" s="329">
        <v>901</v>
      </c>
      <c r="G15" s="330">
        <v>161</v>
      </c>
      <c r="H15" s="331">
        <f t="shared" si="5"/>
        <v>2883</v>
      </c>
      <c r="I15" s="326">
        <f t="shared" si="0"/>
        <v>2.2325473341851549E-2</v>
      </c>
      <c r="J15" s="332">
        <f t="shared" si="1"/>
        <v>288.3</v>
      </c>
      <c r="K15" s="333">
        <f t="shared" si="4"/>
        <v>904.5</v>
      </c>
      <c r="L15" s="334">
        <f t="shared" si="2"/>
        <v>6530.8</v>
      </c>
      <c r="M15" s="326">
        <f t="shared" si="3"/>
        <v>-2.0171149144254E-3</v>
      </c>
    </row>
    <row r="16" spans="1:16" s="327" customFormat="1" x14ac:dyDescent="0.2">
      <c r="A16" s="328" t="s">
        <v>194</v>
      </c>
      <c r="B16" s="318">
        <v>9366</v>
      </c>
      <c r="C16" s="319">
        <v>421</v>
      </c>
      <c r="D16" s="320">
        <v>2482</v>
      </c>
      <c r="E16" s="320">
        <v>3857</v>
      </c>
      <c r="F16" s="329">
        <v>5160</v>
      </c>
      <c r="G16" s="330">
        <v>231</v>
      </c>
      <c r="H16" s="331">
        <f t="shared" si="5"/>
        <v>11268</v>
      </c>
      <c r="I16" s="326">
        <f t="shared" si="0"/>
        <v>8.7257521198745497E-2</v>
      </c>
      <c r="J16" s="332">
        <f t="shared" si="1"/>
        <v>1126.8</v>
      </c>
      <c r="K16" s="333">
        <f t="shared" si="4"/>
        <v>315.75</v>
      </c>
      <c r="L16" s="334">
        <f t="shared" si="2"/>
        <v>10387.549999999999</v>
      </c>
      <c r="M16" s="326">
        <f t="shared" si="3"/>
        <v>0.10907004057228264</v>
      </c>
    </row>
    <row r="17" spans="1:15" s="327" customFormat="1" x14ac:dyDescent="0.2">
      <c r="A17" s="336" t="s">
        <v>331</v>
      </c>
      <c r="B17" s="337">
        <v>5140</v>
      </c>
      <c r="C17" s="338">
        <v>772</v>
      </c>
      <c r="D17" s="339">
        <v>818</v>
      </c>
      <c r="E17" s="339">
        <v>1514</v>
      </c>
      <c r="F17" s="339">
        <v>994</v>
      </c>
      <c r="G17" s="338">
        <v>144</v>
      </c>
      <c r="H17" s="340">
        <f t="shared" ref="H17:H22" si="6">SUM(D17:F17)-G17</f>
        <v>3182</v>
      </c>
      <c r="I17" s="341">
        <f t="shared" ref="I17" si="7">SUM(I18:I22)</f>
        <v>2.4640879699539243E-2</v>
      </c>
      <c r="J17" s="342">
        <f t="shared" ref="J17:J22" si="8">H17*$L$2</f>
        <v>318.20000000000005</v>
      </c>
      <c r="K17" s="343">
        <f t="shared" ref="K17:K22" si="9">C17*$L$3</f>
        <v>579</v>
      </c>
      <c r="L17" s="344">
        <f t="shared" ref="L17:L22" si="10">(B17-C17)+J17+K17</f>
        <v>5265.2</v>
      </c>
      <c r="M17" s="326">
        <f t="shared" ref="M17:M22" si="11">(L17+-B17)/B17</f>
        <v>2.4357976653696461E-2</v>
      </c>
    </row>
    <row r="18" spans="1:15" s="327" customFormat="1" x14ac:dyDescent="0.2">
      <c r="A18" s="345" t="s">
        <v>224</v>
      </c>
      <c r="B18" s="318">
        <v>1229</v>
      </c>
      <c r="C18" s="319">
        <v>78</v>
      </c>
      <c r="D18" s="320">
        <v>215</v>
      </c>
      <c r="E18" s="320">
        <v>440</v>
      </c>
      <c r="F18" s="329">
        <v>227</v>
      </c>
      <c r="G18" s="330">
        <v>12</v>
      </c>
      <c r="H18" s="331">
        <f t="shared" si="6"/>
        <v>870</v>
      </c>
      <c r="I18" s="326">
        <f t="shared" ref="I18:I27" si="12">H18/H$48</f>
        <v>6.7371355558136833E-3</v>
      </c>
      <c r="J18" s="332">
        <f t="shared" si="8"/>
        <v>87</v>
      </c>
      <c r="K18" s="333">
        <f t="shared" si="9"/>
        <v>58.5</v>
      </c>
      <c r="L18" s="334">
        <f t="shared" si="10"/>
        <v>1296.5</v>
      </c>
      <c r="M18" s="326">
        <f t="shared" si="11"/>
        <v>5.4922701383238404E-2</v>
      </c>
    </row>
    <row r="19" spans="1:15" s="327" customFormat="1" x14ac:dyDescent="0.2">
      <c r="A19" s="345" t="s">
        <v>225</v>
      </c>
      <c r="B19" s="318">
        <v>1549</v>
      </c>
      <c r="C19" s="319">
        <v>291</v>
      </c>
      <c r="D19" s="320">
        <v>241</v>
      </c>
      <c r="E19" s="320">
        <v>404</v>
      </c>
      <c r="F19" s="329">
        <v>294</v>
      </c>
      <c r="G19" s="330">
        <v>71</v>
      </c>
      <c r="H19" s="331">
        <f t="shared" si="6"/>
        <v>868</v>
      </c>
      <c r="I19" s="326">
        <f t="shared" si="12"/>
        <v>6.721647887869284E-3</v>
      </c>
      <c r="J19" s="332">
        <f t="shared" si="8"/>
        <v>86.800000000000011</v>
      </c>
      <c r="K19" s="333">
        <f t="shared" si="9"/>
        <v>218.25</v>
      </c>
      <c r="L19" s="334">
        <f t="shared" si="10"/>
        <v>1563.05</v>
      </c>
      <c r="M19" s="326">
        <f t="shared" si="11"/>
        <v>9.0703679793414805E-3</v>
      </c>
    </row>
    <row r="20" spans="1:15" s="327" customFormat="1" x14ac:dyDescent="0.2">
      <c r="A20" s="345" t="s">
        <v>226</v>
      </c>
      <c r="B20" s="318">
        <v>1310</v>
      </c>
      <c r="C20" s="319">
        <v>187</v>
      </c>
      <c r="D20" s="320">
        <v>209</v>
      </c>
      <c r="E20" s="320">
        <v>416</v>
      </c>
      <c r="F20" s="329">
        <v>266</v>
      </c>
      <c r="G20" s="330">
        <v>24</v>
      </c>
      <c r="H20" s="331">
        <f t="shared" si="6"/>
        <v>867</v>
      </c>
      <c r="I20" s="326">
        <f t="shared" si="12"/>
        <v>6.7139040538970844E-3</v>
      </c>
      <c r="J20" s="332">
        <f t="shared" si="8"/>
        <v>86.7</v>
      </c>
      <c r="K20" s="333">
        <f t="shared" si="9"/>
        <v>140.25</v>
      </c>
      <c r="L20" s="334">
        <f t="shared" si="10"/>
        <v>1349.95</v>
      </c>
      <c r="M20" s="326">
        <f t="shared" si="11"/>
        <v>3.0496183206106905E-2</v>
      </c>
    </row>
    <row r="21" spans="1:15" s="327" customFormat="1" x14ac:dyDescent="0.2">
      <c r="A21" s="345" t="s">
        <v>227</v>
      </c>
      <c r="B21" s="318">
        <v>298</v>
      </c>
      <c r="C21" s="319">
        <v>0</v>
      </c>
      <c r="D21" s="320">
        <v>58</v>
      </c>
      <c r="E21" s="320">
        <v>94</v>
      </c>
      <c r="F21" s="329">
        <v>91</v>
      </c>
      <c r="G21" s="330">
        <v>0</v>
      </c>
      <c r="H21" s="331">
        <f t="shared" si="6"/>
        <v>243</v>
      </c>
      <c r="I21" s="326">
        <f t="shared" si="12"/>
        <v>1.8817516552445115E-3</v>
      </c>
      <c r="J21" s="332">
        <f t="shared" si="8"/>
        <v>24.3</v>
      </c>
      <c r="K21" s="333">
        <f t="shared" si="9"/>
        <v>0</v>
      </c>
      <c r="L21" s="334">
        <f t="shared" si="10"/>
        <v>322.3</v>
      </c>
      <c r="M21" s="326">
        <f t="shared" si="11"/>
        <v>8.1543624161073858E-2</v>
      </c>
    </row>
    <row r="22" spans="1:15" s="327" customFormat="1" x14ac:dyDescent="0.2">
      <c r="A22" s="345" t="s">
        <v>228</v>
      </c>
      <c r="B22" s="318">
        <v>754</v>
      </c>
      <c r="C22" s="319">
        <v>216</v>
      </c>
      <c r="D22" s="320">
        <v>95</v>
      </c>
      <c r="E22" s="320">
        <v>160</v>
      </c>
      <c r="F22" s="329">
        <v>116</v>
      </c>
      <c r="G22" s="330">
        <v>37</v>
      </c>
      <c r="H22" s="331">
        <f t="shared" si="6"/>
        <v>334</v>
      </c>
      <c r="I22" s="326">
        <f t="shared" si="12"/>
        <v>2.5864405467146785E-3</v>
      </c>
      <c r="J22" s="332">
        <f t="shared" si="8"/>
        <v>33.4</v>
      </c>
      <c r="K22" s="333">
        <f t="shared" si="9"/>
        <v>162</v>
      </c>
      <c r="L22" s="334">
        <f t="shared" si="10"/>
        <v>733.4</v>
      </c>
      <c r="M22" s="326">
        <f t="shared" si="11"/>
        <v>-2.7320954907161833E-2</v>
      </c>
    </row>
    <row r="23" spans="1:15" s="327" customFormat="1" x14ac:dyDescent="0.2">
      <c r="A23" s="328" t="s">
        <v>195</v>
      </c>
      <c r="B23" s="318">
        <v>2610</v>
      </c>
      <c r="C23" s="319">
        <v>400</v>
      </c>
      <c r="D23" s="320">
        <v>403</v>
      </c>
      <c r="E23" s="320">
        <v>575</v>
      </c>
      <c r="F23" s="329">
        <v>357</v>
      </c>
      <c r="G23" s="330">
        <v>44</v>
      </c>
      <c r="H23" s="331">
        <f t="shared" si="5"/>
        <v>1291</v>
      </c>
      <c r="I23" s="326">
        <f t="shared" si="12"/>
        <v>9.9972896581097294E-3</v>
      </c>
      <c r="J23" s="332">
        <f t="shared" si="1"/>
        <v>129.1</v>
      </c>
      <c r="K23" s="333">
        <f t="shared" si="4"/>
        <v>300</v>
      </c>
      <c r="L23" s="334">
        <f t="shared" si="2"/>
        <v>2639.1</v>
      </c>
      <c r="M23" s="326">
        <f t="shared" si="3"/>
        <v>1.1149425287356287E-2</v>
      </c>
    </row>
    <row r="24" spans="1:15" s="327" customFormat="1" x14ac:dyDescent="0.2">
      <c r="A24" s="328" t="s">
        <v>196</v>
      </c>
      <c r="B24" s="318">
        <v>7072</v>
      </c>
      <c r="C24" s="319">
        <v>1941</v>
      </c>
      <c r="D24" s="320">
        <v>1218</v>
      </c>
      <c r="E24" s="320">
        <v>2121</v>
      </c>
      <c r="F24" s="329">
        <v>1472</v>
      </c>
      <c r="G24" s="330">
        <v>253</v>
      </c>
      <c r="H24" s="331">
        <f t="shared" si="5"/>
        <v>4558</v>
      </c>
      <c r="I24" s="326">
        <f t="shared" si="12"/>
        <v>3.5296395245285939E-2</v>
      </c>
      <c r="J24" s="332">
        <f t="shared" si="1"/>
        <v>455.8</v>
      </c>
      <c r="K24" s="333">
        <f t="shared" si="4"/>
        <v>1455.75</v>
      </c>
      <c r="L24" s="334">
        <f t="shared" si="2"/>
        <v>7042.55</v>
      </c>
      <c r="M24" s="326">
        <f t="shared" si="3"/>
        <v>-4.1643099547511052E-3</v>
      </c>
    </row>
    <row r="25" spans="1:15" s="327" customFormat="1" x14ac:dyDescent="0.2">
      <c r="A25" s="328" t="s">
        <v>223</v>
      </c>
      <c r="B25" s="318">
        <v>4473</v>
      </c>
      <c r="C25" s="319">
        <v>787</v>
      </c>
      <c r="D25" s="320">
        <v>879</v>
      </c>
      <c r="E25" s="320">
        <v>885</v>
      </c>
      <c r="F25" s="329">
        <v>952</v>
      </c>
      <c r="G25" s="330">
        <v>223</v>
      </c>
      <c r="H25" s="331">
        <f t="shared" si="5"/>
        <v>2493</v>
      </c>
      <c r="I25" s="326">
        <f t="shared" si="12"/>
        <v>1.9305378092693691E-2</v>
      </c>
      <c r="J25" s="332">
        <f t="shared" si="1"/>
        <v>249.3</v>
      </c>
      <c r="K25" s="333">
        <f t="shared" si="4"/>
        <v>590.25</v>
      </c>
      <c r="L25" s="334">
        <f t="shared" si="2"/>
        <v>4525.55</v>
      </c>
      <c r="M25" s="326">
        <f t="shared" si="3"/>
        <v>1.174826738207024E-2</v>
      </c>
    </row>
    <row r="26" spans="1:15" s="327" customFormat="1" x14ac:dyDescent="0.2">
      <c r="A26" s="328" t="s">
        <v>132</v>
      </c>
      <c r="B26" s="318">
        <v>14663</v>
      </c>
      <c r="C26" s="319">
        <v>1281</v>
      </c>
      <c r="D26" s="320">
        <v>2854</v>
      </c>
      <c r="E26" s="320">
        <v>3864</v>
      </c>
      <c r="F26" s="329">
        <v>5948</v>
      </c>
      <c r="G26" s="330">
        <v>497</v>
      </c>
      <c r="H26" s="331">
        <f t="shared" si="5"/>
        <v>12169</v>
      </c>
      <c r="I26" s="326">
        <f t="shared" si="12"/>
        <v>9.4234715607697375E-2</v>
      </c>
      <c r="J26" s="332">
        <f t="shared" si="1"/>
        <v>1216.9000000000001</v>
      </c>
      <c r="K26" s="333">
        <f t="shared" si="4"/>
        <v>960.75</v>
      </c>
      <c r="L26" s="334">
        <f t="shared" si="2"/>
        <v>15559.65</v>
      </c>
      <c r="M26" s="326">
        <f t="shared" si="3"/>
        <v>6.115051490145261E-2</v>
      </c>
    </row>
    <row r="27" spans="1:15" s="327" customFormat="1" x14ac:dyDescent="0.2">
      <c r="A27" s="335" t="s">
        <v>133</v>
      </c>
      <c r="B27" s="318">
        <v>8455</v>
      </c>
      <c r="C27" s="319">
        <v>699</v>
      </c>
      <c r="D27" s="320">
        <v>1788</v>
      </c>
      <c r="E27" s="320">
        <v>2544</v>
      </c>
      <c r="F27" s="329">
        <v>4208</v>
      </c>
      <c r="G27" s="330">
        <v>149</v>
      </c>
      <c r="H27" s="331">
        <f t="shared" si="5"/>
        <v>8391</v>
      </c>
      <c r="I27" s="326">
        <f t="shared" si="12"/>
        <v>6.4978510860727146E-2</v>
      </c>
      <c r="J27" s="332">
        <f t="shared" si="1"/>
        <v>839.1</v>
      </c>
      <c r="K27" s="333">
        <f t="shared" si="4"/>
        <v>524.25</v>
      </c>
      <c r="L27" s="334">
        <f t="shared" si="2"/>
        <v>9119.35</v>
      </c>
      <c r="M27" s="326">
        <f t="shared" si="3"/>
        <v>7.8574807806031974E-2</v>
      </c>
    </row>
    <row r="28" spans="1:15" s="327" customFormat="1" x14ac:dyDescent="0.2">
      <c r="A28" s="328" t="s">
        <v>229</v>
      </c>
      <c r="B28" s="318">
        <v>3905</v>
      </c>
      <c r="C28" s="319">
        <v>422</v>
      </c>
      <c r="D28" s="320">
        <v>652</v>
      </c>
      <c r="E28" s="320">
        <v>1070</v>
      </c>
      <c r="F28" s="329">
        <v>703</v>
      </c>
      <c r="G28" s="330">
        <v>51</v>
      </c>
      <c r="H28" s="331">
        <f t="shared" si="5"/>
        <v>2374</v>
      </c>
      <c r="I28" s="326">
        <f t="shared" ref="I28:I36" si="13">H28/H$48</f>
        <v>1.8383861850001935E-2</v>
      </c>
      <c r="J28" s="332">
        <f t="shared" si="1"/>
        <v>237.4</v>
      </c>
      <c r="K28" s="333">
        <f t="shared" si="4"/>
        <v>316.5</v>
      </c>
      <c r="L28" s="334">
        <f t="shared" si="2"/>
        <v>4036.9</v>
      </c>
      <c r="M28" s="326">
        <f t="shared" si="3"/>
        <v>3.3777208706786195E-2</v>
      </c>
    </row>
    <row r="29" spans="1:15" s="327" customFormat="1" x14ac:dyDescent="0.2">
      <c r="A29" s="328" t="s">
        <v>203</v>
      </c>
      <c r="B29" s="318">
        <v>1478</v>
      </c>
      <c r="C29" s="319">
        <v>0</v>
      </c>
      <c r="D29" s="320">
        <v>261</v>
      </c>
      <c r="E29" s="320">
        <v>379</v>
      </c>
      <c r="F29" s="329">
        <v>267</v>
      </c>
      <c r="G29" s="330"/>
      <c r="H29" s="331">
        <f t="shared" si="5"/>
        <v>907</v>
      </c>
      <c r="I29" s="326">
        <f t="shared" si="13"/>
        <v>7.02365741278507E-3</v>
      </c>
      <c r="J29" s="332">
        <f t="shared" si="1"/>
        <v>90.7</v>
      </c>
      <c r="K29" s="333">
        <f t="shared" si="4"/>
        <v>0</v>
      </c>
      <c r="L29" s="334">
        <f t="shared" si="2"/>
        <v>1568.7</v>
      </c>
      <c r="M29" s="326">
        <f t="shared" si="3"/>
        <v>6.1366711772665797E-2</v>
      </c>
      <c r="O29" s="511">
        <f>B29+B40</f>
        <v>7258</v>
      </c>
    </row>
    <row r="30" spans="1:15" s="327" customFormat="1" x14ac:dyDescent="0.2">
      <c r="A30" s="328" t="s">
        <v>204</v>
      </c>
      <c r="B30" s="318">
        <v>2343</v>
      </c>
      <c r="C30" s="319">
        <v>1154</v>
      </c>
      <c r="D30" s="320">
        <v>343</v>
      </c>
      <c r="E30" s="320">
        <v>413</v>
      </c>
      <c r="F30" s="329">
        <v>273</v>
      </c>
      <c r="G30" s="330">
        <v>217</v>
      </c>
      <c r="H30" s="331">
        <f t="shared" si="5"/>
        <v>812</v>
      </c>
      <c r="I30" s="326">
        <f t="shared" si="13"/>
        <v>6.2879931854261046E-3</v>
      </c>
      <c r="J30" s="332">
        <f t="shared" si="1"/>
        <v>81.2</v>
      </c>
      <c r="K30" s="333">
        <f t="shared" si="4"/>
        <v>865.5</v>
      </c>
      <c r="L30" s="334">
        <f t="shared" si="2"/>
        <v>2135.6999999999998</v>
      </c>
      <c r="M30" s="326">
        <f t="shared" si="3"/>
        <v>-8.8476312419974473E-2</v>
      </c>
    </row>
    <row r="31" spans="1:15" s="327" customFormat="1" x14ac:dyDescent="0.2">
      <c r="A31" s="328" t="s">
        <v>36</v>
      </c>
      <c r="B31" s="318">
        <v>4003</v>
      </c>
      <c r="C31" s="319">
        <v>164</v>
      </c>
      <c r="D31" s="320">
        <v>831</v>
      </c>
      <c r="E31" s="320">
        <v>1370</v>
      </c>
      <c r="F31" s="329">
        <v>685</v>
      </c>
      <c r="G31" s="330">
        <v>23</v>
      </c>
      <c r="H31" s="331">
        <f t="shared" si="5"/>
        <v>2863</v>
      </c>
      <c r="I31" s="326">
        <f t="shared" si="13"/>
        <v>2.2170596662407557E-2</v>
      </c>
      <c r="J31" s="332">
        <f t="shared" si="1"/>
        <v>286.3</v>
      </c>
      <c r="K31" s="333">
        <f t="shared" si="4"/>
        <v>123</v>
      </c>
      <c r="L31" s="334">
        <f t="shared" si="2"/>
        <v>4248.3</v>
      </c>
      <c r="M31" s="326">
        <f t="shared" si="3"/>
        <v>6.1279040719460449E-2</v>
      </c>
    </row>
    <row r="32" spans="1:15" s="327" customFormat="1" x14ac:dyDescent="0.2">
      <c r="A32" s="328" t="s">
        <v>131</v>
      </c>
      <c r="B32" s="318">
        <v>4516</v>
      </c>
      <c r="C32" s="319">
        <v>1115</v>
      </c>
      <c r="D32" s="320">
        <v>1027</v>
      </c>
      <c r="E32" s="320">
        <v>1227</v>
      </c>
      <c r="F32" s="329">
        <v>1172</v>
      </c>
      <c r="G32" s="330">
        <v>324</v>
      </c>
      <c r="H32" s="331">
        <f t="shared" si="5"/>
        <v>3102</v>
      </c>
      <c r="I32" s="326">
        <f t="shared" si="13"/>
        <v>2.4021372981763271E-2</v>
      </c>
      <c r="J32" s="332">
        <f t="shared" si="1"/>
        <v>310.20000000000005</v>
      </c>
      <c r="K32" s="333">
        <f t="shared" si="4"/>
        <v>836.25</v>
      </c>
      <c r="L32" s="334">
        <f t="shared" si="2"/>
        <v>4547.45</v>
      </c>
      <c r="M32" s="326">
        <f t="shared" si="3"/>
        <v>6.9641275465012883E-3</v>
      </c>
    </row>
    <row r="33" spans="1:20" s="327" customFormat="1" x14ac:dyDescent="0.2">
      <c r="A33" s="328" t="s">
        <v>205</v>
      </c>
      <c r="B33" s="318">
        <v>6766</v>
      </c>
      <c r="C33" s="319">
        <v>362</v>
      </c>
      <c r="D33" s="320">
        <v>1393</v>
      </c>
      <c r="E33" s="320">
        <v>2171</v>
      </c>
      <c r="F33" s="329">
        <v>2086</v>
      </c>
      <c r="G33" s="330">
        <v>116</v>
      </c>
      <c r="H33" s="331">
        <f t="shared" si="5"/>
        <v>5534</v>
      </c>
      <c r="I33" s="326">
        <f t="shared" si="13"/>
        <v>4.2854377202152787E-2</v>
      </c>
      <c r="J33" s="332">
        <f t="shared" si="1"/>
        <v>553.4</v>
      </c>
      <c r="K33" s="333">
        <f t="shared" si="4"/>
        <v>271.5</v>
      </c>
      <c r="L33" s="334">
        <f t="shared" si="2"/>
        <v>7228.9</v>
      </c>
      <c r="M33" s="326">
        <f t="shared" si="3"/>
        <v>6.8415607449009708E-2</v>
      </c>
    </row>
    <row r="34" spans="1:20" s="327" customFormat="1" ht="12.75" customHeight="1" x14ac:dyDescent="0.2">
      <c r="A34" s="317" t="s">
        <v>206</v>
      </c>
      <c r="B34" s="318">
        <v>5205</v>
      </c>
      <c r="C34" s="319">
        <v>62</v>
      </c>
      <c r="D34" s="320">
        <v>1204</v>
      </c>
      <c r="E34" s="320">
        <v>1983</v>
      </c>
      <c r="F34" s="329">
        <v>1407</v>
      </c>
      <c r="G34" s="330">
        <v>8</v>
      </c>
      <c r="H34" s="331">
        <f t="shared" si="5"/>
        <v>4586</v>
      </c>
      <c r="I34" s="326">
        <f t="shared" si="13"/>
        <v>3.5513222596507528E-2</v>
      </c>
      <c r="J34" s="332">
        <f t="shared" si="1"/>
        <v>458.6</v>
      </c>
      <c r="K34" s="333">
        <f t="shared" si="4"/>
        <v>46.5</v>
      </c>
      <c r="L34" s="334">
        <f t="shared" si="2"/>
        <v>5648.1</v>
      </c>
      <c r="M34" s="326">
        <f t="shared" si="3"/>
        <v>8.512968299711822E-2</v>
      </c>
    </row>
    <row r="35" spans="1:20" s="327" customFormat="1" x14ac:dyDescent="0.2">
      <c r="A35" s="328" t="s">
        <v>70</v>
      </c>
      <c r="B35" s="318">
        <v>8365</v>
      </c>
      <c r="C35" s="319">
        <v>634</v>
      </c>
      <c r="D35" s="320">
        <v>2658</v>
      </c>
      <c r="E35" s="320">
        <v>3628</v>
      </c>
      <c r="F35" s="329">
        <v>5439</v>
      </c>
      <c r="G35" s="330">
        <v>646</v>
      </c>
      <c r="H35" s="331">
        <f t="shared" si="5"/>
        <v>11079</v>
      </c>
      <c r="I35" s="326">
        <f t="shared" si="13"/>
        <v>8.5793936577999774E-2</v>
      </c>
      <c r="J35" s="332">
        <f t="shared" si="1"/>
        <v>1107.9000000000001</v>
      </c>
      <c r="K35" s="333">
        <f t="shared" si="4"/>
        <v>475.5</v>
      </c>
      <c r="L35" s="334">
        <f t="shared" si="2"/>
        <v>9314.4</v>
      </c>
      <c r="M35" s="326">
        <f t="shared" si="3"/>
        <v>0.11349671249252835</v>
      </c>
    </row>
    <row r="36" spans="1:20" s="327" customFormat="1" ht="13.5" thickBot="1" x14ac:dyDescent="0.25">
      <c r="A36" s="346" t="s">
        <v>117</v>
      </c>
      <c r="B36" s="318">
        <v>4274</v>
      </c>
      <c r="C36" s="319">
        <v>153</v>
      </c>
      <c r="D36" s="320">
        <v>900</v>
      </c>
      <c r="E36" s="320">
        <v>1326</v>
      </c>
      <c r="F36" s="329">
        <v>928</v>
      </c>
      <c r="G36" s="330">
        <v>48</v>
      </c>
      <c r="H36" s="331">
        <f>SUM(D36:F36)-G36</f>
        <v>3106</v>
      </c>
      <c r="I36" s="347">
        <f t="shared" si="13"/>
        <v>2.4052348317652069E-2</v>
      </c>
      <c r="J36" s="332">
        <f t="shared" si="1"/>
        <v>310.60000000000002</v>
      </c>
      <c r="K36" s="348">
        <f t="shared" si="4"/>
        <v>114.75</v>
      </c>
      <c r="L36" s="334">
        <f t="shared" si="2"/>
        <v>4546.3500000000004</v>
      </c>
      <c r="M36" s="326">
        <f t="shared" si="3"/>
        <v>6.3722508189050162E-2</v>
      </c>
    </row>
    <row r="37" spans="1:20" s="354" customFormat="1" ht="13.5" thickBot="1" x14ac:dyDescent="0.25">
      <c r="A37" s="349" t="s">
        <v>249</v>
      </c>
      <c r="B37" s="350">
        <f>SUM(B6:B36)-B17</f>
        <v>151085</v>
      </c>
      <c r="C37" s="351">
        <f t="shared" ref="B37:L37" si="14">SUM(C6:C17,C28:C36)</f>
        <v>14962</v>
      </c>
      <c r="D37" s="352">
        <f t="shared" si="14"/>
        <v>22832</v>
      </c>
      <c r="E37" s="352">
        <f t="shared" si="14"/>
        <v>34080</v>
      </c>
      <c r="F37" s="352">
        <f t="shared" si="14"/>
        <v>35900</v>
      </c>
      <c r="G37" s="351">
        <f t="shared" si="14"/>
        <v>4048</v>
      </c>
      <c r="H37" s="352">
        <f t="shared" si="14"/>
        <v>88764</v>
      </c>
      <c r="I37" s="353">
        <f t="shared" si="14"/>
        <v>0.68737367870832844</v>
      </c>
      <c r="J37" s="350">
        <f t="shared" si="14"/>
        <v>8876.4</v>
      </c>
      <c r="K37" s="351">
        <f t="shared" si="14"/>
        <v>11221.5</v>
      </c>
      <c r="L37" s="350">
        <f t="shared" si="14"/>
        <v>118947.9</v>
      </c>
      <c r="M37" s="326">
        <f t="shared" si="3"/>
        <v>-0.21270874011318136</v>
      </c>
      <c r="N37" s="327"/>
      <c r="O37" s="327"/>
      <c r="P37" s="327"/>
      <c r="Q37" s="327"/>
      <c r="R37" s="327"/>
      <c r="S37" s="327"/>
      <c r="T37" s="327"/>
    </row>
    <row r="38" spans="1:20" s="327" customFormat="1" ht="13.5" thickBot="1" x14ac:dyDescent="0.25">
      <c r="A38" s="355"/>
      <c r="B38" s="356"/>
      <c r="C38" s="356"/>
      <c r="D38" s="357"/>
      <c r="E38" s="357"/>
      <c r="F38" s="357"/>
      <c r="G38" s="357"/>
      <c r="H38" s="358"/>
      <c r="I38" s="359"/>
      <c r="M38" s="359"/>
    </row>
    <row r="39" spans="1:20" s="365" customFormat="1" ht="13.5" thickBot="1" x14ac:dyDescent="0.25">
      <c r="A39" s="360" t="s">
        <v>214</v>
      </c>
      <c r="B39" s="361"/>
      <c r="C39" s="361"/>
      <c r="D39" s="362"/>
      <c r="E39" s="362"/>
      <c r="F39" s="363"/>
      <c r="G39" s="363"/>
      <c r="H39" s="364"/>
      <c r="I39" s="359"/>
      <c r="M39" s="359"/>
    </row>
    <row r="40" spans="1:20" s="327" customFormat="1" x14ac:dyDescent="0.2">
      <c r="A40" s="366" t="s">
        <v>208</v>
      </c>
      <c r="B40" s="318">
        <v>5780</v>
      </c>
      <c r="C40" s="319">
        <v>426</v>
      </c>
      <c r="D40" s="320">
        <v>759</v>
      </c>
      <c r="E40" s="320">
        <v>1569</v>
      </c>
      <c r="F40" s="367">
        <v>867</v>
      </c>
      <c r="G40" s="368">
        <v>40</v>
      </c>
      <c r="H40" s="369">
        <f t="shared" ref="H40:H46" si="15">SUM(D40:F40)-G40</f>
        <v>3155</v>
      </c>
      <c r="I40" s="322">
        <f t="shared" ref="I40:I46" si="16">H40/H$48</f>
        <v>2.4431796182289852E-2</v>
      </c>
      <c r="J40" s="332">
        <f t="shared" ref="J40:J46" si="17">H40*$M$2</f>
        <v>315.5</v>
      </c>
      <c r="K40" s="348">
        <f t="shared" ref="K40:K46" si="18">C40*$L$3</f>
        <v>319.5</v>
      </c>
      <c r="L40" s="334">
        <f t="shared" ref="L40:L46" si="19">(B40-C40)+J40+K40</f>
        <v>5989</v>
      </c>
      <c r="M40" s="326">
        <f t="shared" ref="M40:M48" si="20">(L40+-B40)/B40</f>
        <v>3.6159169550173009E-2</v>
      </c>
    </row>
    <row r="41" spans="1:20" s="327" customFormat="1" x14ac:dyDescent="0.2">
      <c r="A41" s="328" t="s">
        <v>140</v>
      </c>
      <c r="B41" s="318">
        <v>10095</v>
      </c>
      <c r="C41" s="319">
        <v>8</v>
      </c>
      <c r="D41" s="320">
        <v>2420</v>
      </c>
      <c r="E41" s="320">
        <v>4204</v>
      </c>
      <c r="F41" s="329">
        <v>5064</v>
      </c>
      <c r="G41" s="330">
        <v>1</v>
      </c>
      <c r="H41" s="331">
        <f t="shared" si="15"/>
        <v>11687</v>
      </c>
      <c r="I41" s="326">
        <f t="shared" si="16"/>
        <v>9.0502187633097142E-2</v>
      </c>
      <c r="J41" s="332">
        <f t="shared" si="17"/>
        <v>1168.7</v>
      </c>
      <c r="K41" s="348">
        <f t="shared" si="18"/>
        <v>6</v>
      </c>
      <c r="L41" s="334">
        <f t="shared" si="19"/>
        <v>11261.7</v>
      </c>
      <c r="M41" s="326">
        <f t="shared" si="20"/>
        <v>0.11557206537890052</v>
      </c>
    </row>
    <row r="42" spans="1:20" s="327" customFormat="1" x14ac:dyDescent="0.2">
      <c r="A42" s="328" t="s">
        <v>209</v>
      </c>
      <c r="B42" s="318">
        <v>17909</v>
      </c>
      <c r="C42" s="319">
        <v>1526</v>
      </c>
      <c r="D42" s="320">
        <v>2268</v>
      </c>
      <c r="E42" s="320">
        <v>3607</v>
      </c>
      <c r="F42" s="329">
        <v>3339</v>
      </c>
      <c r="G42" s="330">
        <v>461</v>
      </c>
      <c r="H42" s="331">
        <f t="shared" si="15"/>
        <v>8753</v>
      </c>
      <c r="I42" s="326">
        <f t="shared" si="16"/>
        <v>6.7781778758663411E-2</v>
      </c>
      <c r="J42" s="332">
        <f t="shared" si="17"/>
        <v>875.30000000000007</v>
      </c>
      <c r="K42" s="333">
        <f t="shared" si="18"/>
        <v>1144.5</v>
      </c>
      <c r="L42" s="334">
        <f t="shared" si="19"/>
        <v>18402.8</v>
      </c>
      <c r="M42" s="326">
        <f t="shared" si="20"/>
        <v>2.7572728795577602E-2</v>
      </c>
    </row>
    <row r="43" spans="1:20" s="327" customFormat="1" x14ac:dyDescent="0.2">
      <c r="A43" s="328" t="s">
        <v>210</v>
      </c>
      <c r="B43" s="318">
        <v>7062</v>
      </c>
      <c r="C43" s="319"/>
      <c r="D43" s="320">
        <v>860</v>
      </c>
      <c r="E43" s="320">
        <v>1542</v>
      </c>
      <c r="F43" s="329">
        <v>992</v>
      </c>
      <c r="G43" s="330"/>
      <c r="H43" s="331">
        <f t="shared" si="15"/>
        <v>3394</v>
      </c>
      <c r="I43" s="326">
        <f t="shared" si="16"/>
        <v>2.6282572501645566E-2</v>
      </c>
      <c r="J43" s="332">
        <f t="shared" si="17"/>
        <v>339.40000000000003</v>
      </c>
      <c r="K43" s="333">
        <f t="shared" si="18"/>
        <v>0</v>
      </c>
      <c r="L43" s="334">
        <f t="shared" si="19"/>
        <v>7401.4</v>
      </c>
      <c r="M43" s="326">
        <f t="shared" si="20"/>
        <v>4.8060039648824646E-2</v>
      </c>
    </row>
    <row r="44" spans="1:20" s="327" customFormat="1" x14ac:dyDescent="0.2">
      <c r="A44" s="328" t="s">
        <v>211</v>
      </c>
      <c r="B44" s="318">
        <v>14123</v>
      </c>
      <c r="C44" s="319">
        <v>3163</v>
      </c>
      <c r="D44" s="320">
        <v>1983</v>
      </c>
      <c r="E44" s="320">
        <v>3080</v>
      </c>
      <c r="F44" s="329">
        <v>2859</v>
      </c>
      <c r="G44" s="330">
        <v>538</v>
      </c>
      <c r="H44" s="331">
        <f t="shared" si="15"/>
        <v>7384</v>
      </c>
      <c r="I44" s="326">
        <f t="shared" si="16"/>
        <v>5.7180470050722111E-2</v>
      </c>
      <c r="J44" s="332">
        <f t="shared" si="17"/>
        <v>738.40000000000009</v>
      </c>
      <c r="K44" s="333">
        <f t="shared" si="18"/>
        <v>2372.25</v>
      </c>
      <c r="L44" s="334">
        <f t="shared" si="19"/>
        <v>14070.65</v>
      </c>
      <c r="M44" s="326">
        <f t="shared" si="20"/>
        <v>-3.7067195355094786E-3</v>
      </c>
    </row>
    <row r="45" spans="1:20" s="327" customFormat="1" x14ac:dyDescent="0.2">
      <c r="A45" s="328" t="s">
        <v>212</v>
      </c>
      <c r="B45" s="318">
        <v>8830</v>
      </c>
      <c r="C45" s="319">
        <v>5803</v>
      </c>
      <c r="D45" s="320">
        <v>917</v>
      </c>
      <c r="E45" s="320">
        <v>879</v>
      </c>
      <c r="F45" s="329">
        <v>1218</v>
      </c>
      <c r="G45" s="330">
        <v>1050</v>
      </c>
      <c r="H45" s="331">
        <f t="shared" si="15"/>
        <v>1964</v>
      </c>
      <c r="I45" s="326">
        <f t="shared" si="16"/>
        <v>1.5208889921400084E-2</v>
      </c>
      <c r="J45" s="332">
        <f t="shared" si="17"/>
        <v>196.4</v>
      </c>
      <c r="K45" s="333">
        <f t="shared" si="18"/>
        <v>4352.25</v>
      </c>
      <c r="L45" s="334">
        <f t="shared" si="19"/>
        <v>7575.65</v>
      </c>
      <c r="M45" s="326">
        <f t="shared" si="20"/>
        <v>-0.14205549263873163</v>
      </c>
    </row>
    <row r="46" spans="1:20" s="327" customFormat="1" ht="13.5" thickBot="1" x14ac:dyDescent="0.25">
      <c r="A46" s="346" t="s">
        <v>213</v>
      </c>
      <c r="B46" s="318">
        <v>8132</v>
      </c>
      <c r="C46" s="319"/>
      <c r="D46" s="320">
        <v>984</v>
      </c>
      <c r="E46" s="320">
        <v>1845</v>
      </c>
      <c r="F46" s="329">
        <v>1205</v>
      </c>
      <c r="G46" s="330"/>
      <c r="H46" s="331">
        <f t="shared" si="15"/>
        <v>4034</v>
      </c>
      <c r="I46" s="370">
        <f t="shared" si="16"/>
        <v>3.1238626243853332E-2</v>
      </c>
      <c r="J46" s="332">
        <f t="shared" si="17"/>
        <v>403.40000000000003</v>
      </c>
      <c r="K46" s="348">
        <f t="shared" si="18"/>
        <v>0</v>
      </c>
      <c r="L46" s="334">
        <f t="shared" si="19"/>
        <v>8535.4</v>
      </c>
      <c r="M46" s="326">
        <f t="shared" si="20"/>
        <v>4.9606492867683184E-2</v>
      </c>
    </row>
    <row r="47" spans="1:20" s="354" customFormat="1" ht="13.5" thickBot="1" x14ac:dyDescent="0.25">
      <c r="A47" s="349" t="s">
        <v>250</v>
      </c>
      <c r="B47" s="350">
        <f t="shared" ref="B47:K47" si="21">SUM(B40:B46)</f>
        <v>71931</v>
      </c>
      <c r="C47" s="351">
        <f t="shared" si="21"/>
        <v>10926</v>
      </c>
      <c r="D47" s="352">
        <f t="shared" si="21"/>
        <v>10191</v>
      </c>
      <c r="E47" s="352">
        <f t="shared" si="21"/>
        <v>16726</v>
      </c>
      <c r="F47" s="352">
        <f t="shared" si="21"/>
        <v>15544</v>
      </c>
      <c r="G47" s="351">
        <f t="shared" si="21"/>
        <v>2090</v>
      </c>
      <c r="H47" s="352">
        <f t="shared" si="21"/>
        <v>40371</v>
      </c>
      <c r="I47" s="353">
        <f t="shared" si="21"/>
        <v>0.31262632129167151</v>
      </c>
      <c r="J47" s="350">
        <f t="shared" si="21"/>
        <v>4037.1000000000004</v>
      </c>
      <c r="K47" s="351">
        <f t="shared" si="21"/>
        <v>8194.5</v>
      </c>
      <c r="L47" s="371">
        <f>SUM(L40:L46)</f>
        <v>73236.600000000006</v>
      </c>
      <c r="M47" s="326">
        <f t="shared" si="20"/>
        <v>1.8150727780790004E-2</v>
      </c>
    </row>
    <row r="48" spans="1:20" s="354" customFormat="1" ht="13.5" thickBot="1" x14ac:dyDescent="0.25">
      <c r="A48" s="372" t="s">
        <v>251</v>
      </c>
      <c r="B48" s="373">
        <f t="shared" ref="B48:L48" si="22">B37+B47</f>
        <v>223016</v>
      </c>
      <c r="C48" s="374">
        <f t="shared" si="22"/>
        <v>25888</v>
      </c>
      <c r="D48" s="375">
        <f t="shared" si="22"/>
        <v>33023</v>
      </c>
      <c r="E48" s="375">
        <f t="shared" si="22"/>
        <v>50806</v>
      </c>
      <c r="F48" s="375">
        <f t="shared" si="22"/>
        <v>51444</v>
      </c>
      <c r="G48" s="374">
        <f>G37+G47</f>
        <v>6138</v>
      </c>
      <c r="H48" s="375">
        <f t="shared" si="22"/>
        <v>129135</v>
      </c>
      <c r="I48" s="376">
        <f t="shared" si="22"/>
        <v>1</v>
      </c>
      <c r="J48" s="350">
        <f t="shared" si="22"/>
        <v>12913.5</v>
      </c>
      <c r="K48" s="351">
        <f t="shared" si="22"/>
        <v>19416</v>
      </c>
      <c r="L48" s="350">
        <f t="shared" si="22"/>
        <v>192184.5</v>
      </c>
      <c r="M48" s="326">
        <f t="shared" si="20"/>
        <v>-0.13824792839975608</v>
      </c>
    </row>
    <row r="49" spans="1:12" ht="13.5" hidden="1" thickBot="1" x14ac:dyDescent="0.25">
      <c r="A49" s="377" t="s">
        <v>252</v>
      </c>
      <c r="B49" s="378"/>
      <c r="C49" s="379"/>
      <c r="D49" s="380"/>
      <c r="E49" s="380"/>
      <c r="F49" s="380"/>
      <c r="G49" s="380"/>
      <c r="H49" s="380"/>
      <c r="I49" s="381"/>
      <c r="J49" s="382"/>
      <c r="K49" s="383"/>
    </row>
    <row r="51" spans="1:12" x14ac:dyDescent="0.2">
      <c r="A51" s="16" t="s">
        <v>312</v>
      </c>
    </row>
    <row r="52" spans="1:12" x14ac:dyDescent="0.2">
      <c r="A52" s="129"/>
      <c r="L52" s="385"/>
    </row>
  </sheetData>
  <mergeCells count="2">
    <mergeCell ref="A1:I1"/>
    <mergeCell ref="A3:I3"/>
  </mergeCells>
  <pageMargins left="0.7" right="0.7" top="0.75" bottom="0.75" header="0.3" footer="0.3"/>
  <pageSetup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39997558519241921"/>
  </sheetPr>
  <dimension ref="A1:K49"/>
  <sheetViews>
    <sheetView zoomScale="80" workbookViewId="0">
      <selection activeCell="G10" sqref="G10"/>
    </sheetView>
  </sheetViews>
  <sheetFormatPr defaultColWidth="9.140625" defaultRowHeight="15" customHeight="1" x14ac:dyDescent="0.2"/>
  <cols>
    <col min="1" max="1" width="7.28515625" style="54" customWidth="1"/>
    <col min="2" max="2" width="30.28515625" style="54" customWidth="1"/>
    <col min="3" max="3" width="10.85546875" style="54" customWidth="1"/>
    <col min="4" max="4" width="12.85546875" style="54" customWidth="1"/>
    <col min="5" max="5" width="10.7109375" style="54" customWidth="1"/>
    <col min="6" max="6" width="12.85546875" style="54" customWidth="1"/>
    <col min="7" max="7" width="14.140625" style="54" customWidth="1"/>
    <col min="8" max="8" width="14.7109375" style="107" customWidth="1"/>
    <col min="9" max="9" width="9.140625" style="54"/>
    <col min="10" max="10" width="9.85546875" style="54" customWidth="1"/>
    <col min="11" max="12" width="9.140625" style="54" customWidth="1"/>
    <col min="13" max="16384" width="9.140625" style="54"/>
  </cols>
  <sheetData>
    <row r="1" spans="1:10" ht="15" customHeight="1" x14ac:dyDescent="0.25">
      <c r="A1" s="106" t="s">
        <v>254</v>
      </c>
      <c r="G1" s="106"/>
      <c r="H1" s="440" t="s">
        <v>283</v>
      </c>
    </row>
    <row r="2" spans="1:10" ht="15" customHeight="1" x14ac:dyDescent="0.2">
      <c r="A2" s="108" t="s">
        <v>104</v>
      </c>
      <c r="G2" s="108"/>
      <c r="I2" s="87"/>
    </row>
    <row r="3" spans="1:10" ht="15" customHeight="1" x14ac:dyDescent="0.2">
      <c r="A3" s="87" t="s">
        <v>323</v>
      </c>
      <c r="G3" s="109"/>
    </row>
    <row r="4" spans="1:10" ht="12.75" x14ac:dyDescent="0.2">
      <c r="A4" s="58"/>
      <c r="B4" s="58"/>
      <c r="C4" s="58"/>
      <c r="D4" s="91"/>
      <c r="E4" s="91"/>
      <c r="F4" s="91"/>
      <c r="G4" s="110"/>
      <c r="H4" s="111"/>
    </row>
    <row r="5" spans="1:10" ht="34.5" customHeight="1" x14ac:dyDescent="0.2">
      <c r="A5" s="112"/>
      <c r="B5" s="113"/>
      <c r="C5" s="195"/>
      <c r="D5" s="504" t="s">
        <v>105</v>
      </c>
      <c r="E5" s="504" t="s">
        <v>106</v>
      </c>
      <c r="F5" s="501" t="s">
        <v>107</v>
      </c>
      <c r="G5" s="504" t="s">
        <v>119</v>
      </c>
      <c r="H5" s="504" t="s">
        <v>66</v>
      </c>
    </row>
    <row r="6" spans="1:10" ht="15.75" customHeight="1" x14ac:dyDescent="0.2">
      <c r="A6" s="114"/>
      <c r="B6" s="114"/>
      <c r="C6" s="196" t="s">
        <v>306</v>
      </c>
      <c r="D6" s="504"/>
      <c r="E6" s="504"/>
      <c r="F6" s="502"/>
      <c r="G6" s="505"/>
      <c r="H6" s="506"/>
    </row>
    <row r="7" spans="1:10" ht="15.75" customHeight="1" x14ac:dyDescent="0.2">
      <c r="A7" s="115" t="s">
        <v>0</v>
      </c>
      <c r="B7" s="115" t="s">
        <v>83</v>
      </c>
      <c r="C7" s="115" t="s">
        <v>108</v>
      </c>
      <c r="D7" s="97">
        <v>5</v>
      </c>
      <c r="E7" s="100">
        <v>50000</v>
      </c>
      <c r="F7" s="503"/>
      <c r="G7" s="505"/>
      <c r="H7" s="507"/>
    </row>
    <row r="8" spans="1:10" s="58" customFormat="1" ht="15" customHeight="1" x14ac:dyDescent="0.2">
      <c r="B8" s="91"/>
      <c r="C8" s="91"/>
      <c r="D8" s="98"/>
      <c r="E8" s="101"/>
      <c r="F8" s="116"/>
      <c r="G8" s="117"/>
      <c r="H8" s="118"/>
    </row>
    <row r="9" spans="1:10" ht="15" customHeight="1" x14ac:dyDescent="0.2">
      <c r="A9" s="10" t="s">
        <v>2</v>
      </c>
      <c r="B9" s="121" t="s">
        <v>128</v>
      </c>
      <c r="C9" s="93">
        <v>484142</v>
      </c>
      <c r="D9" s="96">
        <f t="shared" ref="D9:D38" si="0">C9*$D$7</f>
        <v>2420710</v>
      </c>
      <c r="E9" s="96"/>
      <c r="F9" s="96">
        <f>D9+E9</f>
        <v>2420710</v>
      </c>
      <c r="G9" s="119">
        <f>'Revenue Offset'!G8</f>
        <v>0.46003292614045088</v>
      </c>
      <c r="H9" s="120">
        <f t="shared" ref="H9:H38" si="1">F9*(1-G9)</f>
        <v>1307103.695362549</v>
      </c>
      <c r="J9" s="201"/>
    </row>
    <row r="10" spans="1:10" ht="15" customHeight="1" x14ac:dyDescent="0.2">
      <c r="A10" s="10" t="s">
        <v>4</v>
      </c>
      <c r="B10" s="121" t="s">
        <v>124</v>
      </c>
      <c r="C10" s="93">
        <f>323839+113712+419337</f>
        <v>856888</v>
      </c>
      <c r="D10" s="96">
        <f t="shared" si="0"/>
        <v>4284440</v>
      </c>
      <c r="E10" s="96">
        <v>100000</v>
      </c>
      <c r="F10" s="96">
        <f t="shared" ref="F10:F38" si="2">D10+E10</f>
        <v>4384440</v>
      </c>
      <c r="G10" s="119">
        <f>'Revenue Offset'!G9</f>
        <v>0.49772736108685306</v>
      </c>
      <c r="H10" s="120">
        <f t="shared" si="1"/>
        <v>2202184.2489563576</v>
      </c>
      <c r="J10" s="201"/>
    </row>
    <row r="11" spans="1:10" ht="15" customHeight="1" x14ac:dyDescent="0.2">
      <c r="A11" s="10" t="s">
        <v>5</v>
      </c>
      <c r="B11" s="121" t="s">
        <v>113</v>
      </c>
      <c r="C11" s="93">
        <f>870364+97053</f>
        <v>967417</v>
      </c>
      <c r="D11" s="96">
        <f t="shared" si="0"/>
        <v>4837085</v>
      </c>
      <c r="E11" s="96">
        <v>50000</v>
      </c>
      <c r="F11" s="96">
        <f t="shared" si="2"/>
        <v>4887085</v>
      </c>
      <c r="G11" s="119">
        <f>'Revenue Offset'!G10</f>
        <v>0.57080304104372648</v>
      </c>
      <c r="H11" s="120">
        <f t="shared" si="1"/>
        <v>2097522.0201608199</v>
      </c>
      <c r="J11" s="201"/>
    </row>
    <row r="12" spans="1:10" ht="15" customHeight="1" x14ac:dyDescent="0.2">
      <c r="A12" s="10" t="s">
        <v>6</v>
      </c>
      <c r="B12" s="121" t="s">
        <v>7</v>
      </c>
      <c r="C12" s="93">
        <f>360749+272882</f>
        <v>633631</v>
      </c>
      <c r="D12" s="96">
        <f t="shared" si="0"/>
        <v>3168155</v>
      </c>
      <c r="E12" s="96">
        <v>50000</v>
      </c>
      <c r="F12" s="96">
        <f t="shared" si="2"/>
        <v>3218155</v>
      </c>
      <c r="G12" s="119">
        <f>'Revenue Offset'!G11</f>
        <v>0.43497597530505389</v>
      </c>
      <c r="H12" s="120">
        <f t="shared" si="1"/>
        <v>1818334.8901921641</v>
      </c>
      <c r="J12" s="201"/>
    </row>
    <row r="13" spans="1:10" ht="17.25" customHeight="1" x14ac:dyDescent="0.2">
      <c r="A13" s="10" t="s">
        <v>8</v>
      </c>
      <c r="B13" s="121" t="s">
        <v>9</v>
      </c>
      <c r="C13" s="93">
        <v>739917</v>
      </c>
      <c r="D13" s="96">
        <f t="shared" si="0"/>
        <v>3699585</v>
      </c>
      <c r="E13" s="96"/>
      <c r="F13" s="96">
        <f t="shared" si="2"/>
        <v>3699585</v>
      </c>
      <c r="G13" s="119">
        <f>'Revenue Offset'!G12</f>
        <v>0.4996004376283093</v>
      </c>
      <c r="H13" s="120">
        <f t="shared" si="1"/>
        <v>1851270.7149568712</v>
      </c>
      <c r="J13" s="201"/>
    </row>
    <row r="14" spans="1:10" ht="15" customHeight="1" x14ac:dyDescent="0.2">
      <c r="A14" s="10" t="s">
        <v>10</v>
      </c>
      <c r="B14" s="121" t="s">
        <v>146</v>
      </c>
      <c r="C14" s="93">
        <f>539331+325845</f>
        <v>865176</v>
      </c>
      <c r="D14" s="96">
        <f t="shared" si="0"/>
        <v>4325880</v>
      </c>
      <c r="E14" s="96">
        <v>50000</v>
      </c>
      <c r="F14" s="96">
        <f t="shared" si="2"/>
        <v>4375880</v>
      </c>
      <c r="G14" s="119">
        <f>'Revenue Offset'!G13</f>
        <v>0.48999835783470663</v>
      </c>
      <c r="H14" s="120">
        <f t="shared" si="1"/>
        <v>2231705.9859182639</v>
      </c>
      <c r="J14" s="201"/>
    </row>
    <row r="15" spans="1:10" ht="15" customHeight="1" x14ac:dyDescent="0.2">
      <c r="A15" s="10" t="s">
        <v>12</v>
      </c>
      <c r="B15" s="121" t="s">
        <v>13</v>
      </c>
      <c r="C15" s="93">
        <v>159542</v>
      </c>
      <c r="D15" s="96">
        <f t="shared" si="0"/>
        <v>797710</v>
      </c>
      <c r="E15" s="96"/>
      <c r="F15" s="96">
        <f t="shared" si="2"/>
        <v>797710</v>
      </c>
      <c r="G15" s="119">
        <f>'Revenue Offset'!G14</f>
        <v>0.33315161885150563</v>
      </c>
      <c r="H15" s="120">
        <f t="shared" si="1"/>
        <v>531951.62212596554</v>
      </c>
      <c r="J15" s="201"/>
    </row>
    <row r="16" spans="1:10" ht="15" customHeight="1" x14ac:dyDescent="0.2">
      <c r="A16" s="10" t="s">
        <v>14</v>
      </c>
      <c r="B16" s="121" t="s">
        <v>139</v>
      </c>
      <c r="C16" s="93">
        <f>498704+415217</f>
        <v>913921</v>
      </c>
      <c r="D16" s="96">
        <f t="shared" si="0"/>
        <v>4569605</v>
      </c>
      <c r="E16" s="96">
        <v>50000</v>
      </c>
      <c r="F16" s="96">
        <f t="shared" si="2"/>
        <v>4619605</v>
      </c>
      <c r="G16" s="119">
        <f>'Revenue Offset'!G15</f>
        <v>0.41926694079864041</v>
      </c>
      <c r="H16" s="120">
        <f t="shared" si="1"/>
        <v>2682757.3439518963</v>
      </c>
      <c r="J16" s="201"/>
    </row>
    <row r="17" spans="1:11" ht="15" customHeight="1" x14ac:dyDescent="0.2">
      <c r="A17" s="10" t="s">
        <v>16</v>
      </c>
      <c r="B17" s="121" t="s">
        <v>17</v>
      </c>
      <c r="C17" s="93">
        <v>399066</v>
      </c>
      <c r="D17" s="96">
        <f t="shared" si="0"/>
        <v>1995330</v>
      </c>
      <c r="E17" s="96"/>
      <c r="F17" s="96">
        <f t="shared" si="2"/>
        <v>1995330</v>
      </c>
      <c r="G17" s="119">
        <f>'Revenue Offset'!G16</f>
        <v>0.4336552229324242</v>
      </c>
      <c r="H17" s="120">
        <f t="shared" si="1"/>
        <v>1130044.724026246</v>
      </c>
      <c r="J17" s="201"/>
    </row>
    <row r="18" spans="1:11" ht="15" customHeight="1" x14ac:dyDescent="0.2">
      <c r="A18" s="10" t="s">
        <v>18</v>
      </c>
      <c r="B18" s="121" t="s">
        <v>140</v>
      </c>
      <c r="C18" s="93">
        <v>386384</v>
      </c>
      <c r="D18" s="96">
        <f t="shared" si="0"/>
        <v>1931920</v>
      </c>
      <c r="E18" s="96"/>
      <c r="F18" s="96">
        <f t="shared" si="2"/>
        <v>1931920</v>
      </c>
      <c r="G18" s="119">
        <f>'Revenue Offset'!G17</f>
        <v>0.6005167250745268</v>
      </c>
      <c r="H18" s="120">
        <f t="shared" si="1"/>
        <v>771769.72849402018</v>
      </c>
      <c r="J18" s="201"/>
    </row>
    <row r="19" spans="1:11" ht="15" customHeight="1" x14ac:dyDescent="0.2">
      <c r="A19" s="10" t="s">
        <v>19</v>
      </c>
      <c r="B19" s="121" t="s">
        <v>129</v>
      </c>
      <c r="C19" s="93">
        <v>987224</v>
      </c>
      <c r="D19" s="96">
        <f t="shared" si="0"/>
        <v>4936120</v>
      </c>
      <c r="E19" s="96"/>
      <c r="F19" s="96">
        <f t="shared" si="2"/>
        <v>4936120</v>
      </c>
      <c r="G19" s="119">
        <f>'Revenue Offset'!G18</f>
        <v>0.4511599203894881</v>
      </c>
      <c r="H19" s="120">
        <f t="shared" si="1"/>
        <v>2709140.4937670403</v>
      </c>
      <c r="J19" s="201"/>
    </row>
    <row r="20" spans="1:11" ht="15" customHeight="1" x14ac:dyDescent="0.2">
      <c r="A20" s="37" t="s">
        <v>118</v>
      </c>
      <c r="B20" s="121" t="s">
        <v>331</v>
      </c>
      <c r="C20" s="198">
        <f>305158+191916+97173+132211+96361+124080</f>
        <v>946899</v>
      </c>
      <c r="D20" s="96">
        <f>C20*$D$7</f>
        <v>4734495</v>
      </c>
      <c r="E20" s="96">
        <v>250000</v>
      </c>
      <c r="F20" s="96">
        <f>D20+E20</f>
        <v>4984495</v>
      </c>
      <c r="G20" s="119">
        <f>'Revenue Offset'!G19</f>
        <v>0.39845699457742023</v>
      </c>
      <c r="H20" s="120">
        <f>F20*(1-G20)</f>
        <v>2998388.1028138218</v>
      </c>
      <c r="J20" s="201"/>
    </row>
    <row r="21" spans="1:11" ht="15" customHeight="1" x14ac:dyDescent="0.2">
      <c r="A21" s="10" t="s">
        <v>21</v>
      </c>
      <c r="B21" s="121" t="s">
        <v>177</v>
      </c>
      <c r="C21" s="93">
        <f>100743+183316</f>
        <v>284059</v>
      </c>
      <c r="D21" s="96">
        <f t="shared" si="0"/>
        <v>1420295</v>
      </c>
      <c r="E21" s="96">
        <v>50000</v>
      </c>
      <c r="F21" s="96">
        <f t="shared" si="2"/>
        <v>1470295</v>
      </c>
      <c r="G21" s="119">
        <f>'Revenue Offset'!G20</f>
        <v>0.39377509948195011</v>
      </c>
      <c r="H21" s="120">
        <f t="shared" si="1"/>
        <v>891329.44010718621</v>
      </c>
      <c r="J21" s="201"/>
    </row>
    <row r="22" spans="1:11" ht="15" customHeight="1" x14ac:dyDescent="0.2">
      <c r="A22" s="37" t="s">
        <v>109</v>
      </c>
      <c r="B22" s="121" t="s">
        <v>141</v>
      </c>
      <c r="C22" s="93">
        <f>196824+165849+231919+131436</f>
        <v>726028</v>
      </c>
      <c r="D22" s="96">
        <f t="shared" si="0"/>
        <v>3630140</v>
      </c>
      <c r="E22" s="96">
        <v>150000</v>
      </c>
      <c r="F22" s="96">
        <f t="shared" si="2"/>
        <v>3780140</v>
      </c>
      <c r="G22" s="119">
        <f>'Revenue Offset'!G21</f>
        <v>0.44393982996697445</v>
      </c>
      <c r="H22" s="120">
        <f t="shared" si="1"/>
        <v>2101985.2911486411</v>
      </c>
      <c r="J22" s="201"/>
    </row>
    <row r="23" spans="1:11" ht="15" customHeight="1" x14ac:dyDescent="0.2">
      <c r="A23" s="10" t="s">
        <v>26</v>
      </c>
      <c r="B23" s="121" t="s">
        <v>62</v>
      </c>
      <c r="C23" s="93">
        <v>1148606</v>
      </c>
      <c r="D23" s="96">
        <f t="shared" si="0"/>
        <v>5743030</v>
      </c>
      <c r="E23" s="96"/>
      <c r="F23" s="96">
        <f t="shared" si="2"/>
        <v>5743030</v>
      </c>
      <c r="G23" s="119">
        <f>'Revenue Offset'!G22</f>
        <v>0.59115937666174934</v>
      </c>
      <c r="H23" s="120">
        <f t="shared" si="1"/>
        <v>2347983.9650502736</v>
      </c>
      <c r="J23" s="201"/>
    </row>
    <row r="24" spans="1:11" ht="15" customHeight="1" x14ac:dyDescent="0.2">
      <c r="A24" s="10" t="s">
        <v>22</v>
      </c>
      <c r="B24" s="121" t="s">
        <v>23</v>
      </c>
      <c r="C24" s="197">
        <v>1809355</v>
      </c>
      <c r="D24" s="96">
        <f t="shared" si="0"/>
        <v>9046775</v>
      </c>
      <c r="E24" s="96"/>
      <c r="F24" s="96">
        <f t="shared" si="2"/>
        <v>9046775</v>
      </c>
      <c r="G24" s="119">
        <f>'Revenue Offset'!G23</f>
        <v>0.66134355642338016</v>
      </c>
      <c r="H24" s="120">
        <f t="shared" si="1"/>
        <v>3063748.6473378749</v>
      </c>
      <c r="J24" s="201"/>
    </row>
    <row r="25" spans="1:11" ht="15" customHeight="1" x14ac:dyDescent="0.2">
      <c r="A25" s="10" t="s">
        <v>24</v>
      </c>
      <c r="B25" s="121" t="s">
        <v>137</v>
      </c>
      <c r="C25" s="93">
        <f>86143+97548+101250+101328+170094</f>
        <v>556363</v>
      </c>
      <c r="D25" s="96">
        <f t="shared" si="0"/>
        <v>2781815</v>
      </c>
      <c r="E25" s="96">
        <v>200000</v>
      </c>
      <c r="F25" s="96">
        <f t="shared" si="2"/>
        <v>2981815</v>
      </c>
      <c r="G25" s="119">
        <f>'Revenue Offset'!G24</f>
        <v>0.42545911482131288</v>
      </c>
      <c r="H25" s="120">
        <f t="shared" si="1"/>
        <v>1713174.6295390867</v>
      </c>
      <c r="J25" s="57"/>
    </row>
    <row r="26" spans="1:11" ht="15" customHeight="1" x14ac:dyDescent="0.2">
      <c r="A26" s="10" t="s">
        <v>27</v>
      </c>
      <c r="B26" s="121" t="s">
        <v>132</v>
      </c>
      <c r="C26" s="93">
        <v>566197</v>
      </c>
      <c r="D26" s="96">
        <f t="shared" si="0"/>
        <v>2830985</v>
      </c>
      <c r="E26" s="96"/>
      <c r="F26" s="96">
        <f t="shared" si="2"/>
        <v>2830985</v>
      </c>
      <c r="G26" s="119">
        <f>'Revenue Offset'!G25</f>
        <v>0.55595636800180659</v>
      </c>
      <c r="H26" s="120">
        <f t="shared" si="1"/>
        <v>1257080.8615324055</v>
      </c>
      <c r="J26" s="201"/>
    </row>
    <row r="27" spans="1:11" ht="15" customHeight="1" x14ac:dyDescent="0.2">
      <c r="A27" s="10" t="s">
        <v>29</v>
      </c>
      <c r="B27" s="121" t="s">
        <v>133</v>
      </c>
      <c r="C27" s="93">
        <v>490064</v>
      </c>
      <c r="D27" s="96">
        <f t="shared" si="0"/>
        <v>2450320</v>
      </c>
      <c r="E27" s="96"/>
      <c r="F27" s="96">
        <f t="shared" si="2"/>
        <v>2450320</v>
      </c>
      <c r="G27" s="119">
        <f>'Revenue Offset'!G26</f>
        <v>0.49544415081137827</v>
      </c>
      <c r="H27" s="120">
        <f t="shared" si="1"/>
        <v>1236323.2883838636</v>
      </c>
      <c r="J27" s="201"/>
    </row>
    <row r="28" spans="1:11" ht="15" customHeight="1" x14ac:dyDescent="0.2">
      <c r="A28" s="10" t="s">
        <v>31</v>
      </c>
      <c r="B28" s="121" t="s">
        <v>134</v>
      </c>
      <c r="C28" s="93">
        <f>171244+320041</f>
        <v>491285</v>
      </c>
      <c r="D28" s="96">
        <f t="shared" si="0"/>
        <v>2456425</v>
      </c>
      <c r="E28" s="96">
        <v>50000</v>
      </c>
      <c r="F28" s="96">
        <f t="shared" si="2"/>
        <v>2506425</v>
      </c>
      <c r="G28" s="119">
        <f>'Revenue Offset'!G27</f>
        <v>0.41650737324311699</v>
      </c>
      <c r="H28" s="120">
        <f t="shared" si="1"/>
        <v>1462480.5070191203</v>
      </c>
      <c r="J28" s="201"/>
    </row>
    <row r="29" spans="1:11" ht="15" customHeight="1" x14ac:dyDescent="0.2">
      <c r="A29" s="10" t="s">
        <v>33</v>
      </c>
      <c r="B29" s="121" t="s">
        <v>130</v>
      </c>
      <c r="C29" s="93">
        <v>112270</v>
      </c>
      <c r="D29" s="96">
        <f t="shared" si="0"/>
        <v>561350</v>
      </c>
      <c r="E29" s="96"/>
      <c r="F29" s="96">
        <f t="shared" si="2"/>
        <v>561350</v>
      </c>
      <c r="G29" s="119">
        <f>'Revenue Offset'!G28</f>
        <v>0.35453374531279624</v>
      </c>
      <c r="H29" s="120">
        <f t="shared" si="1"/>
        <v>362332.48206866183</v>
      </c>
      <c r="J29" s="201"/>
      <c r="K29" s="55"/>
    </row>
    <row r="30" spans="1:11" ht="15" customHeight="1" x14ac:dyDescent="0.2">
      <c r="A30" s="10" t="s">
        <v>35</v>
      </c>
      <c r="B30" s="121" t="s">
        <v>36</v>
      </c>
      <c r="C30" s="93">
        <f>195906+476819</f>
        <v>672725</v>
      </c>
      <c r="D30" s="96">
        <f t="shared" si="0"/>
        <v>3363625</v>
      </c>
      <c r="E30" s="96">
        <v>50000</v>
      </c>
      <c r="F30" s="96">
        <f t="shared" si="2"/>
        <v>3413625</v>
      </c>
      <c r="G30" s="119">
        <f>'Revenue Offset'!G29</f>
        <v>0.45508372100356775</v>
      </c>
      <c r="H30" s="120">
        <f t="shared" si="1"/>
        <v>1860139.832889196</v>
      </c>
      <c r="J30" s="201"/>
    </row>
    <row r="31" spans="1:11" ht="15" customHeight="1" x14ac:dyDescent="0.2">
      <c r="A31" s="10" t="s">
        <v>37</v>
      </c>
      <c r="B31" s="121" t="s">
        <v>131</v>
      </c>
      <c r="C31" s="93">
        <f>137722+361379+27571</f>
        <v>526672</v>
      </c>
      <c r="D31" s="96">
        <f t="shared" si="0"/>
        <v>2633360</v>
      </c>
      <c r="E31" s="96">
        <v>100000</v>
      </c>
      <c r="F31" s="96">
        <f t="shared" si="2"/>
        <v>2733360</v>
      </c>
      <c r="G31" s="119">
        <f>'Revenue Offset'!G30</f>
        <v>0.492761862387736</v>
      </c>
      <c r="H31" s="120">
        <f t="shared" si="1"/>
        <v>1386464.435823858</v>
      </c>
      <c r="J31" s="57"/>
    </row>
    <row r="32" spans="1:11" ht="15" customHeight="1" x14ac:dyDescent="0.2">
      <c r="A32" s="10" t="s">
        <v>39</v>
      </c>
      <c r="B32" s="121" t="s">
        <v>135</v>
      </c>
      <c r="C32" s="93">
        <v>616429</v>
      </c>
      <c r="D32" s="96">
        <f t="shared" si="0"/>
        <v>3082145</v>
      </c>
      <c r="E32" s="96"/>
      <c r="F32" s="96">
        <f t="shared" si="2"/>
        <v>3082145</v>
      </c>
      <c r="G32" s="119">
        <f>'Revenue Offset'!G31</f>
        <v>0.49778841675834068</v>
      </c>
      <c r="H32" s="120">
        <f t="shared" si="1"/>
        <v>1547888.9202303642</v>
      </c>
      <c r="J32" s="201"/>
    </row>
    <row r="33" spans="1:10" ht="15" customHeight="1" x14ac:dyDescent="0.2">
      <c r="A33" s="10" t="s">
        <v>46</v>
      </c>
      <c r="B33" s="121" t="s">
        <v>70</v>
      </c>
      <c r="C33" s="93">
        <v>557150</v>
      </c>
      <c r="D33" s="96">
        <f t="shared" si="0"/>
        <v>2785750</v>
      </c>
      <c r="E33" s="96"/>
      <c r="F33" s="96">
        <f t="shared" si="2"/>
        <v>2785750</v>
      </c>
      <c r="G33" s="119">
        <f>'Revenue Offset'!G32</f>
        <v>0.47232029341697507</v>
      </c>
      <c r="H33" s="120">
        <f t="shared" si="1"/>
        <v>1469983.7426136618</v>
      </c>
      <c r="J33" s="201"/>
    </row>
    <row r="34" spans="1:10" ht="15" customHeight="1" x14ac:dyDescent="0.2">
      <c r="A34" s="10" t="s">
        <v>41</v>
      </c>
      <c r="B34" s="121" t="s">
        <v>117</v>
      </c>
      <c r="C34" s="93">
        <f>110367+302315</f>
        <v>412682</v>
      </c>
      <c r="D34" s="96">
        <f t="shared" si="0"/>
        <v>2063410</v>
      </c>
      <c r="E34" s="96">
        <v>50000</v>
      </c>
      <c r="F34" s="96">
        <f t="shared" si="2"/>
        <v>2113410</v>
      </c>
      <c r="G34" s="119">
        <f>'Revenue Offset'!G33</f>
        <v>0.44181013257687313</v>
      </c>
      <c r="H34" s="120">
        <f t="shared" si="1"/>
        <v>1179684.0477107107</v>
      </c>
      <c r="J34" s="201"/>
    </row>
    <row r="35" spans="1:10" ht="15" customHeight="1" x14ac:dyDescent="0.2">
      <c r="A35" s="10" t="s">
        <v>42</v>
      </c>
      <c r="B35" s="121" t="s">
        <v>69</v>
      </c>
      <c r="C35" s="93">
        <v>801231</v>
      </c>
      <c r="D35" s="96">
        <f t="shared" si="0"/>
        <v>4006155</v>
      </c>
      <c r="E35" s="96"/>
      <c r="F35" s="96">
        <f t="shared" si="2"/>
        <v>4006155</v>
      </c>
      <c r="G35" s="119">
        <f>'Revenue Offset'!G34</f>
        <v>0.51531567434129255</v>
      </c>
      <c r="H35" s="120">
        <f t="shared" si="1"/>
        <v>1941720.5346592593</v>
      </c>
      <c r="J35" s="201"/>
    </row>
    <row r="36" spans="1:10" ht="15" customHeight="1" x14ac:dyDescent="0.2">
      <c r="A36" s="10" t="s">
        <v>43</v>
      </c>
      <c r="B36" s="121" t="s">
        <v>44</v>
      </c>
      <c r="C36" s="93">
        <v>2090144</v>
      </c>
      <c r="D36" s="96">
        <f t="shared" si="0"/>
        <v>10450720</v>
      </c>
      <c r="E36" s="96"/>
      <c r="F36" s="96">
        <f t="shared" si="2"/>
        <v>10450720</v>
      </c>
      <c r="G36" s="119">
        <f>'Revenue Offset'!G35</f>
        <v>0.5556467377489458</v>
      </c>
      <c r="H36" s="120">
        <f t="shared" si="1"/>
        <v>4643811.5248723375</v>
      </c>
      <c r="J36" s="201"/>
    </row>
    <row r="37" spans="1:10" ht="15" customHeight="1" x14ac:dyDescent="0.2">
      <c r="A37" s="10" t="s">
        <v>45</v>
      </c>
      <c r="B37" s="121" t="s">
        <v>136</v>
      </c>
      <c r="C37" s="93">
        <v>502694</v>
      </c>
      <c r="D37" s="96">
        <f t="shared" si="0"/>
        <v>2513470</v>
      </c>
      <c r="E37" s="96"/>
      <c r="F37" s="96">
        <f t="shared" si="2"/>
        <v>2513470</v>
      </c>
      <c r="G37" s="119">
        <f>'Revenue Offset'!G36</f>
        <v>0.49510073758441531</v>
      </c>
      <c r="H37" s="120">
        <f t="shared" si="1"/>
        <v>1269049.1491036997</v>
      </c>
      <c r="J37" s="201"/>
    </row>
    <row r="38" spans="1:10" ht="15" customHeight="1" x14ac:dyDescent="0.2">
      <c r="A38" s="10" t="s">
        <v>47</v>
      </c>
      <c r="B38" s="121" t="s">
        <v>48</v>
      </c>
      <c r="C38" s="93">
        <v>1266691</v>
      </c>
      <c r="D38" s="96">
        <f t="shared" si="0"/>
        <v>6333455</v>
      </c>
      <c r="E38" s="96"/>
      <c r="F38" s="96">
        <f t="shared" si="2"/>
        <v>6333455</v>
      </c>
      <c r="G38" s="119">
        <f>'Revenue Offset'!G37</f>
        <v>0.59625389616347579</v>
      </c>
      <c r="H38" s="120">
        <f t="shared" si="1"/>
        <v>2557107.7800739533</v>
      </c>
      <c r="J38" s="201"/>
    </row>
    <row r="39" spans="1:10" s="58" customFormat="1" ht="15" customHeight="1" x14ac:dyDescent="0.2">
      <c r="A39" s="122"/>
      <c r="B39" s="123"/>
      <c r="C39" s="199"/>
      <c r="D39" s="99"/>
      <c r="E39" s="95"/>
      <c r="F39" s="99"/>
      <c r="H39" s="124"/>
      <c r="I39" s="396"/>
    </row>
    <row r="40" spans="1:10" s="125" customFormat="1" ht="15" customHeight="1" x14ac:dyDescent="0.2">
      <c r="B40" s="126" t="s">
        <v>49</v>
      </c>
      <c r="C40" s="94">
        <f>SUM(C9:C38)</f>
        <v>21970852</v>
      </c>
      <c r="D40" s="94">
        <f>SUM(D9:D38)</f>
        <v>109854260</v>
      </c>
      <c r="E40" s="94">
        <f>SUM(E9:E38)</f>
        <v>1200000</v>
      </c>
      <c r="F40" s="94">
        <f>SUM(F9:F38)</f>
        <v>111054260</v>
      </c>
      <c r="G40" s="127">
        <f>'Revenue Offset'!G39</f>
        <v>0.52740429883085982</v>
      </c>
      <c r="H40" s="94">
        <f>SUM(H9:H38)</f>
        <v>54624462.650890179</v>
      </c>
    </row>
    <row r="42" spans="1:10" ht="12" customHeight="1" x14ac:dyDescent="0.2">
      <c r="B42" s="128"/>
      <c r="D42" s="52"/>
    </row>
    <row r="43" spans="1:10" ht="12" customHeight="1" x14ac:dyDescent="0.2">
      <c r="A43" s="129"/>
      <c r="D43" s="52"/>
    </row>
    <row r="44" spans="1:10" ht="15" customHeight="1" x14ac:dyDescent="0.2">
      <c r="A44" s="16" t="s">
        <v>312</v>
      </c>
      <c r="B44" s="130"/>
    </row>
    <row r="45" spans="1:10" ht="15" customHeight="1" x14ac:dyDescent="0.2">
      <c r="A45" s="129" t="str">
        <f>'FY2015 Detail'!B40</f>
        <v>s:\finance\bargain\FY23 allocation\Summary of FY2023 Institutional Allocation Draft</v>
      </c>
      <c r="B45" s="130"/>
    </row>
    <row r="46" spans="1:10" ht="15" customHeight="1" x14ac:dyDescent="0.2">
      <c r="A46" s="129"/>
      <c r="B46" s="130"/>
      <c r="E46" s="107"/>
      <c r="H46" s="54"/>
    </row>
    <row r="47" spans="1:10" ht="15" customHeight="1" x14ac:dyDescent="0.2">
      <c r="C47" s="55"/>
      <c r="E47" s="107"/>
      <c r="H47" s="54"/>
    </row>
    <row r="48" spans="1:10" ht="15" customHeight="1" x14ac:dyDescent="0.2">
      <c r="E48" s="107"/>
      <c r="H48" s="54"/>
    </row>
    <row r="49" spans="5:8" ht="15" customHeight="1" x14ac:dyDescent="0.2">
      <c r="E49" s="107"/>
      <c r="H49" s="54"/>
    </row>
  </sheetData>
  <mergeCells count="5">
    <mergeCell ref="F5:F7"/>
    <mergeCell ref="G5:G7"/>
    <mergeCell ref="H5:H7"/>
    <mergeCell ref="E5:E6"/>
    <mergeCell ref="D5:D6"/>
  </mergeCells>
  <phoneticPr fontId="11" type="noConversion"/>
  <pageMargins left="0.42" right="0.19" top="0.37" bottom="0.15" header="0.36" footer="0.16"/>
  <pageSetup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42"/>
  <sheetViews>
    <sheetView zoomScale="80" zoomScaleNormal="80" workbookViewId="0">
      <selection activeCell="C8" sqref="C8"/>
    </sheetView>
  </sheetViews>
  <sheetFormatPr defaultRowHeight="12.75" x14ac:dyDescent="0.2"/>
  <cols>
    <col min="1" max="1" width="6.85546875" customWidth="1"/>
    <col min="2" max="2" width="33.5703125" customWidth="1"/>
    <col min="3" max="3" width="16.7109375" customWidth="1"/>
    <col min="4" max="4" width="17.42578125" style="54" customWidth="1"/>
    <col min="5" max="5" width="13.140625" customWidth="1"/>
    <col min="10" max="12" width="0" hidden="1" customWidth="1"/>
  </cols>
  <sheetData>
    <row r="1" spans="1:12" ht="15" customHeight="1" x14ac:dyDescent="0.25">
      <c r="A1" s="36" t="s">
        <v>254</v>
      </c>
      <c r="E1" s="442" t="s">
        <v>284</v>
      </c>
    </row>
    <row r="2" spans="1:12" ht="15" customHeight="1" x14ac:dyDescent="0.2">
      <c r="A2" s="4" t="s">
        <v>178</v>
      </c>
    </row>
    <row r="3" spans="1:12" ht="15" customHeight="1" x14ac:dyDescent="0.2">
      <c r="A3" s="4" t="s">
        <v>326</v>
      </c>
    </row>
    <row r="4" spans="1:12" ht="15" customHeight="1" x14ac:dyDescent="0.2">
      <c r="C4" s="203" t="s">
        <v>79</v>
      </c>
      <c r="D4" s="103" t="s">
        <v>74</v>
      </c>
      <c r="E4" s="203" t="s">
        <v>75</v>
      </c>
    </row>
    <row r="5" spans="1:12" ht="61.5" customHeight="1" x14ac:dyDescent="0.2">
      <c r="A5" s="213" t="s">
        <v>0</v>
      </c>
      <c r="B5" s="214" t="s">
        <v>83</v>
      </c>
      <c r="C5" s="213" t="s">
        <v>179</v>
      </c>
      <c r="D5" s="105" t="s">
        <v>180</v>
      </c>
      <c r="E5" s="30" t="s">
        <v>147</v>
      </c>
    </row>
    <row r="6" spans="1:12" ht="15" customHeight="1" x14ac:dyDescent="0.2">
      <c r="B6" s="34"/>
      <c r="D6" s="55"/>
      <c r="L6">
        <f>G6-I6</f>
        <v>0</v>
      </c>
    </row>
    <row r="7" spans="1:12" ht="15" customHeight="1" x14ac:dyDescent="0.2">
      <c r="A7" s="216" t="s">
        <v>2</v>
      </c>
      <c r="B7" s="217" t="s">
        <v>128</v>
      </c>
      <c r="C7" s="218">
        <f>'3rd Term Expected'!J6</f>
        <v>0</v>
      </c>
      <c r="D7" s="220">
        <f>'Improvement Allocation'!H6</f>
        <v>4000</v>
      </c>
      <c r="E7" s="218">
        <f>C7+D7</f>
        <v>4000</v>
      </c>
      <c r="G7" s="298"/>
    </row>
    <row r="8" spans="1:12" s="54" customFormat="1" ht="15" customHeight="1" x14ac:dyDescent="0.2">
      <c r="A8" s="216" t="s">
        <v>4</v>
      </c>
      <c r="B8" s="217" t="s">
        <v>124</v>
      </c>
      <c r="C8" s="220">
        <f>'3rd Term Expected'!J7+'3rd Term Expected'!J8</f>
        <v>35131.13303397991</v>
      </c>
      <c r="D8" s="221">
        <f>'Improvement Allocation'!H7+'Improvement Allocation'!H8</f>
        <v>68000</v>
      </c>
      <c r="E8" s="218">
        <f t="shared" ref="E8:E36" si="0">C8+D8</f>
        <v>103131.13303397992</v>
      </c>
      <c r="G8" s="298"/>
    </row>
    <row r="9" spans="1:12" ht="15" customHeight="1" x14ac:dyDescent="0.2">
      <c r="A9" s="216" t="s">
        <v>5</v>
      </c>
      <c r="B9" s="217" t="s">
        <v>113</v>
      </c>
      <c r="C9" s="222">
        <f>'3rd Term Expected'!J29+'3rd Term Expected'!J38</f>
        <v>0</v>
      </c>
      <c r="D9" s="221">
        <f>'Improvement Allocation'!H29+'Improvement Allocation'!H38</f>
        <v>44000</v>
      </c>
      <c r="E9" s="218">
        <f t="shared" si="0"/>
        <v>44000</v>
      </c>
      <c r="G9" s="298"/>
    </row>
    <row r="10" spans="1:12" ht="15" customHeight="1" x14ac:dyDescent="0.2">
      <c r="A10" s="216" t="s">
        <v>6</v>
      </c>
      <c r="B10" s="217" t="s">
        <v>7</v>
      </c>
      <c r="C10" s="218">
        <f>'3rd Term Expected'!J9</f>
        <v>0</v>
      </c>
      <c r="D10" s="220">
        <f>'Improvement Allocation'!H9</f>
        <v>0</v>
      </c>
      <c r="E10" s="218">
        <f t="shared" si="0"/>
        <v>0</v>
      </c>
      <c r="G10" s="298"/>
    </row>
    <row r="11" spans="1:12" ht="15" customHeight="1" x14ac:dyDescent="0.2">
      <c r="A11" s="216" t="s">
        <v>8</v>
      </c>
      <c r="B11" s="217" t="s">
        <v>9</v>
      </c>
      <c r="C11" s="218">
        <f>'3rd Term Expected'!J10</f>
        <v>0</v>
      </c>
      <c r="D11" s="220">
        <f>'Improvement Allocation'!H10</f>
        <v>4000</v>
      </c>
      <c r="E11" s="218">
        <f t="shared" si="0"/>
        <v>4000</v>
      </c>
      <c r="G11" s="298"/>
    </row>
    <row r="12" spans="1:12" ht="15" customHeight="1" x14ac:dyDescent="0.2">
      <c r="A12" s="216" t="s">
        <v>10</v>
      </c>
      <c r="B12" s="3" t="s">
        <v>146</v>
      </c>
      <c r="C12" s="218">
        <f>'3rd Term Expected'!J11+'3rd Term Expected'!J14</f>
        <v>259408.4061462539</v>
      </c>
      <c r="D12" s="220">
        <f>'Improvement Allocation'!H11+'Improvement Allocation'!H14</f>
        <v>16000</v>
      </c>
      <c r="E12" s="218">
        <f t="shared" si="0"/>
        <v>275408.40614625392</v>
      </c>
      <c r="G12" s="298"/>
    </row>
    <row r="13" spans="1:12" ht="15" customHeight="1" x14ac:dyDescent="0.2">
      <c r="A13" s="216" t="s">
        <v>12</v>
      </c>
      <c r="B13" s="217" t="s">
        <v>13</v>
      </c>
      <c r="C13" s="218">
        <f>'3rd Term Expected'!J12</f>
        <v>0</v>
      </c>
      <c r="D13" s="220">
        <f>'Improvement Allocation'!H12</f>
        <v>0</v>
      </c>
      <c r="E13" s="218">
        <f t="shared" si="0"/>
        <v>0</v>
      </c>
      <c r="G13" s="298"/>
    </row>
    <row r="14" spans="1:12" ht="15" customHeight="1" x14ac:dyDescent="0.2">
      <c r="A14" s="216" t="s">
        <v>14</v>
      </c>
      <c r="B14" s="217" t="s">
        <v>139</v>
      </c>
      <c r="C14" s="218">
        <f>'3rd Term Expected'!J13</f>
        <v>107811.74528748565</v>
      </c>
      <c r="D14" s="220">
        <f>'Improvement Allocation'!H13</f>
        <v>144000</v>
      </c>
      <c r="E14" s="218">
        <f t="shared" si="0"/>
        <v>251811.74528748565</v>
      </c>
      <c r="G14" s="298"/>
    </row>
    <row r="15" spans="1:12" ht="15" customHeight="1" x14ac:dyDescent="0.2">
      <c r="A15" s="216" t="s">
        <v>16</v>
      </c>
      <c r="B15" s="217" t="s">
        <v>17</v>
      </c>
      <c r="C15" s="218">
        <f>'3rd Term Expected'!J15</f>
        <v>0</v>
      </c>
      <c r="D15" s="220">
        <f>'Improvement Allocation'!H15</f>
        <v>0</v>
      </c>
      <c r="E15" s="218">
        <f t="shared" si="0"/>
        <v>0</v>
      </c>
      <c r="G15" s="298"/>
    </row>
    <row r="16" spans="1:12" ht="15" customHeight="1" x14ac:dyDescent="0.2">
      <c r="A16" s="216" t="s">
        <v>18</v>
      </c>
      <c r="B16" s="217" t="s">
        <v>140</v>
      </c>
      <c r="C16" s="218">
        <f>'3rd Term Expected'!J39</f>
        <v>0</v>
      </c>
      <c r="D16" s="220">
        <f>'Improvement Allocation'!H39</f>
        <v>0</v>
      </c>
      <c r="E16" s="218">
        <f t="shared" si="0"/>
        <v>0</v>
      </c>
      <c r="G16" s="298"/>
    </row>
    <row r="17" spans="1:7" ht="15" customHeight="1" x14ac:dyDescent="0.2">
      <c r="A17" s="216" t="s">
        <v>19</v>
      </c>
      <c r="B17" s="217" t="s">
        <v>129</v>
      </c>
      <c r="C17" s="218">
        <f>'3rd Term Expected'!J16</f>
        <v>0</v>
      </c>
      <c r="D17" s="220">
        <f>'Improvement Allocation'!H16</f>
        <v>0</v>
      </c>
      <c r="E17" s="218">
        <f t="shared" si="0"/>
        <v>0</v>
      </c>
      <c r="G17" s="298"/>
    </row>
    <row r="18" spans="1:7" ht="15" customHeight="1" x14ac:dyDescent="0.2">
      <c r="A18" s="216" t="s">
        <v>118</v>
      </c>
      <c r="B18" s="217" t="s">
        <v>331</v>
      </c>
      <c r="C18" s="222">
        <f>'3rd Term Expected'!J17</f>
        <v>80997.232808963308</v>
      </c>
      <c r="D18" s="221">
        <f>'Improvement Allocation'!H17</f>
        <v>24000</v>
      </c>
      <c r="E18" s="218">
        <f>C18+D18</f>
        <v>104997.23280896331</v>
      </c>
      <c r="G18" s="298"/>
    </row>
    <row r="19" spans="1:7" ht="15" customHeight="1" x14ac:dyDescent="0.2">
      <c r="A19" s="216" t="s">
        <v>21</v>
      </c>
      <c r="B19" s="223" t="s">
        <v>177</v>
      </c>
      <c r="C19" s="218">
        <f>'3rd Term Expected'!J23</f>
        <v>0</v>
      </c>
      <c r="D19" s="220">
        <f>'Improvement Allocation'!H23</f>
        <v>0</v>
      </c>
      <c r="E19" s="218">
        <f t="shared" si="0"/>
        <v>0</v>
      </c>
      <c r="G19" s="298"/>
    </row>
    <row r="20" spans="1:7" ht="15" customHeight="1" x14ac:dyDescent="0.2">
      <c r="A20" s="216" t="s">
        <v>109</v>
      </c>
      <c r="B20" s="217" t="s">
        <v>141</v>
      </c>
      <c r="C20" s="218">
        <f>'3rd Term Expected'!J24</f>
        <v>0</v>
      </c>
      <c r="D20" s="220">
        <f>'Improvement Allocation'!H24</f>
        <v>0</v>
      </c>
      <c r="E20" s="218">
        <f t="shared" si="0"/>
        <v>0</v>
      </c>
      <c r="G20" s="298"/>
    </row>
    <row r="21" spans="1:7" ht="15" customHeight="1" x14ac:dyDescent="0.2">
      <c r="A21" s="216" t="s">
        <v>26</v>
      </c>
      <c r="B21" s="217" t="s">
        <v>62</v>
      </c>
      <c r="C21" s="218">
        <f>'3rd Term Expected'!J41</f>
        <v>0</v>
      </c>
      <c r="D21" s="220">
        <f>'Improvement Allocation'!H41</f>
        <v>0</v>
      </c>
      <c r="E21" s="218">
        <f t="shared" si="0"/>
        <v>0</v>
      </c>
      <c r="G21" s="298"/>
    </row>
    <row r="22" spans="1:7" ht="15" customHeight="1" x14ac:dyDescent="0.2">
      <c r="A22" s="216" t="s">
        <v>22</v>
      </c>
      <c r="B22" s="217" t="s">
        <v>23</v>
      </c>
      <c r="C22" s="218">
        <f>'3rd Term Expected'!J40</f>
        <v>0</v>
      </c>
      <c r="D22" s="220">
        <f>'Improvement Allocation'!H40</f>
        <v>0</v>
      </c>
      <c r="E22" s="218">
        <f t="shared" si="0"/>
        <v>0</v>
      </c>
      <c r="G22" s="298"/>
    </row>
    <row r="23" spans="1:7" ht="15" customHeight="1" x14ac:dyDescent="0.2">
      <c r="A23" s="216" t="s">
        <v>24</v>
      </c>
      <c r="B23" s="217" t="s">
        <v>137</v>
      </c>
      <c r="C23" s="218">
        <f>'3rd Term Expected'!J25</f>
        <v>0</v>
      </c>
      <c r="D23" s="220">
        <f>'Improvement Allocation'!H25</f>
        <v>4000</v>
      </c>
      <c r="E23" s="218">
        <f t="shared" si="0"/>
        <v>4000</v>
      </c>
      <c r="G23" s="298"/>
    </row>
    <row r="24" spans="1:7" ht="15" customHeight="1" x14ac:dyDescent="0.2">
      <c r="A24" s="216" t="s">
        <v>27</v>
      </c>
      <c r="B24" s="217" t="s">
        <v>132</v>
      </c>
      <c r="C24" s="218">
        <f>'3rd Term Expected'!J26</f>
        <v>0</v>
      </c>
      <c r="D24" s="220">
        <f>'Improvement Allocation'!H26</f>
        <v>0</v>
      </c>
      <c r="E24" s="218">
        <f t="shared" si="0"/>
        <v>0</v>
      </c>
      <c r="G24" s="298"/>
    </row>
    <row r="25" spans="1:7" ht="15" customHeight="1" x14ac:dyDescent="0.2">
      <c r="A25" s="216" t="s">
        <v>29</v>
      </c>
      <c r="B25" s="217" t="s">
        <v>133</v>
      </c>
      <c r="C25" s="218">
        <f>'3rd Term Expected'!J27</f>
        <v>0</v>
      </c>
      <c r="D25" s="220">
        <f>'Improvement Allocation'!H27</f>
        <v>0</v>
      </c>
      <c r="E25" s="218">
        <f t="shared" si="0"/>
        <v>0</v>
      </c>
      <c r="G25" s="298"/>
    </row>
    <row r="26" spans="1:7" ht="15" customHeight="1" x14ac:dyDescent="0.2">
      <c r="A26" s="216" t="s">
        <v>31</v>
      </c>
      <c r="B26" s="217" t="s">
        <v>134</v>
      </c>
      <c r="C26" s="218">
        <f>'3rd Term Expected'!J28</f>
        <v>0</v>
      </c>
      <c r="D26" s="220">
        <f>'Improvement Allocation'!H28</f>
        <v>44000</v>
      </c>
      <c r="E26" s="218">
        <f t="shared" si="0"/>
        <v>44000</v>
      </c>
      <c r="G26" s="298"/>
    </row>
    <row r="27" spans="1:7" ht="15" customHeight="1" x14ac:dyDescent="0.2">
      <c r="A27" s="216" t="s">
        <v>33</v>
      </c>
      <c r="B27" s="217" t="s">
        <v>130</v>
      </c>
      <c r="C27" s="218">
        <f>'3rd Term Expected'!J30</f>
        <v>0</v>
      </c>
      <c r="D27" s="220">
        <f>'Improvement Allocation'!H30</f>
        <v>0</v>
      </c>
      <c r="E27" s="218">
        <f t="shared" si="0"/>
        <v>0</v>
      </c>
      <c r="G27" s="298"/>
    </row>
    <row r="28" spans="1:7" ht="15" customHeight="1" x14ac:dyDescent="0.2">
      <c r="A28" s="216" t="s">
        <v>35</v>
      </c>
      <c r="B28" s="217" t="s">
        <v>36</v>
      </c>
      <c r="C28" s="218">
        <f>'3rd Term Expected'!J31</f>
        <v>0</v>
      </c>
      <c r="D28" s="220">
        <f>'Improvement Allocation'!H31</f>
        <v>0</v>
      </c>
      <c r="E28" s="218">
        <f t="shared" si="0"/>
        <v>0</v>
      </c>
      <c r="G28" s="298"/>
    </row>
    <row r="29" spans="1:7" ht="15" customHeight="1" x14ac:dyDescent="0.2">
      <c r="A29" s="216" t="s">
        <v>37</v>
      </c>
      <c r="B29" s="217" t="s">
        <v>131</v>
      </c>
      <c r="C29" s="218">
        <f>'3rd Term Expected'!J32</f>
        <v>137047.79000643457</v>
      </c>
      <c r="D29" s="220">
        <f>'Improvement Allocation'!H32</f>
        <v>12000</v>
      </c>
      <c r="E29" s="218">
        <f t="shared" si="0"/>
        <v>149047.79000643457</v>
      </c>
      <c r="G29" s="298"/>
    </row>
    <row r="30" spans="1:7" ht="15" customHeight="1" x14ac:dyDescent="0.2">
      <c r="A30" s="216" t="s">
        <v>39</v>
      </c>
      <c r="B30" s="217" t="s">
        <v>135</v>
      </c>
      <c r="C30" s="218">
        <f>'3rd Term Expected'!J33</f>
        <v>0</v>
      </c>
      <c r="D30" s="220">
        <f>'Improvement Allocation'!H33</f>
        <v>20000</v>
      </c>
      <c r="E30" s="218">
        <f t="shared" si="0"/>
        <v>20000</v>
      </c>
      <c r="G30" s="298"/>
    </row>
    <row r="31" spans="1:7" ht="15" customHeight="1" x14ac:dyDescent="0.2">
      <c r="A31" s="216" t="s">
        <v>46</v>
      </c>
      <c r="B31" s="217" t="s">
        <v>70</v>
      </c>
      <c r="C31" s="218">
        <f>'3rd Term Expected'!J35</f>
        <v>32557.537286207018</v>
      </c>
      <c r="D31" s="220">
        <f>'Improvement Allocation'!H35</f>
        <v>0</v>
      </c>
      <c r="E31" s="218">
        <f t="shared" si="0"/>
        <v>32557.537286207018</v>
      </c>
      <c r="G31" s="298"/>
    </row>
    <row r="32" spans="1:7" ht="15" customHeight="1" x14ac:dyDescent="0.2">
      <c r="A32" s="216" t="s">
        <v>41</v>
      </c>
      <c r="B32" s="217" t="s">
        <v>117</v>
      </c>
      <c r="C32" s="218">
        <f>'3rd Term Expected'!J36</f>
        <v>0</v>
      </c>
      <c r="D32" s="220">
        <f>'Improvement Allocation'!H36</f>
        <v>0</v>
      </c>
      <c r="E32" s="218">
        <f t="shared" si="0"/>
        <v>0</v>
      </c>
      <c r="G32" s="298"/>
    </row>
    <row r="33" spans="1:9" ht="15" customHeight="1" x14ac:dyDescent="0.2">
      <c r="A33" s="216" t="s">
        <v>42</v>
      </c>
      <c r="B33" s="217" t="s">
        <v>69</v>
      </c>
      <c r="C33" s="218">
        <f>'3rd Term Expected'!J43</f>
        <v>0</v>
      </c>
      <c r="D33" s="220">
        <f>'Improvement Allocation'!H43</f>
        <v>4000</v>
      </c>
      <c r="E33" s="218">
        <f t="shared" si="0"/>
        <v>4000</v>
      </c>
      <c r="G33" s="298"/>
    </row>
    <row r="34" spans="1:9" ht="15" customHeight="1" x14ac:dyDescent="0.2">
      <c r="A34" s="216" t="s">
        <v>43</v>
      </c>
      <c r="B34" s="217" t="s">
        <v>44</v>
      </c>
      <c r="C34" s="218">
        <f>'3rd Term Expected'!J42</f>
        <v>0</v>
      </c>
      <c r="D34" s="220">
        <f>'Improvement Allocation'!H42</f>
        <v>0</v>
      </c>
      <c r="E34" s="218">
        <f t="shared" si="0"/>
        <v>0</v>
      </c>
      <c r="G34" s="298"/>
    </row>
    <row r="35" spans="1:9" ht="15" customHeight="1" x14ac:dyDescent="0.2">
      <c r="A35" s="216" t="s">
        <v>45</v>
      </c>
      <c r="B35" s="217" t="s">
        <v>136</v>
      </c>
      <c r="C35" s="218">
        <f>'3rd Term Expected'!J34</f>
        <v>0</v>
      </c>
      <c r="D35" s="220">
        <f>'Improvement Allocation'!H34</f>
        <v>40000</v>
      </c>
      <c r="E35" s="218">
        <f t="shared" si="0"/>
        <v>40000</v>
      </c>
      <c r="G35" s="298"/>
    </row>
    <row r="36" spans="1:9" ht="15" customHeight="1" x14ac:dyDescent="0.2">
      <c r="A36" s="216" t="s">
        <v>47</v>
      </c>
      <c r="B36" s="217" t="s">
        <v>48</v>
      </c>
      <c r="C36" s="218">
        <f>'3rd Term Expected'!J44</f>
        <v>0</v>
      </c>
      <c r="D36" s="220">
        <f>'Improvement Allocation'!H44</f>
        <v>40000</v>
      </c>
      <c r="E36" s="218">
        <f t="shared" si="0"/>
        <v>40000</v>
      </c>
      <c r="G36" s="298"/>
    </row>
    <row r="37" spans="1:9" ht="15" customHeight="1" x14ac:dyDescent="0.2">
      <c r="D37" s="55"/>
      <c r="G37" s="15"/>
      <c r="I37" s="6"/>
    </row>
    <row r="38" spans="1:9" ht="15" customHeight="1" x14ac:dyDescent="0.2">
      <c r="B38" t="s">
        <v>49</v>
      </c>
      <c r="C38" s="224">
        <f>SUM(C7:C37)</f>
        <v>652953.84456932428</v>
      </c>
      <c r="D38" s="464">
        <f>SUM(D7:D37)</f>
        <v>468000</v>
      </c>
      <c r="E38" s="224">
        <f>SUM(E7:E37)</f>
        <v>1120953.8445693243</v>
      </c>
    </row>
    <row r="40" spans="1:9" ht="15" customHeight="1" x14ac:dyDescent="0.2">
      <c r="A40" s="16" t="s">
        <v>312</v>
      </c>
    </row>
    <row r="41" spans="1:9" ht="15" customHeight="1" x14ac:dyDescent="0.2">
      <c r="A41" s="16" t="s">
        <v>317</v>
      </c>
    </row>
    <row r="42" spans="1:9" ht="15" customHeight="1" x14ac:dyDescent="0.2">
      <c r="A42" s="16"/>
    </row>
  </sheetData>
  <pageMargins left="0.7" right="0.7" top="0.75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FY2015 Detail</vt:lpstr>
      <vt:lpstr>Sheet1</vt:lpstr>
      <vt:lpstr>Summary</vt:lpstr>
      <vt:lpstr>Instruction</vt:lpstr>
      <vt:lpstr>Academic Support Per FYE</vt:lpstr>
      <vt:lpstr>Student&amp;Institutional Support</vt:lpstr>
      <vt:lpstr>Weighted differ concurrent</vt:lpstr>
      <vt:lpstr>Facilities</vt:lpstr>
      <vt:lpstr>Student Success</vt:lpstr>
      <vt:lpstr>3rd Term Expected</vt:lpstr>
      <vt:lpstr>Improvement Allocation</vt:lpstr>
      <vt:lpstr>Research</vt:lpstr>
      <vt:lpstr>Revenue Offset</vt:lpstr>
      <vt:lpstr>'3rd Term Expected'!Print_Area</vt:lpstr>
      <vt:lpstr>'FY2015 Detail'!Print_Area</vt:lpstr>
      <vt:lpstr>'Improvement Allocation'!Print_Area</vt:lpstr>
      <vt:lpstr>Instruction!Print_Area</vt:lpstr>
      <vt:lpstr>Summary!Print_Area</vt:lpstr>
      <vt:lpstr>'FY2015 Detail'!Print_Titles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2020-03-02T17:31:50Z</cp:lastPrinted>
  <dcterms:created xsi:type="dcterms:W3CDTF">2000-05-30T14:50:23Z</dcterms:created>
  <dcterms:modified xsi:type="dcterms:W3CDTF">2022-11-03T19:56:21Z</dcterms:modified>
</cp:coreProperties>
</file>