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5 Allocation\"/>
    </mc:Choice>
  </mc:AlternateContent>
  <xr:revisionPtr revIDLastSave="0" documentId="13_ncr:1_{F4981FC6-DEAB-4835-86C1-54B9518C3E01}" xr6:coauthVersionLast="47" xr6:coauthVersionMax="47" xr10:uidLastSave="{00000000-0000-0000-0000-000000000000}"/>
  <bookViews>
    <workbookView xWindow="-120" yWindow="-120" windowWidth="29040" windowHeight="15840" tabRatio="602" firstSheet="2" activeTab="2" xr2:uid="{00000000-000D-0000-FFFF-FFFF00000000}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Expected'!$A$1:$J$47</definedName>
    <definedName name="_xlnm.Print_Area" localSheetId="0">'FY2015 Detail'!$B$1:$D$40</definedName>
    <definedName name="_xlnm.Print_Area" localSheetId="10">'Improvement Allocation'!$A$1:$H$47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24" l="1"/>
  <c r="V11" i="24" l="1"/>
  <c r="V8" i="24"/>
  <c r="V7" i="24"/>
  <c r="G37" i="31" l="1"/>
  <c r="F37" i="31"/>
  <c r="E37" i="31"/>
  <c r="D37" i="31"/>
  <c r="C37" i="31"/>
  <c r="B37" i="31"/>
  <c r="D11" i="13" l="1"/>
  <c r="C11" i="15"/>
  <c r="C10" i="15"/>
  <c r="C37" i="17" l="1"/>
  <c r="I37" i="17"/>
  <c r="I35" i="17"/>
  <c r="C35" i="17"/>
  <c r="C34" i="17"/>
  <c r="C23" i="17"/>
  <c r="I23" i="17"/>
  <c r="I22" i="17"/>
  <c r="C22" i="17"/>
  <c r="I17" i="17"/>
  <c r="C17" i="17"/>
  <c r="C10" i="17"/>
  <c r="C14" i="17"/>
  <c r="C36" i="17"/>
  <c r="C33" i="17"/>
  <c r="C32" i="17"/>
  <c r="C31" i="17"/>
  <c r="C30" i="17"/>
  <c r="C29" i="17"/>
  <c r="C28" i="17"/>
  <c r="C27" i="17"/>
  <c r="C26" i="17"/>
  <c r="C25" i="17"/>
  <c r="C24" i="17"/>
  <c r="C21" i="17"/>
  <c r="C20" i="17"/>
  <c r="C19" i="17"/>
  <c r="C18" i="17"/>
  <c r="C16" i="17"/>
  <c r="C15" i="17"/>
  <c r="C13" i="17"/>
  <c r="C12" i="17"/>
  <c r="C11" i="17"/>
  <c r="C9" i="17"/>
  <c r="C8" i="17"/>
  <c r="L37" i="24" l="1"/>
  <c r="I45" i="34" l="1"/>
  <c r="H45" i="34"/>
  <c r="C45" i="34"/>
  <c r="B45" i="34"/>
  <c r="I17" i="34"/>
  <c r="J17" i="34" s="1"/>
  <c r="H17" i="34"/>
  <c r="H37" i="34" s="1"/>
  <c r="F17" i="34"/>
  <c r="F37" i="34" s="1"/>
  <c r="D45" i="34" l="1"/>
  <c r="I37" i="34"/>
  <c r="I46" i="34" s="1"/>
  <c r="G45" i="34"/>
  <c r="P12" i="26" l="1"/>
  <c r="P34" i="26" l="1"/>
  <c r="P31" i="26"/>
  <c r="P25" i="26"/>
  <c r="P22" i="26" l="1"/>
  <c r="P21" i="26"/>
  <c r="P20" i="26"/>
  <c r="F45" i="34" l="1"/>
  <c r="E45" i="34" s="1"/>
  <c r="C17" i="34"/>
  <c r="B17" i="34"/>
  <c r="C37" i="34" l="1"/>
  <c r="D17" i="34"/>
  <c r="B37" i="34"/>
  <c r="E17" i="34"/>
  <c r="G17" i="34"/>
  <c r="C31" i="15"/>
  <c r="C12" i="15"/>
  <c r="B46" i="34" l="1"/>
  <c r="E37" i="34"/>
  <c r="G37" i="34"/>
  <c r="C46" i="34"/>
  <c r="D37" i="34"/>
  <c r="W28" i="24"/>
  <c r="W17" i="24"/>
  <c r="W22" i="24"/>
  <c r="W19" i="24"/>
  <c r="W31" i="24"/>
  <c r="W27" i="24"/>
  <c r="W25" i="24"/>
  <c r="W18" i="24"/>
  <c r="W9" i="24"/>
  <c r="W34" i="24"/>
  <c r="W29" i="24"/>
  <c r="W26" i="24"/>
  <c r="W14" i="24"/>
  <c r="W12" i="24"/>
  <c r="W8" i="24"/>
  <c r="W7" i="24"/>
  <c r="W6" i="24"/>
  <c r="D46" i="34" l="1"/>
  <c r="J28" i="17"/>
  <c r="J27" i="17"/>
  <c r="K27" i="17" s="1"/>
  <c r="J6" i="34" l="1"/>
  <c r="C7" i="27" s="1"/>
  <c r="J7" i="34"/>
  <c r="J8" i="34"/>
  <c r="J9" i="34"/>
  <c r="C10" i="27" s="1"/>
  <c r="J10" i="34"/>
  <c r="C11" i="27" s="1"/>
  <c r="J11" i="34"/>
  <c r="J12" i="34"/>
  <c r="C13" i="27" s="1"/>
  <c r="J13" i="34"/>
  <c r="C14" i="27" s="1"/>
  <c r="J14" i="34"/>
  <c r="J15" i="34"/>
  <c r="C15" i="27" s="1"/>
  <c r="J16" i="34"/>
  <c r="C17" i="27" s="1"/>
  <c r="J23" i="34"/>
  <c r="C19" i="27" s="1"/>
  <c r="J24" i="34"/>
  <c r="C20" i="27" s="1"/>
  <c r="J25" i="34"/>
  <c r="C23" i="27" s="1"/>
  <c r="J26" i="34"/>
  <c r="C24" i="27" s="1"/>
  <c r="J27" i="34"/>
  <c r="C25" i="27" s="1"/>
  <c r="J18" i="34"/>
  <c r="J19" i="34"/>
  <c r="J20" i="34"/>
  <c r="J21" i="34"/>
  <c r="J22" i="34"/>
  <c r="C12" i="27" l="1"/>
  <c r="C8" i="27"/>
  <c r="V37" i="24"/>
  <c r="H46" i="34" l="1"/>
  <c r="G46" i="34" s="1"/>
  <c r="F46" i="34"/>
  <c r="E46" i="34" s="1"/>
  <c r="C34" i="15" l="1"/>
  <c r="C14" i="15"/>
  <c r="J20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19" i="17"/>
  <c r="J26" i="17"/>
  <c r="J25" i="17"/>
  <c r="J24" i="17"/>
  <c r="J23" i="17"/>
  <c r="J22" i="17"/>
  <c r="J21" i="17"/>
  <c r="J14" i="17"/>
  <c r="D39" i="17" l="1"/>
  <c r="J44" i="34" l="1"/>
  <c r="C36" i="27" s="1"/>
  <c r="J43" i="34"/>
  <c r="C33" i="27" s="1"/>
  <c r="J42" i="34"/>
  <c r="C34" i="27" s="1"/>
  <c r="J41" i="34"/>
  <c r="C21" i="27" s="1"/>
  <c r="J40" i="34"/>
  <c r="C22" i="27" s="1"/>
  <c r="J39" i="34"/>
  <c r="C16" i="27" s="1"/>
  <c r="J38" i="34"/>
  <c r="C18" i="27"/>
  <c r="J36" i="34"/>
  <c r="C32" i="27" s="1"/>
  <c r="J35" i="34"/>
  <c r="C31" i="27" s="1"/>
  <c r="J34" i="34"/>
  <c r="C35" i="27" s="1"/>
  <c r="J33" i="34"/>
  <c r="C30" i="27" s="1"/>
  <c r="J32" i="34"/>
  <c r="C29" i="27" s="1"/>
  <c r="J31" i="34"/>
  <c r="C28" i="27" s="1"/>
  <c r="J30" i="34"/>
  <c r="C27" i="27" s="1"/>
  <c r="J29" i="34"/>
  <c r="J28" i="34"/>
  <c r="C26" i="27" s="1"/>
  <c r="C9" i="27" l="1"/>
  <c r="J45" i="34"/>
  <c r="J37" i="34"/>
  <c r="D39" i="25"/>
  <c r="U37" i="24" l="1"/>
  <c r="D40" i="13"/>
  <c r="H44" i="35"/>
  <c r="D36" i="27" s="1"/>
  <c r="E36" i="27" s="1"/>
  <c r="H35" i="24" s="1"/>
  <c r="H43" i="35"/>
  <c r="D33" i="27" s="1"/>
  <c r="H42" i="35"/>
  <c r="D34" i="27" s="1"/>
  <c r="H41" i="35"/>
  <c r="D21" i="27" s="1"/>
  <c r="H40" i="35"/>
  <c r="D22" i="27" s="1"/>
  <c r="H39" i="35"/>
  <c r="D16" i="27" s="1"/>
  <c r="E16" i="27" s="1"/>
  <c r="H15" i="24" s="1"/>
  <c r="H38" i="35"/>
  <c r="H36" i="35"/>
  <c r="D32" i="27" s="1"/>
  <c r="H35" i="35"/>
  <c r="D31" i="27" s="1"/>
  <c r="H34" i="35"/>
  <c r="D35" i="27" s="1"/>
  <c r="H33" i="35"/>
  <c r="D30" i="27" s="1"/>
  <c r="H32" i="35"/>
  <c r="D29" i="27" s="1"/>
  <c r="H31" i="35"/>
  <c r="D28" i="27" s="1"/>
  <c r="H30" i="35"/>
  <c r="D27" i="27" s="1"/>
  <c r="H29" i="35"/>
  <c r="H28" i="35"/>
  <c r="D26" i="27" s="1"/>
  <c r="H22" i="35"/>
  <c r="H21" i="35"/>
  <c r="H20" i="35"/>
  <c r="H27" i="35"/>
  <c r="D25" i="27" s="1"/>
  <c r="H26" i="35"/>
  <c r="D24" i="27" s="1"/>
  <c r="H25" i="35"/>
  <c r="D23" i="27" s="1"/>
  <c r="H24" i="35"/>
  <c r="D20" i="27" s="1"/>
  <c r="H23" i="35"/>
  <c r="D19" i="27" s="1"/>
  <c r="H16" i="35"/>
  <c r="D17" i="27" s="1"/>
  <c r="H15" i="35"/>
  <c r="D15" i="27" s="1"/>
  <c r="H14" i="35"/>
  <c r="H13" i="35"/>
  <c r="D14" i="27" s="1"/>
  <c r="H12" i="35"/>
  <c r="D13" i="27" s="1"/>
  <c r="H11" i="35"/>
  <c r="H10" i="35"/>
  <c r="D11" i="27" s="1"/>
  <c r="H9" i="35"/>
  <c r="D10" i="27" s="1"/>
  <c r="H8" i="35"/>
  <c r="H7" i="35"/>
  <c r="H6" i="35"/>
  <c r="H19" i="35"/>
  <c r="J46" i="34"/>
  <c r="C30" i="15"/>
  <c r="C28" i="15"/>
  <c r="D28" i="15" s="1"/>
  <c r="F28" i="15" s="1"/>
  <c r="K6" i="31"/>
  <c r="W37" i="24"/>
  <c r="G47" i="31"/>
  <c r="F47" i="31"/>
  <c r="E47" i="31"/>
  <c r="D47" i="31"/>
  <c r="C47" i="31"/>
  <c r="B47" i="31"/>
  <c r="K46" i="31"/>
  <c r="H46" i="31"/>
  <c r="J46" i="31" s="1"/>
  <c r="K45" i="31"/>
  <c r="H45" i="31"/>
  <c r="J45" i="31" s="1"/>
  <c r="K44" i="31"/>
  <c r="H44" i="31"/>
  <c r="J44" i="31" s="1"/>
  <c r="K43" i="31"/>
  <c r="H43" i="31"/>
  <c r="J43" i="31" s="1"/>
  <c r="K42" i="31"/>
  <c r="H42" i="31"/>
  <c r="J42" i="31" s="1"/>
  <c r="K41" i="31"/>
  <c r="H41" i="31"/>
  <c r="J41" i="31" s="1"/>
  <c r="K40" i="31"/>
  <c r="H40" i="31"/>
  <c r="J40" i="31" s="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K28" i="31"/>
  <c r="H28" i="31"/>
  <c r="J28" i="31" s="1"/>
  <c r="K22" i="31"/>
  <c r="H22" i="31"/>
  <c r="J22" i="31" s="1"/>
  <c r="K21" i="31"/>
  <c r="H21" i="31"/>
  <c r="J21" i="31" s="1"/>
  <c r="K20" i="31"/>
  <c r="H20" i="31"/>
  <c r="J20" i="31" s="1"/>
  <c r="K19" i="31"/>
  <c r="H19" i="31"/>
  <c r="J19" i="31" s="1"/>
  <c r="K18" i="31"/>
  <c r="H18" i="31"/>
  <c r="J18" i="31" s="1"/>
  <c r="K17" i="31"/>
  <c r="H17" i="31"/>
  <c r="J17" i="31" s="1"/>
  <c r="K27" i="31"/>
  <c r="H27" i="31"/>
  <c r="J27" i="31" s="1"/>
  <c r="K26" i="31"/>
  <c r="H26" i="31"/>
  <c r="J26" i="31" s="1"/>
  <c r="K25" i="31"/>
  <c r="H25" i="31"/>
  <c r="J25" i="31" s="1"/>
  <c r="K24" i="31"/>
  <c r="H24" i="31"/>
  <c r="J24" i="31" s="1"/>
  <c r="K23" i="31"/>
  <c r="H23" i="31"/>
  <c r="J23" i="31" s="1"/>
  <c r="K16" i="31"/>
  <c r="H16" i="31"/>
  <c r="J16" i="31" s="1"/>
  <c r="K15" i="31"/>
  <c r="H15" i="31"/>
  <c r="J15" i="31" s="1"/>
  <c r="K14" i="31"/>
  <c r="H14" i="31"/>
  <c r="J14" i="31" s="1"/>
  <c r="K13" i="31"/>
  <c r="H13" i="31"/>
  <c r="J13" i="31" s="1"/>
  <c r="K12" i="31"/>
  <c r="H12" i="31"/>
  <c r="J12" i="31" s="1"/>
  <c r="K11" i="31"/>
  <c r="H11" i="31"/>
  <c r="J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H6" i="31"/>
  <c r="D21" i="15"/>
  <c r="F21" i="15" s="1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0" i="26"/>
  <c r="F20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H40" i="26"/>
  <c r="D40" i="26"/>
  <c r="P10" i="26"/>
  <c r="P40" i="26" s="1"/>
  <c r="F39" i="25"/>
  <c r="C39" i="25"/>
  <c r="E37" i="25"/>
  <c r="G37" i="25" s="1"/>
  <c r="K37" i="25" s="1"/>
  <c r="E36" i="25"/>
  <c r="G36" i="25" s="1"/>
  <c r="K36" i="25" s="1"/>
  <c r="E35" i="25"/>
  <c r="G35" i="25" s="1"/>
  <c r="K35" i="25" s="1"/>
  <c r="E34" i="25"/>
  <c r="G34" i="25" s="1"/>
  <c r="K34" i="25" s="1"/>
  <c r="E33" i="25"/>
  <c r="G33" i="25" s="1"/>
  <c r="K33" i="25" s="1"/>
  <c r="E32" i="25"/>
  <c r="G32" i="25" s="1"/>
  <c r="K32" i="25" s="1"/>
  <c r="E31" i="25"/>
  <c r="G31" i="25" s="1"/>
  <c r="K31" i="25" s="1"/>
  <c r="E30" i="25"/>
  <c r="G30" i="25" s="1"/>
  <c r="K30" i="25" s="1"/>
  <c r="E29" i="25"/>
  <c r="G29" i="25" s="1"/>
  <c r="K29" i="25" s="1"/>
  <c r="E28" i="25"/>
  <c r="E27" i="25"/>
  <c r="G27" i="25" s="1"/>
  <c r="K27" i="25" s="1"/>
  <c r="E19" i="25"/>
  <c r="G19" i="25" s="1"/>
  <c r="K19" i="25" s="1"/>
  <c r="E26" i="25"/>
  <c r="G26" i="25" s="1"/>
  <c r="K26" i="25" s="1"/>
  <c r="E25" i="25"/>
  <c r="G25" i="25" s="1"/>
  <c r="K25" i="25" s="1"/>
  <c r="E24" i="25"/>
  <c r="G24" i="25" s="1"/>
  <c r="K24" i="25" s="1"/>
  <c r="E23" i="25"/>
  <c r="G23" i="25" s="1"/>
  <c r="K23" i="25" s="1"/>
  <c r="E22" i="25"/>
  <c r="G22" i="25" s="1"/>
  <c r="K22" i="25" s="1"/>
  <c r="E21" i="25"/>
  <c r="G21" i="25" s="1"/>
  <c r="K21" i="25" s="1"/>
  <c r="E20" i="25"/>
  <c r="G20" i="25" s="1"/>
  <c r="K20" i="25" s="1"/>
  <c r="E18" i="25"/>
  <c r="G18" i="25" s="1"/>
  <c r="K18" i="25" s="1"/>
  <c r="E17" i="25"/>
  <c r="G17" i="25" s="1"/>
  <c r="K17" i="25" s="1"/>
  <c r="E16" i="25"/>
  <c r="G16" i="25" s="1"/>
  <c r="K16" i="25" s="1"/>
  <c r="E15" i="25"/>
  <c r="G15" i="25" s="1"/>
  <c r="K15" i="25" s="1"/>
  <c r="E14" i="25"/>
  <c r="G14" i="25" s="1"/>
  <c r="K14" i="25" s="1"/>
  <c r="E13" i="25"/>
  <c r="G13" i="25" s="1"/>
  <c r="K13" i="25" s="1"/>
  <c r="E12" i="25"/>
  <c r="G12" i="25" s="1"/>
  <c r="K12" i="25" s="1"/>
  <c r="E11" i="25"/>
  <c r="G11" i="25" s="1"/>
  <c r="K11" i="25" s="1"/>
  <c r="E10" i="25"/>
  <c r="G10" i="25" s="1"/>
  <c r="K10" i="25" s="1"/>
  <c r="E9" i="25"/>
  <c r="G9" i="25" s="1"/>
  <c r="K9" i="25" s="1"/>
  <c r="E8" i="25"/>
  <c r="G8" i="25" s="1"/>
  <c r="K8" i="25" s="1"/>
  <c r="F40" i="13"/>
  <c r="E38" i="13"/>
  <c r="E37" i="13"/>
  <c r="E36" i="13"/>
  <c r="E35" i="13"/>
  <c r="E34" i="13"/>
  <c r="E33" i="13"/>
  <c r="E32" i="13"/>
  <c r="E31" i="13"/>
  <c r="E30" i="13"/>
  <c r="E29" i="13"/>
  <c r="E28" i="13"/>
  <c r="E20" i="13"/>
  <c r="E27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D29" i="15"/>
  <c r="F29" i="15" s="1"/>
  <c r="D16" i="15"/>
  <c r="F16" i="15" s="1"/>
  <c r="F8" i="20"/>
  <c r="D37" i="24"/>
  <c r="O39" i="24"/>
  <c r="N35" i="24" s="1"/>
  <c r="D9" i="15"/>
  <c r="F9" i="15" s="1"/>
  <c r="D37" i="11"/>
  <c r="C39" i="20"/>
  <c r="F33" i="20"/>
  <c r="K19" i="17"/>
  <c r="M19" i="17" s="1"/>
  <c r="E17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20" i="17"/>
  <c r="M20" i="17" s="1"/>
  <c r="E18" i="24" s="1"/>
  <c r="K21" i="17"/>
  <c r="M21" i="17" s="1"/>
  <c r="E19" i="24" s="1"/>
  <c r="K24" i="17"/>
  <c r="M24" i="17" s="1"/>
  <c r="E22" i="24" s="1"/>
  <c r="K25" i="17"/>
  <c r="M25" i="17" s="1"/>
  <c r="E23" i="24" s="1"/>
  <c r="K26" i="17"/>
  <c r="M26" i="17" s="1"/>
  <c r="E24" i="24" s="1"/>
  <c r="M27" i="17"/>
  <c r="E25" i="24" s="1"/>
  <c r="K28" i="17"/>
  <c r="M28" i="17" s="1"/>
  <c r="E26" i="24" s="1"/>
  <c r="K29" i="17"/>
  <c r="M29" i="17" s="1"/>
  <c r="E27" i="24" s="1"/>
  <c r="K30" i="17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3" i="17"/>
  <c r="M23" i="17" s="1"/>
  <c r="E21" i="24" s="1"/>
  <c r="K22" i="17"/>
  <c r="M22" i="17" s="1"/>
  <c r="E20" i="24" s="1"/>
  <c r="D10" i="15"/>
  <c r="F10" i="15" s="1"/>
  <c r="D13" i="15"/>
  <c r="F13" i="15" s="1"/>
  <c r="D14" i="15"/>
  <c r="F14" i="15" s="1"/>
  <c r="D19" i="15"/>
  <c r="F19" i="15" s="1"/>
  <c r="D22" i="15"/>
  <c r="F22" i="15" s="1"/>
  <c r="D23" i="15"/>
  <c r="F23" i="15" s="1"/>
  <c r="D24" i="15"/>
  <c r="F24" i="15" s="1"/>
  <c r="D25" i="15"/>
  <c r="F25" i="15" s="1"/>
  <c r="D20" i="15"/>
  <c r="F20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6" i="15"/>
  <c r="F26" i="15" s="1"/>
  <c r="D27" i="15"/>
  <c r="F27" i="15" s="1"/>
  <c r="D30" i="15"/>
  <c r="F30" i="15" s="1"/>
  <c r="D32" i="15"/>
  <c r="F32" i="15" s="1"/>
  <c r="D33" i="15"/>
  <c r="F33" i="15" s="1"/>
  <c r="D35" i="15"/>
  <c r="F35" i="15" s="1"/>
  <c r="D37" i="15"/>
  <c r="F37" i="15" s="1"/>
  <c r="F37" i="20"/>
  <c r="F36" i="20"/>
  <c r="F35" i="20"/>
  <c r="F34" i="20"/>
  <c r="F32" i="20"/>
  <c r="F31" i="20"/>
  <c r="F30" i="20"/>
  <c r="F29" i="20"/>
  <c r="F28" i="20"/>
  <c r="F27" i="20"/>
  <c r="F19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H37" i="31" l="1"/>
  <c r="L43" i="31"/>
  <c r="M43" i="31" s="1"/>
  <c r="K37" i="31"/>
  <c r="L46" i="31"/>
  <c r="G38" i="26" s="1"/>
  <c r="J38" i="26" s="1"/>
  <c r="K38" i="26" s="1"/>
  <c r="J6" i="31"/>
  <c r="J37" i="31" s="1"/>
  <c r="L40" i="31"/>
  <c r="M40" i="31" s="1"/>
  <c r="L26" i="31"/>
  <c r="M26" i="31" s="1"/>
  <c r="L16" i="31"/>
  <c r="M16" i="31" s="1"/>
  <c r="L13" i="31"/>
  <c r="L23" i="31"/>
  <c r="L29" i="31"/>
  <c r="M46" i="31"/>
  <c r="M30" i="17"/>
  <c r="E28" i="24" s="1"/>
  <c r="E37" i="24" s="1"/>
  <c r="L12" i="31"/>
  <c r="G28" i="25"/>
  <c r="K28" i="25" s="1"/>
  <c r="G38" i="15"/>
  <c r="H38" i="15" s="1"/>
  <c r="G35" i="24" s="1"/>
  <c r="L31" i="26"/>
  <c r="D29" i="20"/>
  <c r="E29" i="20" s="1"/>
  <c r="G29" i="20" s="1"/>
  <c r="L28" i="26"/>
  <c r="D25" i="20"/>
  <c r="E25" i="20" s="1"/>
  <c r="G25" i="20" s="1"/>
  <c r="L23" i="26"/>
  <c r="F22" i="13"/>
  <c r="H22" i="13" s="1"/>
  <c r="I19" i="24" s="1"/>
  <c r="D16" i="20"/>
  <c r="E16" i="20" s="1"/>
  <c r="G16" i="20" s="1"/>
  <c r="D15" i="20"/>
  <c r="E15" i="20" s="1"/>
  <c r="G15" i="20" s="1"/>
  <c r="G14" i="15"/>
  <c r="H14" i="15" s="1"/>
  <c r="G11" i="24" s="1"/>
  <c r="D9" i="20"/>
  <c r="E9" i="20" s="1"/>
  <c r="G9" i="20" s="1"/>
  <c r="N15" i="24"/>
  <c r="D36" i="20"/>
  <c r="E36" i="20" s="1"/>
  <c r="G36" i="20" s="1"/>
  <c r="L18" i="31"/>
  <c r="L11" i="31"/>
  <c r="L7" i="31"/>
  <c r="G10" i="26" s="1"/>
  <c r="L11" i="26"/>
  <c r="C40" i="15"/>
  <c r="E48" i="31"/>
  <c r="L42" i="31"/>
  <c r="L34" i="31"/>
  <c r="L32" i="31"/>
  <c r="L30" i="31"/>
  <c r="L28" i="31"/>
  <c r="L22" i="31"/>
  <c r="L21" i="31"/>
  <c r="L20" i="31"/>
  <c r="L17" i="31"/>
  <c r="L25" i="31"/>
  <c r="L9" i="31"/>
  <c r="L8" i="31"/>
  <c r="M8" i="31" s="1"/>
  <c r="D12" i="20"/>
  <c r="E12" i="20" s="1"/>
  <c r="G12" i="20" s="1"/>
  <c r="G13" i="15"/>
  <c r="H13" i="15" s="1"/>
  <c r="G10" i="24" s="1"/>
  <c r="F38" i="13"/>
  <c r="H38" i="13" s="1"/>
  <c r="I35" i="24" s="1"/>
  <c r="F28" i="13"/>
  <c r="H28" i="13" s="1"/>
  <c r="I25" i="24" s="1"/>
  <c r="G28" i="15"/>
  <c r="H28" i="15" s="1"/>
  <c r="G25" i="24" s="1"/>
  <c r="J39" i="17"/>
  <c r="K39" i="17"/>
  <c r="E35" i="27"/>
  <c r="H34" i="24" s="1"/>
  <c r="E19" i="27"/>
  <c r="H18" i="24" s="1"/>
  <c r="E34" i="27"/>
  <c r="H33" i="24" s="1"/>
  <c r="E33" i="27"/>
  <c r="H32" i="24" s="1"/>
  <c r="E22" i="27"/>
  <c r="H21" i="24" s="1"/>
  <c r="E21" i="27"/>
  <c r="H20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20" i="27"/>
  <c r="H19" i="24" s="1"/>
  <c r="E14" i="27"/>
  <c r="H13" i="24" s="1"/>
  <c r="E10" i="27"/>
  <c r="H9" i="24" s="1"/>
  <c r="E24" i="27"/>
  <c r="H23" i="24" s="1"/>
  <c r="E13" i="27"/>
  <c r="H12" i="24" s="1"/>
  <c r="E17" i="27"/>
  <c r="H16" i="24" s="1"/>
  <c r="E11" i="27"/>
  <c r="H10" i="24" s="1"/>
  <c r="E15" i="27"/>
  <c r="H14" i="24" s="1"/>
  <c r="E25" i="27"/>
  <c r="H24" i="24" s="1"/>
  <c r="E23" i="27"/>
  <c r="H22" i="24" s="1"/>
  <c r="D12" i="27"/>
  <c r="E12" i="27" s="1"/>
  <c r="H11" i="24" s="1"/>
  <c r="D7" i="27"/>
  <c r="D8" i="27"/>
  <c r="E8" i="27" s="1"/>
  <c r="H7" i="24" s="1"/>
  <c r="H18" i="35"/>
  <c r="H17" i="35" s="1"/>
  <c r="D9" i="27"/>
  <c r="E9" i="27" s="1"/>
  <c r="H8" i="24" s="1"/>
  <c r="H45" i="35"/>
  <c r="G48" i="31"/>
  <c r="F48" i="31"/>
  <c r="L35" i="31"/>
  <c r="L27" i="31"/>
  <c r="L45" i="31"/>
  <c r="L44" i="31"/>
  <c r="H47" i="31"/>
  <c r="L41" i="31"/>
  <c r="J47" i="31"/>
  <c r="D48" i="31"/>
  <c r="L36" i="31"/>
  <c r="L33" i="31"/>
  <c r="L31" i="31"/>
  <c r="L19" i="31"/>
  <c r="L24" i="31"/>
  <c r="L15" i="31"/>
  <c r="L14" i="31"/>
  <c r="M14" i="31" s="1"/>
  <c r="L10" i="31"/>
  <c r="K47" i="31"/>
  <c r="C48" i="31"/>
  <c r="B48" i="31"/>
  <c r="N28" i="24"/>
  <c r="E40" i="13"/>
  <c r="D40" i="15"/>
  <c r="F40" i="15"/>
  <c r="F39" i="20"/>
  <c r="F40" i="26"/>
  <c r="C40" i="26"/>
  <c r="L37" i="26"/>
  <c r="G35" i="15"/>
  <c r="H35" i="15" s="1"/>
  <c r="G32" i="24" s="1"/>
  <c r="F35" i="13"/>
  <c r="H35" i="13" s="1"/>
  <c r="I32" i="24" s="1"/>
  <c r="D34" i="20"/>
  <c r="E34" i="20" s="1"/>
  <c r="G34" i="20" s="1"/>
  <c r="L35" i="26"/>
  <c r="D27" i="20"/>
  <c r="E27" i="20" s="1"/>
  <c r="G27" i="20" s="1"/>
  <c r="F17" i="13"/>
  <c r="H17" i="13" s="1"/>
  <c r="I14" i="24" s="1"/>
  <c r="L14" i="26"/>
  <c r="F16" i="13"/>
  <c r="H16" i="13" s="1"/>
  <c r="I13" i="24" s="1"/>
  <c r="L38" i="26"/>
  <c r="L36" i="26"/>
  <c r="G34" i="15"/>
  <c r="H34" i="15" s="1"/>
  <c r="G31" i="24" s="1"/>
  <c r="F34" i="13"/>
  <c r="H34" i="13" s="1"/>
  <c r="I31" i="24" s="1"/>
  <c r="D33" i="20"/>
  <c r="E33" i="20" s="1"/>
  <c r="G33" i="20" s="1"/>
  <c r="L34" i="26"/>
  <c r="F33" i="13"/>
  <c r="H33" i="13" s="1"/>
  <c r="I30" i="24" s="1"/>
  <c r="L33" i="26"/>
  <c r="D30" i="20"/>
  <c r="E30" i="20" s="1"/>
  <c r="G30" i="20" s="1"/>
  <c r="G31" i="15"/>
  <c r="H31" i="15" s="1"/>
  <c r="G28" i="24" s="1"/>
  <c r="F31" i="13"/>
  <c r="H31" i="13" s="1"/>
  <c r="I28" i="24" s="1"/>
  <c r="D19" i="20"/>
  <c r="E19" i="20" s="1"/>
  <c r="G19" i="20" s="1"/>
  <c r="D23" i="20"/>
  <c r="E23" i="20" s="1"/>
  <c r="G23" i="20" s="1"/>
  <c r="F24" i="13"/>
  <c r="H24" i="13" s="1"/>
  <c r="I21" i="24" s="1"/>
  <c r="L24" i="26"/>
  <c r="G24" i="15"/>
  <c r="H24" i="15" s="1"/>
  <c r="G21" i="24" s="1"/>
  <c r="D22" i="20"/>
  <c r="E22" i="20" s="1"/>
  <c r="G22" i="20" s="1"/>
  <c r="G23" i="15"/>
  <c r="H23" i="15" s="1"/>
  <c r="G20" i="24" s="1"/>
  <c r="D21" i="20"/>
  <c r="E21" i="20" s="1"/>
  <c r="G21" i="20" s="1"/>
  <c r="D18" i="20"/>
  <c r="E18" i="20" s="1"/>
  <c r="G18" i="20" s="1"/>
  <c r="F19" i="13"/>
  <c r="H19" i="13" s="1"/>
  <c r="I16" i="24" s="1"/>
  <c r="F15" i="13"/>
  <c r="H15" i="13" s="1"/>
  <c r="I12" i="24" s="1"/>
  <c r="G15" i="15"/>
  <c r="H15" i="15" s="1"/>
  <c r="G12" i="24" s="1"/>
  <c r="L15" i="26"/>
  <c r="D14" i="20"/>
  <c r="E14" i="20" s="1"/>
  <c r="G14" i="20" s="1"/>
  <c r="D13" i="20"/>
  <c r="E13" i="20" s="1"/>
  <c r="G13" i="20" s="1"/>
  <c r="F14" i="13"/>
  <c r="H14" i="13" s="1"/>
  <c r="I11" i="24" s="1"/>
  <c r="D37" i="20"/>
  <c r="E37" i="20" s="1"/>
  <c r="G37" i="20" s="1"/>
  <c r="G37" i="15"/>
  <c r="H37" i="15" s="1"/>
  <c r="G34" i="24" s="1"/>
  <c r="F37" i="13"/>
  <c r="H37" i="13" s="1"/>
  <c r="I34" i="24" s="1"/>
  <c r="G36" i="15"/>
  <c r="H36" i="15" s="1"/>
  <c r="G33" i="24" s="1"/>
  <c r="F36" i="13"/>
  <c r="H36" i="13" s="1"/>
  <c r="I33" i="24" s="1"/>
  <c r="D35" i="20"/>
  <c r="E35" i="20" s="1"/>
  <c r="G35" i="20" s="1"/>
  <c r="G33" i="15"/>
  <c r="H33" i="15" s="1"/>
  <c r="G30" i="24" s="1"/>
  <c r="D32" i="20"/>
  <c r="E32" i="20" s="1"/>
  <c r="G32" i="20" s="1"/>
  <c r="G32" i="15"/>
  <c r="H32" i="15" s="1"/>
  <c r="G29" i="24" s="1"/>
  <c r="L32" i="26"/>
  <c r="D31" i="20"/>
  <c r="E31" i="20" s="1"/>
  <c r="G31" i="20" s="1"/>
  <c r="F32" i="13"/>
  <c r="H32" i="13" s="1"/>
  <c r="I29" i="24" s="1"/>
  <c r="G30" i="15"/>
  <c r="H30" i="15" s="1"/>
  <c r="G27" i="24" s="1"/>
  <c r="L30" i="26"/>
  <c r="F30" i="13"/>
  <c r="H30" i="13" s="1"/>
  <c r="I27" i="24" s="1"/>
  <c r="G20" i="15"/>
  <c r="H20" i="15" s="1"/>
  <c r="G17" i="24" s="1"/>
  <c r="L20" i="26"/>
  <c r="F20" i="13"/>
  <c r="H20" i="13" s="1"/>
  <c r="I17" i="24" s="1"/>
  <c r="L27" i="26"/>
  <c r="F27" i="13"/>
  <c r="H27" i="13" s="1"/>
  <c r="I24" i="24" s="1"/>
  <c r="G27" i="15"/>
  <c r="H27" i="15" s="1"/>
  <c r="G24" i="24" s="1"/>
  <c r="D26" i="20"/>
  <c r="E26" i="20" s="1"/>
  <c r="G26" i="20" s="1"/>
  <c r="F26" i="13"/>
  <c r="H26" i="13" s="1"/>
  <c r="I23" i="24" s="1"/>
  <c r="L26" i="26"/>
  <c r="G26" i="15"/>
  <c r="H26" i="15" s="1"/>
  <c r="G23" i="24" s="1"/>
  <c r="L25" i="26"/>
  <c r="F25" i="13"/>
  <c r="H25" i="13" s="1"/>
  <c r="I22" i="24" s="1"/>
  <c r="D24" i="20"/>
  <c r="E24" i="20" s="1"/>
  <c r="G24" i="20" s="1"/>
  <c r="G25" i="15"/>
  <c r="H25" i="15" s="1"/>
  <c r="G22" i="24" s="1"/>
  <c r="F23" i="13"/>
  <c r="H23" i="13" s="1"/>
  <c r="I20" i="24" s="1"/>
  <c r="L22" i="26"/>
  <c r="G22" i="15"/>
  <c r="H22" i="15" s="1"/>
  <c r="G19" i="24" s="1"/>
  <c r="D20" i="20"/>
  <c r="E20" i="20" s="1"/>
  <c r="G20" i="20" s="1"/>
  <c r="F21" i="13"/>
  <c r="H21" i="13" s="1"/>
  <c r="I18" i="24" s="1"/>
  <c r="G21" i="15"/>
  <c r="H21" i="15" s="1"/>
  <c r="G18" i="24" s="1"/>
  <c r="L21" i="26"/>
  <c r="L19" i="26"/>
  <c r="G19" i="15"/>
  <c r="H19" i="15" s="1"/>
  <c r="G16" i="24" s="1"/>
  <c r="D17" i="20"/>
  <c r="E17" i="20" s="1"/>
  <c r="G17" i="20" s="1"/>
  <c r="G18" i="15"/>
  <c r="H18" i="15" s="1"/>
  <c r="G15" i="24" s="1"/>
  <c r="L18" i="26"/>
  <c r="F18" i="13"/>
  <c r="H18" i="13" s="1"/>
  <c r="I15" i="24" s="1"/>
  <c r="L17" i="26"/>
  <c r="G17" i="15"/>
  <c r="H17" i="15" s="1"/>
  <c r="G14" i="24" s="1"/>
  <c r="G16" i="15"/>
  <c r="H16" i="15" s="1"/>
  <c r="G13" i="24" s="1"/>
  <c r="L16" i="26"/>
  <c r="L13" i="26"/>
  <c r="F13" i="13"/>
  <c r="H13" i="13" s="1"/>
  <c r="I10" i="24" s="1"/>
  <c r="D11" i="20"/>
  <c r="E11" i="20" s="1"/>
  <c r="G11" i="20" s="1"/>
  <c r="G12" i="15"/>
  <c r="H12" i="15" s="1"/>
  <c r="G9" i="24" s="1"/>
  <c r="F12" i="13"/>
  <c r="H12" i="13" s="1"/>
  <c r="I9" i="24" s="1"/>
  <c r="L12" i="26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G10" i="15"/>
  <c r="H10" i="15" s="1"/>
  <c r="G7" i="24" s="1"/>
  <c r="F9" i="13"/>
  <c r="H9" i="13" s="1"/>
  <c r="G9" i="15"/>
  <c r="H9" i="15" s="1"/>
  <c r="D8" i="20"/>
  <c r="E8" i="20" s="1"/>
  <c r="L9" i="26"/>
  <c r="N13" i="24"/>
  <c r="N22" i="24"/>
  <c r="N29" i="24"/>
  <c r="N11" i="24"/>
  <c r="N20" i="24"/>
  <c r="N27" i="24"/>
  <c r="N6" i="24"/>
  <c r="N14" i="24"/>
  <c r="N8" i="24"/>
  <c r="N16" i="24"/>
  <c r="N17" i="24"/>
  <c r="N32" i="24"/>
  <c r="N10" i="24"/>
  <c r="N25" i="24"/>
  <c r="N18" i="24"/>
  <c r="N30" i="24"/>
  <c r="N23" i="24"/>
  <c r="N34" i="24"/>
  <c r="N7" i="24"/>
  <c r="N26" i="24"/>
  <c r="N19" i="24"/>
  <c r="N31" i="24"/>
  <c r="N12" i="24"/>
  <c r="N33" i="24"/>
  <c r="N24" i="24"/>
  <c r="N21" i="24"/>
  <c r="N9" i="24"/>
  <c r="C15" i="32"/>
  <c r="D28" i="20" l="1"/>
  <c r="E28" i="20" s="1"/>
  <c r="G28" i="20" s="1"/>
  <c r="D18" i="27"/>
  <c r="E18" i="27" s="1"/>
  <c r="H17" i="24" s="1"/>
  <c r="H37" i="35"/>
  <c r="H46" i="35" s="1"/>
  <c r="G23" i="26"/>
  <c r="J23" i="26" s="1"/>
  <c r="K23" i="26" s="1"/>
  <c r="M23" i="26" s="1"/>
  <c r="Q23" i="26" s="1"/>
  <c r="G26" i="26"/>
  <c r="J26" i="26" s="1"/>
  <c r="K26" i="26" s="1"/>
  <c r="G11" i="26"/>
  <c r="J11" i="26" s="1"/>
  <c r="K11" i="26" s="1"/>
  <c r="M11" i="26" s="1"/>
  <c r="Q11" i="26" s="1"/>
  <c r="L6" i="31"/>
  <c r="L37" i="31" s="1"/>
  <c r="M37" i="31" s="1"/>
  <c r="G19" i="26"/>
  <c r="J19" i="26" s="1"/>
  <c r="K19" i="26" s="1"/>
  <c r="M19" i="26" s="1"/>
  <c r="Q19" i="26" s="1"/>
  <c r="M39" i="17"/>
  <c r="F29" i="13"/>
  <c r="H29" i="13" s="1"/>
  <c r="I26" i="24" s="1"/>
  <c r="L29" i="26"/>
  <c r="G29" i="15"/>
  <c r="H29" i="15" s="1"/>
  <c r="G26" i="24" s="1"/>
  <c r="M33" i="31"/>
  <c r="G32" i="26"/>
  <c r="J32" i="26" s="1"/>
  <c r="K32" i="26" s="1"/>
  <c r="M32" i="26" s="1"/>
  <c r="Q32" i="26" s="1"/>
  <c r="M27" i="31"/>
  <c r="G27" i="26"/>
  <c r="J27" i="26" s="1"/>
  <c r="K27" i="26" s="1"/>
  <c r="M27" i="26" s="1"/>
  <c r="Q27" i="26" s="1"/>
  <c r="M30" i="31"/>
  <c r="G29" i="26"/>
  <c r="J29" i="26" s="1"/>
  <c r="K29" i="26" s="1"/>
  <c r="M7" i="31"/>
  <c r="J10" i="26"/>
  <c r="M12" i="31"/>
  <c r="G15" i="26"/>
  <c r="J15" i="26" s="1"/>
  <c r="K15" i="26" s="1"/>
  <c r="M15" i="26" s="1"/>
  <c r="Q15" i="26" s="1"/>
  <c r="M36" i="31"/>
  <c r="G34" i="26"/>
  <c r="J34" i="26" s="1"/>
  <c r="K34" i="26" s="1"/>
  <c r="M34" i="26" s="1"/>
  <c r="Q34" i="26" s="1"/>
  <c r="M28" i="31"/>
  <c r="G28" i="26"/>
  <c r="J28" i="26" s="1"/>
  <c r="K28" i="26" s="1"/>
  <c r="M28" i="26" s="1"/>
  <c r="Q28" i="26" s="1"/>
  <c r="M15" i="31"/>
  <c r="G17" i="26"/>
  <c r="J17" i="26" s="1"/>
  <c r="K17" i="26" s="1"/>
  <c r="M17" i="26" s="1"/>
  <c r="Q17" i="26" s="1"/>
  <c r="M41" i="31"/>
  <c r="G18" i="26"/>
  <c r="J18" i="26" s="1"/>
  <c r="K18" i="26" s="1"/>
  <c r="M18" i="26" s="1"/>
  <c r="Q18" i="26" s="1"/>
  <c r="M9" i="31"/>
  <c r="G12" i="26"/>
  <c r="J12" i="26" s="1"/>
  <c r="K12" i="26" s="1"/>
  <c r="M12" i="26" s="1"/>
  <c r="Q12" i="26" s="1"/>
  <c r="M32" i="31"/>
  <c r="G31" i="26"/>
  <c r="J31" i="26" s="1"/>
  <c r="K31" i="26" s="1"/>
  <c r="M31" i="26" s="1"/>
  <c r="Q31" i="26" s="1"/>
  <c r="M11" i="31"/>
  <c r="G14" i="26"/>
  <c r="J14" i="26" s="1"/>
  <c r="M10" i="31"/>
  <c r="G13" i="26"/>
  <c r="J13" i="26" s="1"/>
  <c r="K13" i="26" s="1"/>
  <c r="M13" i="26" s="1"/>
  <c r="Q13" i="26" s="1"/>
  <c r="M25" i="31"/>
  <c r="G25" i="26"/>
  <c r="J25" i="26" s="1"/>
  <c r="K25" i="26" s="1"/>
  <c r="M25" i="26" s="1"/>
  <c r="Q25" i="26" s="1"/>
  <c r="M35" i="31"/>
  <c r="G33" i="26"/>
  <c r="J33" i="26" s="1"/>
  <c r="K33" i="26" s="1"/>
  <c r="M33" i="26" s="1"/>
  <c r="Q33" i="26" s="1"/>
  <c r="M24" i="31"/>
  <c r="G22" i="26"/>
  <c r="J22" i="26" s="1"/>
  <c r="K22" i="26" s="1"/>
  <c r="M22" i="26" s="1"/>
  <c r="Q22" i="26" s="1"/>
  <c r="M34" i="31"/>
  <c r="G37" i="26"/>
  <c r="J37" i="26" s="1"/>
  <c r="K37" i="26" s="1"/>
  <c r="M37" i="26" s="1"/>
  <c r="Q37" i="26" s="1"/>
  <c r="M29" i="31"/>
  <c r="M44" i="31"/>
  <c r="G36" i="26"/>
  <c r="J36" i="26" s="1"/>
  <c r="K36" i="26" s="1"/>
  <c r="M36" i="26" s="1"/>
  <c r="Q36" i="26" s="1"/>
  <c r="M17" i="31"/>
  <c r="G20" i="26"/>
  <c r="J20" i="26" s="1"/>
  <c r="K20" i="26" s="1"/>
  <c r="M20" i="26" s="1"/>
  <c r="Q20" i="26" s="1"/>
  <c r="M42" i="31"/>
  <c r="G24" i="26"/>
  <c r="J24" i="26" s="1"/>
  <c r="K24" i="26" s="1"/>
  <c r="M24" i="26" s="1"/>
  <c r="Q24" i="26" s="1"/>
  <c r="M23" i="31"/>
  <c r="G21" i="26"/>
  <c r="J21" i="26" s="1"/>
  <c r="K21" i="26" s="1"/>
  <c r="M21" i="26" s="1"/>
  <c r="Q21" i="26" s="1"/>
  <c r="M6" i="31"/>
  <c r="G9" i="26"/>
  <c r="M31" i="31"/>
  <c r="G30" i="26"/>
  <c r="J30" i="26" s="1"/>
  <c r="K30" i="26" s="1"/>
  <c r="M30" i="26" s="1"/>
  <c r="Q30" i="26" s="1"/>
  <c r="M45" i="31"/>
  <c r="G35" i="26"/>
  <c r="J35" i="26" s="1"/>
  <c r="K35" i="26" s="1"/>
  <c r="M35" i="26" s="1"/>
  <c r="Q35" i="26" s="1"/>
  <c r="M13" i="31"/>
  <c r="G16" i="26"/>
  <c r="J16" i="26" s="1"/>
  <c r="K16" i="26" s="1"/>
  <c r="M16" i="26" s="1"/>
  <c r="Q16" i="26" s="1"/>
  <c r="K48" i="31"/>
  <c r="M38" i="26"/>
  <c r="Q38" i="26" s="1"/>
  <c r="E7" i="27"/>
  <c r="H6" i="24" s="1"/>
  <c r="H37" i="24" s="1"/>
  <c r="J48" i="31"/>
  <c r="L47" i="31"/>
  <c r="M47" i="31" s="1"/>
  <c r="H48" i="31"/>
  <c r="I36" i="31" s="1"/>
  <c r="M26" i="26"/>
  <c r="Q26" i="26" s="1"/>
  <c r="L40" i="26"/>
  <c r="D39" i="20"/>
  <c r="G8" i="20"/>
  <c r="E39" i="20"/>
  <c r="G39" i="20" s="1"/>
  <c r="G6" i="24"/>
  <c r="I6" i="24"/>
  <c r="I37" i="24" s="1"/>
  <c r="H40" i="13"/>
  <c r="N37" i="24"/>
  <c r="K10" i="26" l="1"/>
  <c r="M10" i="26" s="1"/>
  <c r="Q10" i="26" s="1"/>
  <c r="S10" i="26" s="1"/>
  <c r="F7" i="24" s="1"/>
  <c r="J7" i="24" s="1"/>
  <c r="G37" i="24"/>
  <c r="D38" i="27"/>
  <c r="K14" i="26"/>
  <c r="M14" i="26" s="1"/>
  <c r="Q14" i="26" s="1"/>
  <c r="S14" i="26" s="1"/>
  <c r="F11" i="24" s="1"/>
  <c r="J11" i="24" s="1"/>
  <c r="M29" i="26"/>
  <c r="Q29" i="26" s="1"/>
  <c r="S29" i="26" s="1"/>
  <c r="F26" i="24" s="1"/>
  <c r="J26" i="24" s="1"/>
  <c r="H40" i="15"/>
  <c r="S38" i="26"/>
  <c r="F35" i="24" s="1"/>
  <c r="J35" i="24" s="1"/>
  <c r="S37" i="26"/>
  <c r="F34" i="24" s="1"/>
  <c r="J34" i="24" s="1"/>
  <c r="S36" i="26"/>
  <c r="F33" i="24" s="1"/>
  <c r="J33" i="24" s="1"/>
  <c r="S35" i="26"/>
  <c r="F32" i="24" s="1"/>
  <c r="J32" i="24" s="1"/>
  <c r="S34" i="26"/>
  <c r="F31" i="24" s="1"/>
  <c r="J31" i="24" s="1"/>
  <c r="S33" i="26"/>
  <c r="F30" i="24" s="1"/>
  <c r="J30" i="24" s="1"/>
  <c r="S32" i="26"/>
  <c r="F29" i="24" s="1"/>
  <c r="J29" i="24" s="1"/>
  <c r="S31" i="26"/>
  <c r="F28" i="24" s="1"/>
  <c r="J28" i="24" s="1"/>
  <c r="S30" i="26"/>
  <c r="F27" i="24" s="1"/>
  <c r="J27" i="24" s="1"/>
  <c r="S28" i="26"/>
  <c r="F25" i="24" s="1"/>
  <c r="J25" i="24" s="1"/>
  <c r="S27" i="26"/>
  <c r="F24" i="24" s="1"/>
  <c r="J24" i="24" s="1"/>
  <c r="S26" i="26"/>
  <c r="F23" i="24" s="1"/>
  <c r="J23" i="24" s="1"/>
  <c r="S25" i="26"/>
  <c r="F22" i="24" s="1"/>
  <c r="J22" i="24" s="1"/>
  <c r="S24" i="26"/>
  <c r="F21" i="24" s="1"/>
  <c r="J21" i="24" s="1"/>
  <c r="S23" i="26"/>
  <c r="F20" i="24" s="1"/>
  <c r="J20" i="24" s="1"/>
  <c r="S22" i="26"/>
  <c r="F19" i="24" s="1"/>
  <c r="J19" i="24" s="1"/>
  <c r="S21" i="26"/>
  <c r="F18" i="24" s="1"/>
  <c r="J18" i="24" s="1"/>
  <c r="S20" i="26"/>
  <c r="F17" i="24" s="1"/>
  <c r="S19" i="26"/>
  <c r="F16" i="24" s="1"/>
  <c r="J16" i="24" s="1"/>
  <c r="S18" i="26"/>
  <c r="F15" i="24" s="1"/>
  <c r="J15" i="24" s="1"/>
  <c r="S17" i="26"/>
  <c r="F14" i="24" s="1"/>
  <c r="J14" i="24" s="1"/>
  <c r="S16" i="26"/>
  <c r="F13" i="24" s="1"/>
  <c r="J13" i="24" s="1"/>
  <c r="S15" i="26"/>
  <c r="F12" i="24" s="1"/>
  <c r="J12" i="24" s="1"/>
  <c r="S13" i="26"/>
  <c r="F10" i="24" s="1"/>
  <c r="J10" i="24" s="1"/>
  <c r="S12" i="26"/>
  <c r="F9" i="24" s="1"/>
  <c r="J9" i="24" s="1"/>
  <c r="S11" i="26"/>
  <c r="F8" i="24" s="1"/>
  <c r="J8" i="24" s="1"/>
  <c r="G40" i="26"/>
  <c r="J9" i="26"/>
  <c r="J40" i="26" s="1"/>
  <c r="I32" i="31"/>
  <c r="E38" i="27"/>
  <c r="I42" i="31"/>
  <c r="I10" i="31"/>
  <c r="I9" i="31"/>
  <c r="I8" i="31"/>
  <c r="L48" i="31"/>
  <c r="M48" i="31" s="1"/>
  <c r="I16" i="31"/>
  <c r="I27" i="31"/>
  <c r="I13" i="31"/>
  <c r="I33" i="31"/>
  <c r="I23" i="31"/>
  <c r="I25" i="31"/>
  <c r="I29" i="31"/>
  <c r="I43" i="31"/>
  <c r="I15" i="31"/>
  <c r="I31" i="31"/>
  <c r="I46" i="31"/>
  <c r="I22" i="31"/>
  <c r="I44" i="31"/>
  <c r="I41" i="31"/>
  <c r="I26" i="31"/>
  <c r="I30" i="31"/>
  <c r="I21" i="31"/>
  <c r="I35" i="31"/>
  <c r="I7" i="31"/>
  <c r="I34" i="31"/>
  <c r="I24" i="31"/>
  <c r="I45" i="31"/>
  <c r="I40" i="31"/>
  <c r="I19" i="31"/>
  <c r="I18" i="31"/>
  <c r="I20" i="31"/>
  <c r="I28" i="31"/>
  <c r="I6" i="31"/>
  <c r="I11" i="31"/>
  <c r="I12" i="31"/>
  <c r="I14" i="31"/>
  <c r="J17" i="24" l="1"/>
  <c r="K9" i="26"/>
  <c r="I47" i="31"/>
  <c r="I17" i="31"/>
  <c r="I37" i="31" s="1"/>
  <c r="K40" i="26" l="1"/>
  <c r="M9" i="26"/>
  <c r="I48" i="31"/>
  <c r="Q9" i="26" l="1"/>
  <c r="R40" i="26" s="1"/>
  <c r="M40" i="26"/>
  <c r="Q40" i="26" l="1"/>
  <c r="S9" i="26"/>
  <c r="F6" i="24" l="1"/>
  <c r="F37" i="24" s="1"/>
  <c r="S40" i="26"/>
  <c r="B6" i="32"/>
  <c r="J6" i="24" l="1"/>
  <c r="B9" i="32"/>
  <c r="J37" i="24" l="1"/>
  <c r="B11" i="32"/>
  <c r="K6" i="24" l="1"/>
  <c r="O6" i="24" s="1"/>
  <c r="K31" i="24"/>
  <c r="O31" i="24" s="1"/>
  <c r="P31" i="24" s="1"/>
  <c r="K28" i="24"/>
  <c r="O28" i="24" s="1"/>
  <c r="P28" i="24" s="1"/>
  <c r="K8" i="24"/>
  <c r="O8" i="24" s="1"/>
  <c r="P8" i="24" s="1"/>
  <c r="K16" i="24"/>
  <c r="O16" i="24" s="1"/>
  <c r="P16" i="24" s="1"/>
  <c r="K27" i="24"/>
  <c r="O27" i="24" s="1"/>
  <c r="P27" i="24" s="1"/>
  <c r="K35" i="24"/>
  <c r="O35" i="24" s="1"/>
  <c r="P35" i="24" s="1"/>
  <c r="K21" i="24"/>
  <c r="O21" i="24" s="1"/>
  <c r="P21" i="24" s="1"/>
  <c r="K22" i="24"/>
  <c r="O22" i="24" s="1"/>
  <c r="P22" i="24" s="1"/>
  <c r="K23" i="24"/>
  <c r="O23" i="24" s="1"/>
  <c r="P23" i="24" s="1"/>
  <c r="K17" i="24"/>
  <c r="O17" i="24" s="1"/>
  <c r="P17" i="24" s="1"/>
  <c r="K18" i="24"/>
  <c r="O18" i="24" s="1"/>
  <c r="P18" i="24" s="1"/>
  <c r="K10" i="24"/>
  <c r="O10" i="24" s="1"/>
  <c r="P10" i="24" s="1"/>
  <c r="K13" i="24"/>
  <c r="O13" i="24" s="1"/>
  <c r="P13" i="24" s="1"/>
  <c r="K15" i="24"/>
  <c r="O15" i="24" s="1"/>
  <c r="P15" i="24" s="1"/>
  <c r="K11" i="24"/>
  <c r="O11" i="24" s="1"/>
  <c r="P11" i="24" s="1"/>
  <c r="K7" i="24"/>
  <c r="O7" i="24" s="1"/>
  <c r="P7" i="24" s="1"/>
  <c r="K34" i="24"/>
  <c r="O34" i="24" s="1"/>
  <c r="P34" i="24" s="1"/>
  <c r="K14" i="24"/>
  <c r="O14" i="24" s="1"/>
  <c r="P14" i="24" s="1"/>
  <c r="K32" i="24"/>
  <c r="O32" i="24" s="1"/>
  <c r="P32" i="24" s="1"/>
  <c r="K29" i="24"/>
  <c r="O29" i="24" s="1"/>
  <c r="P29" i="24" s="1"/>
  <c r="K25" i="24"/>
  <c r="O25" i="24" s="1"/>
  <c r="P25" i="24" s="1"/>
  <c r="K19" i="24"/>
  <c r="O19" i="24" s="1"/>
  <c r="P19" i="24" s="1"/>
  <c r="K24" i="24"/>
  <c r="O24" i="24" s="1"/>
  <c r="P24" i="24" s="1"/>
  <c r="K12" i="24"/>
  <c r="O12" i="24" s="1"/>
  <c r="P12" i="24" s="1"/>
  <c r="K30" i="24"/>
  <c r="O30" i="24" s="1"/>
  <c r="P30" i="24" s="1"/>
  <c r="K20" i="24"/>
  <c r="O20" i="24" s="1"/>
  <c r="P20" i="24" s="1"/>
  <c r="K26" i="24"/>
  <c r="O26" i="24" s="1"/>
  <c r="P26" i="24" s="1"/>
  <c r="K9" i="24"/>
  <c r="O9" i="24" s="1"/>
  <c r="P9" i="24" s="1"/>
  <c r="K33" i="24"/>
  <c r="O33" i="24" s="1"/>
  <c r="P33" i="24" s="1"/>
  <c r="C9" i="32"/>
  <c r="C11" i="32"/>
  <c r="C6" i="32"/>
  <c r="R23" i="24" l="1"/>
  <c r="S23" i="24" s="1"/>
  <c r="R15" i="24"/>
  <c r="S15" i="24" s="1"/>
  <c r="R25" i="24"/>
  <c r="S25" i="24" s="1"/>
  <c r="R29" i="24"/>
  <c r="S29" i="24" s="1"/>
  <c r="R26" i="24"/>
  <c r="S26" i="24" s="1"/>
  <c r="R28" i="24"/>
  <c r="S28" i="24" s="1"/>
  <c r="R30" i="24"/>
  <c r="S30" i="24" s="1"/>
  <c r="R34" i="24"/>
  <c r="S34" i="24" s="1"/>
  <c r="R31" i="24"/>
  <c r="S31" i="24" s="1"/>
  <c r="R19" i="24"/>
  <c r="S19" i="24" s="1"/>
  <c r="R33" i="24"/>
  <c r="S33" i="24" s="1"/>
  <c r="R27" i="24"/>
  <c r="S27" i="24" s="1"/>
  <c r="R10" i="24"/>
  <c r="S10" i="24" s="1"/>
  <c r="R32" i="24"/>
  <c r="S32" i="24" s="1"/>
  <c r="R8" i="24"/>
  <c r="R17" i="24"/>
  <c r="S17" i="24" s="1"/>
  <c r="R12" i="24"/>
  <c r="S12" i="24" s="1"/>
  <c r="R7" i="24"/>
  <c r="S7" i="24" s="1"/>
  <c r="R22" i="24"/>
  <c r="S22" i="24" s="1"/>
  <c r="K37" i="24"/>
  <c r="R35" i="24"/>
  <c r="R13" i="24"/>
  <c r="S13" i="24" s="1"/>
  <c r="R9" i="24"/>
  <c r="S9" i="24" s="1"/>
  <c r="R16" i="24"/>
  <c r="S16" i="24" s="1"/>
  <c r="R18" i="24"/>
  <c r="S18" i="24" s="1"/>
  <c r="R20" i="24"/>
  <c r="S20" i="24" s="1"/>
  <c r="R14" i="24"/>
  <c r="S14" i="24" s="1"/>
  <c r="R24" i="24"/>
  <c r="S24" i="24" s="1"/>
  <c r="R11" i="24"/>
  <c r="S11" i="24" s="1"/>
  <c r="R21" i="24"/>
  <c r="S21" i="24" s="1"/>
  <c r="P6" i="24"/>
  <c r="O37" i="24"/>
  <c r="C5" i="32"/>
  <c r="S8" i="24" l="1"/>
  <c r="B5" i="32"/>
  <c r="S35" i="24"/>
  <c r="P37" i="24"/>
  <c r="Q6" i="24" s="1"/>
  <c r="R6" i="24"/>
  <c r="R37" i="24" l="1"/>
  <c r="S37" i="24" s="1"/>
  <c r="S6" i="24"/>
  <c r="Q35" i="24"/>
  <c r="Q18" i="24"/>
  <c r="Q11" i="24"/>
  <c r="Q14" i="24"/>
  <c r="Q29" i="24"/>
  <c r="Q33" i="24"/>
  <c r="Q22" i="24"/>
  <c r="Q16" i="24"/>
  <c r="Q23" i="24"/>
  <c r="Q27" i="24"/>
  <c r="Q15" i="24"/>
  <c r="Q28" i="24"/>
  <c r="Q31" i="24"/>
  <c r="Q10" i="24"/>
  <c r="Q12" i="24"/>
  <c r="Q13" i="24"/>
  <c r="Q20" i="24"/>
  <c r="Q21" i="24"/>
  <c r="Q25" i="24"/>
  <c r="Q30" i="24"/>
  <c r="Q19" i="24"/>
  <c r="Q7" i="24"/>
  <c r="Q9" i="24"/>
  <c r="Q34" i="24"/>
  <c r="Q24" i="24"/>
  <c r="Q32" i="24"/>
  <c r="Q26" i="24"/>
  <c r="Q17" i="24"/>
  <c r="Q8" i="24"/>
  <c r="Q37" i="24" l="1"/>
</calcChain>
</file>

<file path=xl/sharedStrings.xml><?xml version="1.0" encoding="utf-8"?>
<sst xmlns="http://schemas.openxmlformats.org/spreadsheetml/2006/main" count="1033" uniqueCount="336">
  <si>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</si>
  <si>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</si>
  <si>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</si>
  <si>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</si>
  <si>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</si>
  <si>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</si>
  <si>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</si>
  <si>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</si>
  <si>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</si>
  <si>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</si>
  <si>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</si>
  <si>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</si>
  <si>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</si>
  <si>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</si>
  <si>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</si>
  <si>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</si>
  <si>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</si>
  <si>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</si>
  <si>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</si>
  <si>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</si>
  <si>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</si>
  <si>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</si>
  <si>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</si>
  <si>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</si>
  <si>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</si>
  <si>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</si>
  <si>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</si>
  <si>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</si>
  <si>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</si>
  <si>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</si>
  <si>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</si>
  <si>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</si>
  <si>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</si>
  <si>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</si>
  <si>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</si>
  <si>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</si>
  <si>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</si>
  <si>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</si>
  <si>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</si>
  <si>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</si>
  <si>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</si>
  <si>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</si>
  <si>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</si>
  <si>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</si>
  <si>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</si>
  <si>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</si>
  <si>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</si>
  <si>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</si>
  <si>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</si>
  <si>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</si>
  <si>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</si>
  <si>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</si>
  <si>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</si>
  <si>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</si>
  <si>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</si>
  <si>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</si>
  <si>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</si>
  <si>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</si>
  <si>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</si>
  <si>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</si>
  <si>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</si>
  <si>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</si>
  <si>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</si>
  <si>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</si>
  <si>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</si>
  <si>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</si>
  <si>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</si>
  <si>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TOTAL ALLOCATION FRAMEWORK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</si>
  <si>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</si>
  <si>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</si>
  <si>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</si>
  <si>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</si>
  <si>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</si>
  <si>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</si>
  <si>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</si>
  <si>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</si>
  <si>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</si>
  <si>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</si>
  <si>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</si>
  <si>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</si>
  <si>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</si>
  <si>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</si>
  <si>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</si>
  <si>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</si>
  <si>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</si>
  <si>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</si>
  <si>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</si>
  <si>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</si>
  <si>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</si>
  <si>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</si>
  <si>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</si>
  <si>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</si>
  <si>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</si>
  <si>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</si>
  <si>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</si>
  <si>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</si>
  <si>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</si>
  <si>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</si>
  <si>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</si>
  <si>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</si>
  <si>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</si>
  <si>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</si>
  <si>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</si>
  <si>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</si>
  <si>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</si>
  <si>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</si>
  <si>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</si>
  <si>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</si>
  <si>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</si>
  <si>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</si>
  <si>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</si>
  <si>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</si>
  <si>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</si>
  <si>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</si>
  <si>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50% Allocation Framework % Share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</si>
  <si>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</si>
  <si>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</si>
  <si>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</si>
  <si>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</si>
  <si>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</si>
  <si>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</si>
  <si>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</si>
  <si>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</si>
  <si>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</si>
  <si>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</si>
  <si>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</si>
  <si>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</si>
  <si>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</si>
  <si>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</si>
  <si>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</si>
  <si>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</si>
  <si>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</si>
  <si>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</si>
  <si>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</si>
  <si>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</si>
  <si>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</si>
  <si>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</si>
  <si>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</si>
  <si>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</si>
  <si>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</si>
  <si>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</si>
  <si>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</si>
  <si>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</si>
  <si>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</si>
  <si>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</si>
  <si>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</si>
  <si>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</si>
  <si>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</si>
  <si>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</si>
  <si>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</si>
  <si>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</si>
  <si>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</si>
  <si>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</si>
  <si>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</si>
  <si>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</si>
  <si>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</si>
  <si>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</si>
  <si>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</si>
  <si>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</si>
  <si>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</si>
  <si>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</si>
  <si>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</si>
  <si>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</si>
  <si>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</si>
  <si>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</si>
  <si>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</si>
  <si>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</si>
  <si>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</si>
  <si>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</si>
  <si>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</si>
  <si>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</si>
  <si>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</si>
  <si>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</si>
  <si>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</si>
  <si>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</si>
  <si>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</si>
  <si>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</si>
  <si>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</si>
  <si>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</si>
  <si>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</si>
  <si>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</si>
  <si>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</si>
  <si>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</si>
  <si>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</si>
  <si>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</si>
  <si>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</si>
  <si>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</si>
  <si>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</si>
  <si>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</si>
  <si>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</si>
  <si>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</si>
  <si>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</si>
  <si>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</si>
  <si>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</si>
  <si>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</si>
  <si>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 xml:space="preserve">   Hibbing Community College</t>
  </si>
  <si>
    <t xml:space="preserve">   Itasca Community College</t>
  </si>
  <si>
    <t xml:space="preserve">   Mesabi Range College</t>
  </si>
  <si>
    <t xml:space="preserve">   Rainy River Community College</t>
  </si>
  <si>
    <t xml:space="preserve">   Vermilion Community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</si>
  <si>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</si>
  <si>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</si>
  <si>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</si>
  <si>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</si>
  <si>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</si>
  <si>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</si>
  <si>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</si>
  <si>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</si>
  <si>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</si>
  <si>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</si>
  <si>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</si>
  <si>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</si>
  <si>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</si>
  <si>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</si>
  <si>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</si>
  <si>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</si>
  <si>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</si>
  <si>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</si>
  <si>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</si>
  <si>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</si>
  <si>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</si>
  <si>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</si>
  <si>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</si>
  <si>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</si>
  <si>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</si>
  <si>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</si>
  <si>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</si>
  <si>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</si>
  <si>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</si>
  <si>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</si>
  <si>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</si>
  <si>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</si>
  <si>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</si>
  <si>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</si>
  <si>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</si>
  <si>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</si>
  <si>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</si>
  <si>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</si>
  <si>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</si>
  <si>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</si>
  <si>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</si>
  <si>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</si>
  <si>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</si>
  <si>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</si>
  <si>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</si>
  <si>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</si>
  <si>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</si>
  <si>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</si>
  <si>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</si>
  <si>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</si>
  <si>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</si>
  <si>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</si>
  <si>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</si>
  <si>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</si>
  <si>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</si>
  <si>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</si>
  <si>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</si>
  <si>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</si>
  <si>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</si>
  <si>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</si>
  <si>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</si>
  <si>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</si>
  <si>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</si>
  <si>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</si>
  <si>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</si>
  <si>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</si>
  <si>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% Share of Allocation Framework</t>
  </si>
  <si>
    <t>R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</si>
  <si>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</si>
  <si>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</si>
  <si>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</si>
  <si>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</si>
  <si>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</si>
  <si>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</si>
  <si>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</si>
  <si>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</si>
  <si>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</si>
  <si>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</si>
  <si>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</si>
  <si>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</si>
  <si>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</si>
  <si>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</si>
  <si>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</si>
  <si>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</si>
  <si>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</si>
  <si>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</si>
  <si>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</si>
  <si>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</si>
  <si>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Instruction &amp; Academic Support State Appro Expended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</si>
  <si>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</si>
  <si>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</si>
  <si>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</si>
  <si>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</si>
  <si>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</si>
  <si>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</si>
  <si>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</si>
  <si>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Actual and Expected Third Term Persistence and Completion Rates and Additional Successful Students</t>
  </si>
  <si>
    <t>Persistence and Completion at Third Term - Students of Color</t>
  </si>
  <si>
    <t>Minnesota North College (NHED)</t>
  </si>
  <si>
    <t xml:space="preserve">FY2024 Base Allocation </t>
  </si>
  <si>
    <t>% Share of FY2024 Allocation</t>
  </si>
  <si>
    <t>FY2024 Allocation for Instruction &amp; Academic Support</t>
  </si>
  <si>
    <t>FY2024 Allocation for Student Services &amp; Institutional Support</t>
  </si>
  <si>
    <t>Fiscal Year 2024 Based on FY2022 Headcount</t>
  </si>
  <si>
    <t>Recognition for Student Success</t>
  </si>
  <si>
    <t>Recognition</t>
  </si>
  <si>
    <t>FP&amp;A - February 2024</t>
  </si>
  <si>
    <t>50% FY2024 Base % Share</t>
  </si>
  <si>
    <t xml:space="preserve">FY2025 Base Allocation </t>
  </si>
  <si>
    <t>% Share of FY2025 Allocation</t>
  </si>
  <si>
    <t>$ Change Over FY2024</t>
  </si>
  <si>
    <t>% Change Over FY2024</t>
  </si>
  <si>
    <t>FY2025 Allocation for Student Services &amp; Institutional Support</t>
  </si>
  <si>
    <t>FY2025 Allocation for Instruction &amp; Academic Support</t>
  </si>
  <si>
    <t xml:space="preserve">BASED ON FY2023 System DATA </t>
  </si>
  <si>
    <t>FY2023 Total GEN Revenue</t>
  </si>
  <si>
    <t>FY2023 Total State Appropriation</t>
  </si>
  <si>
    <t>BASED ON FY2023 System DATA -- February 2024</t>
  </si>
  <si>
    <t>FY2023 Academic Support Net Expenditures</t>
  </si>
  <si>
    <t>FY2023 Academic Support State Appro Expended</t>
  </si>
  <si>
    <t>FY2023 FYE</t>
  </si>
  <si>
    <t>Minnesota North College</t>
  </si>
  <si>
    <t>0320</t>
  </si>
  <si>
    <t>BASED ON FY2023 System DATA  --February 2024</t>
  </si>
  <si>
    <t>s:\finance\bargain\FY25 allocation\Summary of FY2025 Institutional Allocation Draft</t>
  </si>
  <si>
    <t>BASED ON FY2023 System DATA  -- February 2024</t>
  </si>
  <si>
    <t>FY2023</t>
  </si>
  <si>
    <t>Based on FY2023 System Data</t>
  </si>
  <si>
    <t>Adjusted FY2023 Headcount</t>
  </si>
  <si>
    <t>BASED ON FY2023 System DATA and FY2022 NATIONAL DATA -- February 2024</t>
  </si>
  <si>
    <r>
      <t xml:space="preserve">FY14-18 and </t>
    </r>
    <r>
      <rPr>
        <b/>
        <sz val="10"/>
        <color rgb="FFFF0000"/>
        <rFont val="Arial"/>
        <family val="2"/>
      </rPr>
      <t>NEW</t>
    </r>
    <r>
      <rPr>
        <b/>
        <sz val="10"/>
        <rFont val="Arial"/>
        <family val="2"/>
      </rPr>
      <t xml:space="preserve"> FY24/25 Tuition Relief Allocation</t>
    </r>
  </si>
  <si>
    <t xml:space="preserve">FY2025 Access &amp; Opportunity </t>
  </si>
  <si>
    <t xml:space="preserve">Fiscal Years 2020 to 2022 Entering Students </t>
  </si>
  <si>
    <t>2020-2022</t>
  </si>
  <si>
    <t>Based on FY2020-2022 Enrollment Data</t>
  </si>
  <si>
    <t>Fiscal Year 2022 Entering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</si>
</sst>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  <numFmt numFmtId="171" formatCode="_(&quot;$&quot;* #,##0_);_(&quot;$&quot;* \(#,##0\);_(&quot;$&quot;* &quot;-&quot;??_);_(@_)"/>
    <numFmt numFmtId="172" formatCode="#,##0.000000000000_);[Red]\(#,##0.000000000000\)"/>
    <numFmt numFmtId="173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444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Alignment="1">
      <alignment horizontal="center" wrapText="1"/>
    </xf>
    <xf numFmtId="0" fontId="6" fillId="0" borderId="1" xfId="7" applyFont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8" fontId="0" fillId="2" borderId="0" xfId="0" applyNumberFormat="1" applyFill="1"/>
    <xf numFmtId="0" fontId="10" fillId="0" borderId="0" xfId="0" applyFont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168" fontId="0" fillId="0" borderId="0" xfId="1" applyNumberFormat="1" applyFont="1" applyFill="1"/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10" fontId="9" fillId="4" borderId="0" xfId="0" applyNumberFormat="1" applyFont="1" applyFill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Alignment="1">
      <alignment horizontal="center" wrapText="1"/>
    </xf>
    <xf numFmtId="38" fontId="6" fillId="0" borderId="1" xfId="7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5" fontId="0" fillId="0" borderId="0" xfId="0" applyNumberFormat="1" applyAlignment="1">
      <alignment horizontal="right"/>
    </xf>
    <xf numFmtId="38" fontId="0" fillId="0" borderId="1" xfId="0" applyNumberFormat="1" applyBorder="1" applyAlignment="1">
      <alignment horizontal="right"/>
    </xf>
    <xf numFmtId="7" fontId="7" fillId="0" borderId="4" xfId="0" applyNumberFormat="1" applyFont="1" applyBorder="1" applyAlignment="1">
      <alignment horizontal="center"/>
    </xf>
    <xf numFmtId="7" fontId="7" fillId="0" borderId="0" xfId="0" applyNumberFormat="1" applyFont="1" applyAlignment="1">
      <alignment horizontal="center"/>
    </xf>
    <xf numFmtId="169" fontId="0" fillId="0" borderId="0" xfId="0" applyNumberFormat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1" fontId="0" fillId="0" borderId="0" xfId="0" applyNumberFormat="1"/>
    <xf numFmtId="38" fontId="7" fillId="0" borderId="4" xfId="0" applyNumberFormat="1" applyFont="1" applyBorder="1" applyAlignment="1">
      <alignment horizontal="center" wrapText="1"/>
    </xf>
    <xf numFmtId="6" fontId="0" fillId="0" borderId="0" xfId="0" applyNumberFormat="1"/>
    <xf numFmtId="0" fontId="7" fillId="0" borderId="0" xfId="0" applyFont="1" applyAlignment="1">
      <alignment horizontal="right" vertical="top"/>
    </xf>
    <xf numFmtId="0" fontId="4" fillId="0" borderId="3" xfId="7" applyFont="1" applyBorder="1" applyAlignment="1">
      <alignment horizontal="center"/>
    </xf>
    <xf numFmtId="6" fontId="7" fillId="0" borderId="3" xfId="0" applyNumberFormat="1" applyFont="1" applyBorder="1" applyAlignment="1">
      <alignment horizontal="center"/>
    </xf>
    <xf numFmtId="0" fontId="0" fillId="0" borderId="10" xfId="0" applyBorder="1"/>
    <xf numFmtId="169" fontId="0" fillId="0" borderId="10" xfId="0" applyNumberFormat="1" applyBorder="1"/>
    <xf numFmtId="0" fontId="0" fillId="0" borderId="11" xfId="0" applyBorder="1"/>
    <xf numFmtId="0" fontId="7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0" fontId="6" fillId="0" borderId="1" xfId="7" applyNumberFormat="1" applyFont="1" applyBorder="1" applyAlignment="1">
      <alignment horizontal="right" wrapText="1"/>
    </xf>
    <xf numFmtId="38" fontId="0" fillId="0" borderId="4" xfId="0" applyNumberFormat="1" applyBorder="1" applyAlignment="1">
      <alignment horizontal="right"/>
    </xf>
    <xf numFmtId="0" fontId="6" fillId="0" borderId="1" xfId="7" applyFont="1" applyBorder="1" applyAlignment="1">
      <alignment horizontal="left"/>
    </xf>
    <xf numFmtId="0" fontId="6" fillId="0" borderId="0" xfId="7" applyFont="1" applyAlignment="1">
      <alignment horizontal="center" wrapText="1"/>
    </xf>
    <xf numFmtId="0" fontId="6" fillId="0" borderId="0" xfId="7" applyFont="1" applyAlignment="1">
      <alignment horizontal="left" wrapText="1"/>
    </xf>
    <xf numFmtId="6" fontId="0" fillId="0" borderId="0" xfId="0" applyNumberFormat="1" applyAlignment="1">
      <alignment horizontal="right"/>
    </xf>
    <xf numFmtId="0" fontId="14" fillId="0" borderId="0" xfId="0" applyFont="1"/>
    <xf numFmtId="10" fontId="6" fillId="0" borderId="0" xfId="7" applyNumberFormat="1" applyFont="1" applyAlignment="1">
      <alignment horizontal="right" wrapText="1"/>
    </xf>
    <xf numFmtId="49" fontId="8" fillId="0" borderId="0" xfId="0" applyNumberFormat="1" applyFont="1"/>
    <xf numFmtId="38" fontId="6" fillId="0" borderId="1" xfId="7" applyNumberFormat="1" applyFont="1" applyBorder="1" applyAlignment="1">
      <alignment horizontal="right" wrapText="1"/>
    </xf>
    <xf numFmtId="0" fontId="6" fillId="0" borderId="14" xfId="5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38" fontId="6" fillId="0" borderId="1" xfId="1" applyNumberFormat="1" applyFont="1" applyFill="1" applyBorder="1" applyAlignment="1">
      <alignment horizontal="right" wrapText="1"/>
    </xf>
    <xf numFmtId="10" fontId="0" fillId="0" borderId="4" xfId="0" applyNumberFormat="1" applyBorder="1"/>
    <xf numFmtId="167" fontId="0" fillId="0" borderId="4" xfId="9" applyNumberFormat="1" applyFont="1" applyFill="1" applyBorder="1"/>
    <xf numFmtId="1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4" fillId="0" borderId="1" xfId="7" applyFont="1" applyBorder="1" applyAlignment="1">
      <alignment horizontal="center" wrapText="1"/>
    </xf>
    <xf numFmtId="3" fontId="4" fillId="0" borderId="1" xfId="7" applyNumberFormat="1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1" fontId="4" fillId="0" borderId="1" xfId="7" applyNumberFormat="1" applyFont="1" applyBorder="1" applyAlignment="1">
      <alignment horizontal="center" wrapText="1" shrinkToFit="1"/>
    </xf>
    <xf numFmtId="0" fontId="4" fillId="0" borderId="6" xfId="7" applyFont="1" applyBorder="1" applyAlignment="1">
      <alignment horizontal="center" wrapText="1"/>
    </xf>
    <xf numFmtId="38" fontId="6" fillId="0" borderId="6" xfId="3" applyNumberFormat="1" applyBorder="1" applyAlignment="1">
      <alignment horizontal="center"/>
    </xf>
    <xf numFmtId="3" fontId="4" fillId="0" borderId="0" xfId="7" applyNumberFormat="1" applyFont="1" applyAlignment="1">
      <alignment horizontal="center" wrapText="1"/>
    </xf>
    <xf numFmtId="3" fontId="4" fillId="0" borderId="0" xfId="7" applyNumberFormat="1" applyFont="1" applyAlignment="1">
      <alignment horizontal="center"/>
    </xf>
    <xf numFmtId="38" fontId="6" fillId="0" borderId="4" xfId="3" applyNumberFormat="1" applyBorder="1" applyAlignment="1">
      <alignment horizontal="right" wrapText="1"/>
    </xf>
    <xf numFmtId="10" fontId="6" fillId="0" borderId="8" xfId="7" applyNumberFormat="1" applyFont="1" applyBorder="1" applyAlignment="1">
      <alignment horizontal="right" wrapText="1"/>
    </xf>
    <xf numFmtId="3" fontId="6" fillId="0" borderId="1" xfId="7" applyNumberFormat="1" applyFont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/>
    <xf numFmtId="170" fontId="0" fillId="0" borderId="0" xfId="0" applyNumberFormat="1"/>
    <xf numFmtId="0" fontId="3" fillId="0" borderId="0" xfId="0" applyFont="1"/>
    <xf numFmtId="0" fontId="16" fillId="0" borderId="0" xfId="0" applyFont="1"/>
    <xf numFmtId="0" fontId="7" fillId="0" borderId="0" xfId="0" applyFont="1" applyAlignment="1">
      <alignment wrapText="1"/>
    </xf>
    <xf numFmtId="38" fontId="4" fillId="0" borderId="0" xfId="7" applyNumberFormat="1" applyFont="1" applyAlignment="1">
      <alignment horizontal="center" wrapText="1"/>
    </xf>
    <xf numFmtId="168" fontId="0" fillId="0" borderId="0" xfId="0" applyNumberFormat="1"/>
    <xf numFmtId="10" fontId="4" fillId="0" borderId="0" xfId="7" applyNumberFormat="1" applyFont="1" applyAlignment="1">
      <alignment horizontal="right" wrapText="1"/>
    </xf>
    <xf numFmtId="49" fontId="0" fillId="0" borderId="0" xfId="0" applyNumberForma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/>
    <xf numFmtId="168" fontId="6" fillId="0" borderId="4" xfId="1" applyNumberFormat="1" applyFont="1" applyFill="1" applyBorder="1" applyAlignment="1">
      <alignment horizontal="right" wrapText="1"/>
    </xf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0" fontId="7" fillId="0" borderId="3" xfId="0" applyFont="1" applyBorder="1"/>
    <xf numFmtId="0" fontId="4" fillId="0" borderId="2" xfId="7" applyFont="1" applyBorder="1" applyAlignment="1">
      <alignment horizontal="center" wrapText="1"/>
    </xf>
    <xf numFmtId="0" fontId="6" fillId="0" borderId="1" xfId="4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/>
    </xf>
    <xf numFmtId="38" fontId="7" fillId="0" borderId="5" xfId="0" applyNumberFormat="1" applyFont="1" applyBorder="1" applyAlignment="1">
      <alignment horizontal="center" wrapText="1"/>
    </xf>
    <xf numFmtId="0" fontId="6" fillId="0" borderId="15" xfId="5" applyBorder="1" applyAlignment="1">
      <alignment horizontal="center"/>
    </xf>
    <xf numFmtId="0" fontId="6" fillId="0" borderId="0" xfId="7" applyFont="1" applyAlignment="1">
      <alignment horizontal="center"/>
    </xf>
    <xf numFmtId="38" fontId="6" fillId="0" borderId="1" xfId="5" applyNumberFormat="1" applyBorder="1" applyAlignment="1">
      <alignment horizontal="right" wrapText="1"/>
    </xf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4" fillId="0" borderId="10" xfId="7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38" fontId="15" fillId="0" borderId="1" xfId="7" applyNumberFormat="1" applyFont="1" applyBorder="1" applyAlignment="1">
      <alignment horizontal="right"/>
    </xf>
    <xf numFmtId="38" fontId="6" fillId="0" borderId="4" xfId="7" applyNumberFormat="1" applyFont="1" applyBorder="1" applyAlignment="1">
      <alignment horizontal="right"/>
    </xf>
    <xf numFmtId="3" fontId="6" fillId="0" borderId="0" xfId="7" applyNumberFormat="1" applyFont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/>
    <xf numFmtId="3" fontId="6" fillId="0" borderId="0" xfId="7" applyNumberFormat="1" applyFont="1" applyAlignment="1">
      <alignment horizontal="center" wrapText="1"/>
    </xf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38" fontId="4" fillId="0" borderId="0" xfId="7" applyNumberFormat="1" applyFont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Border="1" applyAlignment="1">
      <alignment horizontal="center" wrapText="1"/>
    </xf>
    <xf numFmtId="0" fontId="6" fillId="0" borderId="21" xfId="7" applyFont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" fontId="0" fillId="0" borderId="21" xfId="0" applyNumberFormat="1" applyBorder="1"/>
    <xf numFmtId="0" fontId="6" fillId="0" borderId="21" xfId="7" applyFont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/>
    <xf numFmtId="0" fontId="3" fillId="0" borderId="0" xfId="10"/>
    <xf numFmtId="3" fontId="3" fillId="0" borderId="0" xfId="10" applyNumberFormat="1"/>
    <xf numFmtId="38" fontId="3" fillId="0" borderId="0" xfId="10" applyNumberFormat="1"/>
    <xf numFmtId="10" fontId="3" fillId="0" borderId="0" xfId="10" applyNumberFormat="1"/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center"/>
    </xf>
    <xf numFmtId="3" fontId="7" fillId="0" borderId="0" xfId="10" applyNumberFormat="1" applyFont="1" applyAlignment="1">
      <alignment horizontal="center"/>
    </xf>
    <xf numFmtId="38" fontId="7" fillId="0" borderId="0" xfId="10" applyNumberFormat="1" applyFont="1" applyAlignment="1">
      <alignment horizontal="center"/>
    </xf>
    <xf numFmtId="10" fontId="7" fillId="0" borderId="0" xfId="10" applyNumberFormat="1" applyFont="1" applyAlignment="1">
      <alignment horizontal="center"/>
    </xf>
    <xf numFmtId="0" fontId="3" fillId="0" borderId="0" xfId="10" applyAlignment="1">
      <alignment horizontal="center"/>
    </xf>
    <xf numFmtId="0" fontId="4" fillId="0" borderId="22" xfId="7" applyFont="1" applyBorder="1" applyAlignment="1">
      <alignment horizontal="center" wrapText="1"/>
    </xf>
    <xf numFmtId="3" fontId="17" fillId="0" borderId="22" xfId="7" applyNumberFormat="1" applyFont="1" applyBorder="1" applyAlignment="1">
      <alignment horizontal="center" wrapText="1"/>
    </xf>
    <xf numFmtId="38" fontId="18" fillId="0" borderId="22" xfId="10" applyNumberFormat="1" applyFont="1" applyBorder="1" applyAlignment="1">
      <alignment horizontal="center" wrapText="1"/>
    </xf>
    <xf numFmtId="38" fontId="17" fillId="0" borderId="22" xfId="7" applyNumberFormat="1" applyFont="1" applyBorder="1" applyAlignment="1">
      <alignment horizontal="center" wrapText="1"/>
    </xf>
    <xf numFmtId="10" fontId="7" fillId="0" borderId="0" xfId="10" applyNumberFormat="1" applyFont="1" applyAlignment="1">
      <alignment horizontal="center" wrapText="1"/>
    </xf>
    <xf numFmtId="10" fontId="7" fillId="0" borderId="22" xfId="10" applyNumberFormat="1" applyFont="1" applyBorder="1" applyAlignment="1">
      <alignment horizontal="center" wrapText="1"/>
    </xf>
    <xf numFmtId="0" fontId="3" fillId="0" borderId="0" xfId="10" applyAlignment="1">
      <alignment wrapText="1"/>
    </xf>
    <xf numFmtId="38" fontId="4" fillId="0" borderId="22" xfId="7" applyNumberFormat="1" applyFont="1" applyBorder="1" applyAlignment="1">
      <alignment horizontal="center" wrapText="1"/>
    </xf>
    <xf numFmtId="38" fontId="3" fillId="0" borderId="0" xfId="10" applyNumberFormat="1" applyAlignment="1">
      <alignment horizontal="center" wrapText="1"/>
    </xf>
    <xf numFmtId="10" fontId="3" fillId="0" borderId="0" xfId="10" applyNumberFormat="1" applyAlignment="1">
      <alignment wrapText="1"/>
    </xf>
    <xf numFmtId="0" fontId="6" fillId="0" borderId="23" xfId="7" applyFont="1" applyBorder="1" applyAlignment="1">
      <alignment horizontal="center" wrapText="1"/>
    </xf>
    <xf numFmtId="0" fontId="6" fillId="0" borderId="22" xfId="7" applyFont="1" applyBorder="1" applyAlignment="1">
      <alignment horizontal="left" wrapText="1"/>
    </xf>
    <xf numFmtId="168" fontId="6" fillId="0" borderId="23" xfId="6" applyNumberFormat="1" applyBorder="1" applyAlignment="1">
      <alignment horizontal="right" wrapText="1"/>
    </xf>
    <xf numFmtId="38" fontId="6" fillId="0" borderId="25" xfId="7" applyNumberFormat="1" applyFont="1" applyBorder="1" applyAlignment="1">
      <alignment horizontal="right" wrapText="1"/>
    </xf>
    <xf numFmtId="10" fontId="3" fillId="0" borderId="0" xfId="10" applyNumberFormat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Border="1" applyAlignment="1">
      <alignment horizontal="left"/>
    </xf>
    <xf numFmtId="49" fontId="6" fillId="0" borderId="22" xfId="7" applyNumberFormat="1" applyFont="1" applyBorder="1" applyAlignment="1">
      <alignment horizontal="center" wrapText="1"/>
    </xf>
    <xf numFmtId="49" fontId="6" fillId="0" borderId="23" xfId="7" applyNumberFormat="1" applyFont="1" applyBorder="1" applyAlignment="1">
      <alignment horizontal="center" wrapText="1"/>
    </xf>
    <xf numFmtId="3" fontId="3" fillId="0" borderId="0" xfId="10" applyNumberFormat="1" applyAlignment="1">
      <alignment horizontal="right"/>
    </xf>
    <xf numFmtId="38" fontId="3" fillId="0" borderId="0" xfId="10" applyNumberFormat="1" applyAlignment="1">
      <alignment horizontal="right"/>
    </xf>
    <xf numFmtId="0" fontId="3" fillId="0" borderId="0" xfId="10" applyAlignment="1">
      <alignment horizontal="right"/>
    </xf>
    <xf numFmtId="0" fontId="3" fillId="0" borderId="0" xfId="10" applyAlignment="1">
      <alignment horizontal="left"/>
    </xf>
    <xf numFmtId="49" fontId="8" fillId="0" borderId="0" xfId="10" applyNumberFormat="1" applyFont="1" applyAlignment="1">
      <alignment horizontal="left"/>
    </xf>
    <xf numFmtId="0" fontId="19" fillId="0" borderId="0" xfId="0" applyFont="1"/>
    <xf numFmtId="0" fontId="3" fillId="0" borderId="0" xfId="0" applyFont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4" fillId="0" borderId="22" xfId="7" applyFont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Border="1" applyAlignment="1">
      <alignment horizontal="center" wrapText="1"/>
    </xf>
    <xf numFmtId="3" fontId="7" fillId="0" borderId="23" xfId="0" applyNumberFormat="1" applyFont="1" applyBorder="1" applyAlignment="1">
      <alignment horizontal="center" wrapText="1"/>
    </xf>
    <xf numFmtId="0" fontId="4" fillId="0" borderId="25" xfId="7" applyFont="1" applyBorder="1" applyAlignment="1">
      <alignment horizontal="center"/>
    </xf>
    <xf numFmtId="38" fontId="4" fillId="10" borderId="0" xfId="7" applyNumberFormat="1" applyFont="1" applyFill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Border="1" applyAlignment="1">
      <alignment horizontal="center" wrapText="1"/>
    </xf>
    <xf numFmtId="3" fontId="7" fillId="0" borderId="26" xfId="0" applyNumberFormat="1" applyFont="1" applyBorder="1" applyAlignment="1">
      <alignment horizontal="center" wrapText="1"/>
    </xf>
    <xf numFmtId="0" fontId="6" fillId="0" borderId="22" xfId="7" applyFont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Border="1" applyAlignment="1">
      <alignment horizontal="right" wrapText="1"/>
    </xf>
    <xf numFmtId="10" fontId="0" fillId="0" borderId="23" xfId="0" applyNumberFormat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Border="1"/>
    <xf numFmtId="168" fontId="0" fillId="0" borderId="19" xfId="0" applyNumberFormat="1" applyBorder="1"/>
    <xf numFmtId="9" fontId="7" fillId="0" borderId="0" xfId="9" applyFont="1" applyFill="1"/>
    <xf numFmtId="0" fontId="22" fillId="0" borderId="10" xfId="13" applyFont="1" applyBorder="1" applyAlignment="1">
      <alignment horizontal="center"/>
    </xf>
    <xf numFmtId="0" fontId="22" fillId="0" borderId="23" xfId="13" applyFont="1" applyBorder="1" applyAlignment="1">
      <alignment horizontal="center"/>
    </xf>
    <xf numFmtId="0" fontId="23" fillId="0" borderId="11" xfId="14" applyFont="1" applyBorder="1" applyAlignment="1">
      <alignment wrapText="1"/>
    </xf>
    <xf numFmtId="0" fontId="22" fillId="0" borderId="11" xfId="14" applyFont="1" applyBorder="1" applyAlignment="1">
      <alignment wrapText="1"/>
    </xf>
    <xf numFmtId="0" fontId="22" fillId="0" borderId="29" xfId="14" applyFont="1" applyBorder="1" applyAlignment="1">
      <alignment wrapText="1"/>
    </xf>
    <xf numFmtId="167" fontId="0" fillId="0" borderId="0" xfId="9" applyNumberFormat="1" applyFont="1"/>
    <xf numFmtId="0" fontId="25" fillId="0" borderId="0" xfId="18" applyFont="1" applyAlignment="1">
      <alignment horizontal="left"/>
    </xf>
    <xf numFmtId="0" fontId="24" fillId="0" borderId="0" xfId="18" applyAlignment="1">
      <alignment horizontal="centerContinuous"/>
    </xf>
    <xf numFmtId="0" fontId="24" fillId="0" borderId="0" xfId="18"/>
    <xf numFmtId="0" fontId="24" fillId="5" borderId="23" xfId="18" applyFill="1" applyBorder="1"/>
    <xf numFmtId="0" fontId="26" fillId="0" borderId="30" xfId="18" applyFont="1" applyBorder="1" applyAlignment="1">
      <alignment horizontal="center"/>
    </xf>
    <xf numFmtId="0" fontId="24" fillId="0" borderId="30" xfId="18" applyBorder="1"/>
    <xf numFmtId="0" fontId="7" fillId="0" borderId="31" xfId="18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Border="1" applyProtection="1">
      <protection locked="0"/>
    </xf>
    <xf numFmtId="3" fontId="3" fillId="0" borderId="34" xfId="18" applyNumberFormat="1" applyFont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Font="1" applyBorder="1" applyProtection="1">
      <protection locked="0"/>
    </xf>
    <xf numFmtId="3" fontId="3" fillId="0" borderId="28" xfId="18" quotePrefix="1" applyNumberFormat="1" applyFont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Font="1" applyBorder="1" applyAlignment="1" applyProtection="1">
      <alignment horizontal="left"/>
      <protection locked="0"/>
    </xf>
    <xf numFmtId="0" fontId="3" fillId="0" borderId="36" xfId="18" applyFont="1" applyBorder="1" applyAlignment="1" applyProtection="1">
      <alignment horizontal="left" indent="2"/>
      <protection locked="0"/>
    </xf>
    <xf numFmtId="0" fontId="3" fillId="0" borderId="38" xfId="18" quotePrefix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3" fontId="3" fillId="0" borderId="0" xfId="18" applyNumberFormat="1" applyFont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0" xfId="18" quotePrefix="1" applyNumberFormat="1" applyFont="1" applyProtection="1">
      <protection locked="0"/>
    </xf>
    <xf numFmtId="0" fontId="3" fillId="0" borderId="33" xfId="18" quotePrefix="1" applyFont="1" applyBorder="1" applyProtection="1">
      <protection locked="0"/>
    </xf>
    <xf numFmtId="3" fontId="3" fillId="0" borderId="35" xfId="18" quotePrefix="1" applyNumberFormat="1" applyFont="1" applyBorder="1" applyProtection="1">
      <protection locked="0"/>
    </xf>
    <xf numFmtId="3" fontId="3" fillId="0" borderId="35" xfId="18" applyNumberFormat="1" applyFont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4" fillId="0" borderId="45" xfId="18" applyBorder="1"/>
    <xf numFmtId="0" fontId="24" fillId="0" borderId="46" xfId="18" applyBorder="1"/>
    <xf numFmtId="0" fontId="24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Protection="1">
      <protection locked="0"/>
    </xf>
    <xf numFmtId="3" fontId="24" fillId="0" borderId="0" xfId="18" applyNumberFormat="1"/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3" fontId="3" fillId="6" borderId="19" xfId="1" applyNumberFormat="1" applyFont="1" applyFill="1" applyBorder="1"/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0" fontId="20" fillId="0" borderId="11" xfId="22" applyFont="1" applyBorder="1"/>
    <xf numFmtId="0" fontId="20" fillId="0" borderId="29" xfId="22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0" fontId="20" fillId="0" borderId="13" xfId="22" applyFont="1" applyBorder="1"/>
    <xf numFmtId="3" fontId="20" fillId="0" borderId="26" xfId="22" applyNumberFormat="1" applyFont="1" applyBorder="1"/>
    <xf numFmtId="0" fontId="23" fillId="0" borderId="10" xfId="14" applyFont="1" applyBorder="1" applyAlignment="1">
      <alignment wrapText="1"/>
    </xf>
    <xf numFmtId="0" fontId="22" fillId="0" borderId="11" xfId="17" applyFont="1" applyBorder="1" applyAlignment="1">
      <alignment wrapText="1"/>
    </xf>
    <xf numFmtId="0" fontId="23" fillId="0" borderId="11" xfId="14" applyFont="1" applyBorder="1"/>
    <xf numFmtId="38" fontId="6" fillId="0" borderId="9" xfId="7" applyNumberFormat="1" applyFont="1" applyBorder="1" applyAlignment="1">
      <alignment horizontal="right" wrapText="1"/>
    </xf>
    <xf numFmtId="168" fontId="6" fillId="0" borderId="7" xfId="5" applyNumberFormat="1" applyBorder="1" applyAlignment="1">
      <alignment horizontal="right" wrapText="1"/>
    </xf>
    <xf numFmtId="168" fontId="6" fillId="0" borderId="9" xfId="7" applyNumberFormat="1" applyFont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26" fillId="0" borderId="0" xfId="18" applyFont="1" applyAlignment="1">
      <alignment horizontal="centerContinuous"/>
    </xf>
    <xf numFmtId="6" fontId="7" fillId="0" borderId="0" xfId="0" applyNumberFormat="1" applyFont="1"/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Alignment="1">
      <alignment horizontal="right"/>
    </xf>
    <xf numFmtId="0" fontId="2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Border="1" applyAlignment="1">
      <alignment horizontal="center"/>
    </xf>
    <xf numFmtId="38" fontId="7" fillId="0" borderId="13" xfId="0" applyNumberFormat="1" applyFont="1" applyBorder="1" applyAlignment="1">
      <alignment horizontal="center"/>
    </xf>
    <xf numFmtId="38" fontId="7" fillId="0" borderId="23" xfId="0" applyNumberFormat="1" applyFont="1" applyBorder="1" applyAlignment="1">
      <alignment horizontal="center" wrapText="1"/>
    </xf>
    <xf numFmtId="38" fontId="6" fillId="0" borderId="48" xfId="5" applyNumberFormat="1" applyBorder="1" applyAlignment="1">
      <alignment horizontal="center"/>
    </xf>
    <xf numFmtId="0" fontId="7" fillId="9" borderId="49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6" fillId="0" borderId="1" xfId="7" applyFont="1" applyBorder="1"/>
    <xf numFmtId="167" fontId="23" fillId="0" borderId="50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3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1" xfId="9" applyNumberFormat="1" applyFont="1" applyFill="1" applyBorder="1" applyAlignment="1">
      <alignment horizontal="right" wrapText="1"/>
    </xf>
    <xf numFmtId="168" fontId="20" fillId="0" borderId="51" xfId="1" applyNumberFormat="1" applyFont="1" applyBorder="1"/>
    <xf numFmtId="10" fontId="0" fillId="0" borderId="0" xfId="9" applyNumberFormat="1" applyFont="1"/>
    <xf numFmtId="38" fontId="0" fillId="5" borderId="0" xfId="0" applyNumberFormat="1" applyFill="1"/>
    <xf numFmtId="168" fontId="6" fillId="0" borderId="24" xfId="7" applyNumberFormat="1" applyFont="1" applyBorder="1" applyAlignment="1">
      <alignment horizontal="right" wrapText="1"/>
    </xf>
    <xf numFmtId="168" fontId="3" fillId="0" borderId="23" xfId="10" applyNumberFormat="1" applyBorder="1" applyAlignment="1">
      <alignment horizontal="right"/>
    </xf>
    <xf numFmtId="167" fontId="21" fillId="0" borderId="0" xfId="9" applyNumberFormat="1" applyFont="1"/>
    <xf numFmtId="167" fontId="20" fillId="0" borderId="23" xfId="9" applyNumberFormat="1" applyFont="1" applyBorder="1" applyAlignment="1">
      <alignment horizontal="center" vertical="center" wrapText="1"/>
    </xf>
    <xf numFmtId="167" fontId="20" fillId="0" borderId="26" xfId="9" applyNumberFormat="1" applyFont="1" applyBorder="1"/>
    <xf numFmtId="38" fontId="3" fillId="0" borderId="1" xfId="0" applyNumberFormat="1" applyFont="1" applyBorder="1"/>
    <xf numFmtId="0" fontId="21" fillId="0" borderId="50" xfId="0" applyFont="1" applyBorder="1"/>
    <xf numFmtId="0" fontId="21" fillId="0" borderId="11" xfId="0" applyFont="1" applyBorder="1"/>
    <xf numFmtId="0" fontId="20" fillId="0" borderId="11" xfId="0" applyFont="1" applyBorder="1"/>
    <xf numFmtId="0" fontId="20" fillId="0" borderId="51" xfId="0" applyFont="1" applyBorder="1"/>
    <xf numFmtId="0" fontId="20" fillId="0" borderId="52" xfId="0" applyFont="1" applyBorder="1"/>
    <xf numFmtId="172" fontId="0" fillId="0" borderId="0" xfId="0" applyNumberFormat="1"/>
    <xf numFmtId="38" fontId="6" fillId="0" borderId="1" xfId="4" applyNumberFormat="1" applyBorder="1" applyAlignment="1">
      <alignment horizontal="right" wrapText="1"/>
    </xf>
    <xf numFmtId="38" fontId="3" fillId="0" borderId="1" xfId="4" applyNumberFormat="1" applyFont="1" applyBorder="1" applyAlignment="1">
      <alignment horizontal="right" wrapText="1"/>
    </xf>
    <xf numFmtId="9" fontId="0" fillId="0" borderId="0" xfId="9" applyFont="1"/>
    <xf numFmtId="167" fontId="7" fillId="0" borderId="0" xfId="0" applyNumberFormat="1" applyFont="1"/>
    <xf numFmtId="38" fontId="7" fillId="4" borderId="0" xfId="0" applyNumberFormat="1" applyFont="1" applyFill="1"/>
    <xf numFmtId="167" fontId="3" fillId="0" borderId="0" xfId="9" applyNumberFormat="1" applyFont="1" applyFill="1"/>
    <xf numFmtId="0" fontId="22" fillId="0" borderId="51" xfId="13" applyFont="1" applyBorder="1" applyAlignment="1">
      <alignment horizontal="center"/>
    </xf>
    <xf numFmtId="171" fontId="21" fillId="0" borderId="0" xfId="22" applyNumberFormat="1" applyFont="1"/>
    <xf numFmtId="3" fontId="29" fillId="0" borderId="49" xfId="0" applyNumberFormat="1" applyFont="1" applyBorder="1"/>
    <xf numFmtId="167" fontId="29" fillId="0" borderId="49" xfId="0" applyNumberFormat="1" applyFont="1" applyBorder="1"/>
    <xf numFmtId="173" fontId="29" fillId="0" borderId="49" xfId="0" applyNumberFormat="1" applyFont="1" applyBorder="1"/>
    <xf numFmtId="3" fontId="20" fillId="0" borderId="49" xfId="22" applyNumberFormat="1" applyFont="1" applyBorder="1"/>
    <xf numFmtId="167" fontId="20" fillId="0" borderId="49" xfId="9" applyNumberFormat="1" applyFont="1" applyBorder="1"/>
    <xf numFmtId="167" fontId="7" fillId="0" borderId="0" xfId="9" applyNumberFormat="1" applyFont="1" applyFill="1"/>
    <xf numFmtId="38" fontId="3" fillId="0" borderId="21" xfId="0" applyNumberFormat="1" applyFont="1" applyBorder="1"/>
    <xf numFmtId="3" fontId="3" fillId="0" borderId="21" xfId="0" applyNumberFormat="1" applyFont="1" applyBorder="1"/>
    <xf numFmtId="38" fontId="7" fillId="0" borderId="2" xfId="0" applyNumberFormat="1" applyFont="1" applyBorder="1" applyAlignment="1">
      <alignment horizontal="center" wrapText="1"/>
    </xf>
    <xf numFmtId="168" fontId="7" fillId="0" borderId="0" xfId="1" applyNumberFormat="1" applyFont="1" applyFill="1" applyBorder="1"/>
    <xf numFmtId="43" fontId="0" fillId="0" borderId="0" xfId="1" applyFont="1"/>
    <xf numFmtId="168" fontId="20" fillId="0" borderId="0" xfId="1" applyNumberFormat="1" applyFont="1" applyAlignment="1">
      <alignment horizontal="right"/>
    </xf>
    <xf numFmtId="168" fontId="20" fillId="0" borderId="24" xfId="1" applyNumberFormat="1" applyFont="1" applyBorder="1" applyAlignment="1">
      <alignment horizontal="center" vertical="center" wrapText="1"/>
    </xf>
    <xf numFmtId="168" fontId="21" fillId="0" borderId="49" xfId="1" applyNumberFormat="1" applyFont="1" applyBorder="1"/>
    <xf numFmtId="168" fontId="20" fillId="0" borderId="49" xfId="1" applyNumberFormat="1" applyFont="1" applyBorder="1"/>
    <xf numFmtId="168" fontId="20" fillId="0" borderId="23" xfId="1" applyNumberFormat="1" applyFont="1" applyBorder="1"/>
    <xf numFmtId="168" fontId="21" fillId="0" borderId="10" xfId="1" applyNumberFormat="1" applyFont="1" applyBorder="1"/>
    <xf numFmtId="168" fontId="21" fillId="0" borderId="11" xfId="1" applyNumberFormat="1" applyFont="1" applyBorder="1"/>
    <xf numFmtId="168" fontId="20" fillId="0" borderId="29" xfId="1" applyNumberFormat="1" applyFont="1" applyBorder="1"/>
    <xf numFmtId="0" fontId="3" fillId="11" borderId="35" xfId="18" quotePrefix="1" applyFont="1" applyFill="1" applyBorder="1" applyProtection="1">
      <protection locked="0"/>
    </xf>
    <xf numFmtId="0" fontId="3" fillId="11" borderId="28" xfId="18" quotePrefix="1" applyFont="1" applyFill="1" applyBorder="1" applyProtection="1">
      <protection locked="0"/>
    </xf>
    <xf numFmtId="0" fontId="20" fillId="0" borderId="50" xfId="0" applyFont="1" applyBorder="1" applyAlignment="1">
      <alignment horizontal="center"/>
    </xf>
    <xf numFmtId="10" fontId="29" fillId="0" borderId="49" xfId="0" applyNumberFormat="1" applyFont="1" applyBorder="1"/>
    <xf numFmtId="0" fontId="3" fillId="0" borderId="37" xfId="18" applyFont="1" applyBorder="1" applyProtection="1">
      <protection locked="0"/>
    </xf>
    <xf numFmtId="3" fontId="3" fillId="10" borderId="23" xfId="18" quotePrefix="1" applyNumberFormat="1" applyFont="1" applyFill="1" applyBorder="1" applyProtection="1">
      <protection locked="0"/>
    </xf>
    <xf numFmtId="3" fontId="3" fillId="11" borderId="23" xfId="18" quotePrefix="1" applyNumberFormat="1" applyFont="1" applyFill="1" applyBorder="1" applyProtection="1">
      <protection locked="0"/>
    </xf>
    <xf numFmtId="3" fontId="3" fillId="0" borderId="23" xfId="18" quotePrefix="1" applyNumberFormat="1" applyFont="1" applyBorder="1" applyProtection="1">
      <protection locked="0"/>
    </xf>
    <xf numFmtId="0" fontId="3" fillId="11" borderId="23" xfId="18" quotePrefix="1" applyFont="1" applyFill="1" applyBorder="1" applyProtection="1">
      <protection locked="0"/>
    </xf>
    <xf numFmtId="167" fontId="3" fillId="0" borderId="23" xfId="20" quotePrefix="1" applyNumberFormat="1" applyFont="1" applyBorder="1" applyProtection="1">
      <protection locked="0"/>
    </xf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18" applyFont="1" applyAlignment="1">
      <alignment horizontal="left"/>
    </xf>
    <xf numFmtId="0" fontId="7" fillId="0" borderId="0" xfId="18" applyFont="1" applyAlignment="1" applyProtection="1">
      <alignment horizontal="left"/>
      <protection locked="0"/>
    </xf>
    <xf numFmtId="0" fontId="7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0" fillId="0" borderId="0" xfId="22" applyFont="1" applyAlignment="1">
      <alignment horizontal="center"/>
    </xf>
    <xf numFmtId="0" fontId="20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</cellXfs>
  <cellStyles count="27">
    <cellStyle name="Comma" xfId="1" builtinId="3"/>
    <cellStyle name="Comma 2" xfId="16" xr:uid="{00000000-0005-0000-0000-000001000000}"/>
    <cellStyle name="Comma 3" xfId="21" xr:uid="{00000000-0005-0000-0000-000002000000}"/>
    <cellStyle name="Comma 4" xfId="23" xr:uid="{00000000-0005-0000-0000-000003000000}"/>
    <cellStyle name="Currency" xfId="2" builtinId="4"/>
    <cellStyle name="Currency 2" xfId="12" xr:uid="{00000000-0005-0000-0000-000005000000}"/>
    <cellStyle name="Currency 3" xfId="24" xr:uid="{00000000-0005-0000-0000-000006000000}"/>
    <cellStyle name="Normal" xfId="0" builtinId="0"/>
    <cellStyle name="Normal 2" xfId="10" xr:uid="{00000000-0005-0000-0000-000008000000}"/>
    <cellStyle name="Normal 3" xfId="11" xr:uid="{00000000-0005-0000-0000-000009000000}"/>
    <cellStyle name="Normal 4" xfId="18" xr:uid="{00000000-0005-0000-0000-00000A000000}"/>
    <cellStyle name="Normal 5" xfId="22" xr:uid="{00000000-0005-0000-0000-00000B000000}"/>
    <cellStyle name="Normal 6" xfId="26" xr:uid="{00000000-0005-0000-0000-00000C000000}"/>
    <cellStyle name="Normal_Academic Support Per FYE" xfId="3" xr:uid="{00000000-0005-0000-0000-00000D000000}"/>
    <cellStyle name="Normal_FY2006 Detail" xfId="4" xr:uid="{00000000-0005-0000-0000-00000F000000}"/>
    <cellStyle name="Normal_INSTRUCTION" xfId="5" xr:uid="{00000000-0005-0000-0000-000010000000}"/>
    <cellStyle name="Normal_Revenue Offset" xfId="6" xr:uid="{00000000-0005-0000-0000-000011000000}"/>
    <cellStyle name="Normal_Sheet1" xfId="7" xr:uid="{00000000-0005-0000-0000-000012000000}"/>
    <cellStyle name="Normal_Sheet1 2" xfId="13" xr:uid="{00000000-0005-0000-0000-000013000000}"/>
    <cellStyle name="Normal_Sheet1 3" xfId="19" xr:uid="{00000000-0005-0000-0000-000014000000}"/>
    <cellStyle name="Normal_Sheet2" xfId="8" xr:uid="{00000000-0005-0000-0000-000015000000}"/>
    <cellStyle name="Normal_Sheet2 2" xfId="17" xr:uid="{00000000-0005-0000-0000-000016000000}"/>
    <cellStyle name="Normal_Sheet3" xfId="14" xr:uid="{00000000-0005-0000-0000-000017000000}"/>
    <cellStyle name="Percent" xfId="9" builtinId="5"/>
    <cellStyle name="Percent 2" xfId="15" xr:uid="{00000000-0005-0000-0000-000019000000}"/>
    <cellStyle name="Percent 3" xfId="20" xr:uid="{00000000-0005-0000-0000-00001A000000}"/>
    <cellStyle name="Percent 4" xfId="25" xr:uid="{00000000-0005-0000-0000-00001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rgain/000_Allocation%20Framework/TAC/FY2017%20meetings/Analysis/Transition/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D40"/>
  <sheetViews>
    <sheetView zoomScale="80" workbookViewId="0">
      <pane xSplit="3" ySplit="5" topLeftCell="D12" activePane="bottomRight" state="frozen"/>
      <selection activeCell="F2" sqref="F2"/>
      <selection pane="topRight" activeCell="F2" sqref="F2"/>
      <selection pane="bottomLeft" activeCell="F2" sqref="F2"/>
      <selection pane="bottomRight" activeCell="B41" sqref="B41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customWidth="1"/>
  </cols>
  <sheetData>
    <row r="1" spans="1:4" ht="15.75" x14ac:dyDescent="0.25">
      <c r="A1" s="19"/>
      <c r="B1" s="36"/>
      <c r="D1" s="33"/>
    </row>
    <row r="2" spans="1:4" ht="24.75" customHeight="1" x14ac:dyDescent="0.2">
      <c r="A2" s="19"/>
      <c r="B2" s="19"/>
      <c r="C2" s="19"/>
      <c r="D2" s="19"/>
    </row>
    <row r="3" spans="1:4" x14ac:dyDescent="0.2">
      <c r="A3" s="26"/>
      <c r="B3" s="4"/>
      <c r="C3" s="4"/>
      <c r="D3" s="138"/>
    </row>
    <row r="4" spans="1:4" ht="92.25" customHeight="1" x14ac:dyDescent="0.2">
      <c r="B4" s="1" t="s">
        <v>0</v>
      </c>
      <c r="C4" s="1" t="s">
        <v>1</v>
      </c>
      <c r="D4" s="139" t="s">
        <v>287</v>
      </c>
    </row>
    <row r="5" spans="1:4" x14ac:dyDescent="0.2">
      <c r="B5" s="2"/>
      <c r="C5" s="2"/>
      <c r="D5" s="140"/>
    </row>
    <row r="6" spans="1:4" x14ac:dyDescent="0.2">
      <c r="A6">
        <v>1</v>
      </c>
      <c r="B6" s="10" t="s">
        <v>2</v>
      </c>
      <c r="C6" s="3" t="s">
        <v>3</v>
      </c>
    </row>
    <row r="7" spans="1:4" x14ac:dyDescent="0.2">
      <c r="A7">
        <v>2</v>
      </c>
      <c r="B7" s="10" t="s">
        <v>4</v>
      </c>
      <c r="C7" s="3" t="s">
        <v>124</v>
      </c>
    </row>
    <row r="8" spans="1:4" ht="12" customHeight="1" x14ac:dyDescent="0.2">
      <c r="A8">
        <v>4</v>
      </c>
      <c r="B8" s="10" t="s">
        <v>5</v>
      </c>
      <c r="C8" s="3" t="s">
        <v>113</v>
      </c>
    </row>
    <row r="9" spans="1:4" x14ac:dyDescent="0.2">
      <c r="A9">
        <v>3</v>
      </c>
      <c r="B9" s="34" t="s">
        <v>6</v>
      </c>
      <c r="C9" s="3" t="s">
        <v>7</v>
      </c>
    </row>
    <row r="10" spans="1:4" x14ac:dyDescent="0.2">
      <c r="A10">
        <v>3</v>
      </c>
      <c r="B10" s="34" t="s">
        <v>8</v>
      </c>
      <c r="C10" s="3" t="s">
        <v>9</v>
      </c>
    </row>
    <row r="11" spans="1:4" x14ac:dyDescent="0.2">
      <c r="A11">
        <v>1</v>
      </c>
      <c r="B11" s="34" t="s">
        <v>10</v>
      </c>
      <c r="C11" s="3" t="s">
        <v>11</v>
      </c>
    </row>
    <row r="12" spans="1:4" x14ac:dyDescent="0.2">
      <c r="A12">
        <v>2</v>
      </c>
      <c r="B12" s="34" t="s">
        <v>12</v>
      </c>
      <c r="C12" s="3" t="s">
        <v>13</v>
      </c>
    </row>
    <row r="13" spans="1:4" x14ac:dyDescent="0.2">
      <c r="A13">
        <v>1</v>
      </c>
      <c r="B13" s="34" t="s">
        <v>14</v>
      </c>
      <c r="C13" s="3" t="s">
        <v>15</v>
      </c>
    </row>
    <row r="14" spans="1:4" x14ac:dyDescent="0.2">
      <c r="A14">
        <v>3</v>
      </c>
      <c r="B14" s="34" t="s">
        <v>16</v>
      </c>
      <c r="C14" s="3" t="s">
        <v>17</v>
      </c>
    </row>
    <row r="15" spans="1:4" x14ac:dyDescent="0.2">
      <c r="A15">
        <v>4</v>
      </c>
      <c r="B15" s="34" t="s">
        <v>18</v>
      </c>
      <c r="C15" s="3" t="s">
        <v>68</v>
      </c>
    </row>
    <row r="16" spans="1:4" x14ac:dyDescent="0.2">
      <c r="A16">
        <v>3</v>
      </c>
      <c r="B16" s="34" t="s">
        <v>19</v>
      </c>
      <c r="C16" s="3" t="s">
        <v>20</v>
      </c>
    </row>
    <row r="17" spans="1:3" ht="12" customHeight="1" x14ac:dyDescent="0.2">
      <c r="A17">
        <v>1</v>
      </c>
      <c r="B17" s="34" t="s">
        <v>21</v>
      </c>
      <c r="C17" s="3" t="s">
        <v>71</v>
      </c>
    </row>
    <row r="18" spans="1:3" ht="12" customHeight="1" x14ac:dyDescent="0.2">
      <c r="B18" s="34" t="s">
        <v>109</v>
      </c>
      <c r="C18" s="3" t="s">
        <v>112</v>
      </c>
    </row>
    <row r="19" spans="1:3" x14ac:dyDescent="0.2">
      <c r="A19">
        <v>4</v>
      </c>
      <c r="B19" s="34" t="s">
        <v>26</v>
      </c>
      <c r="C19" s="3" t="s">
        <v>62</v>
      </c>
    </row>
    <row r="20" spans="1:3" x14ac:dyDescent="0.2">
      <c r="A20">
        <v>4</v>
      </c>
      <c r="B20" s="34" t="s">
        <v>22</v>
      </c>
      <c r="C20" s="3" t="s">
        <v>23</v>
      </c>
    </row>
    <row r="21" spans="1:3" x14ac:dyDescent="0.2">
      <c r="A21">
        <v>3</v>
      </c>
      <c r="B21" s="34" t="s">
        <v>24</v>
      </c>
      <c r="C21" s="3" t="s">
        <v>25</v>
      </c>
    </row>
    <row r="22" spans="1:3" x14ac:dyDescent="0.2">
      <c r="A22">
        <v>2</v>
      </c>
      <c r="B22" s="34" t="s">
        <v>27</v>
      </c>
      <c r="C22" s="3" t="s">
        <v>28</v>
      </c>
    </row>
    <row r="23" spans="1:3" x14ac:dyDescent="0.2">
      <c r="A23">
        <v>2</v>
      </c>
      <c r="B23" s="34" t="s">
        <v>29</v>
      </c>
      <c r="C23" s="3" t="s">
        <v>30</v>
      </c>
    </row>
    <row r="24" spans="1:3" ht="12.75" customHeight="1" x14ac:dyDescent="0.2">
      <c r="A24">
        <v>3</v>
      </c>
      <c r="B24" s="34" t="s">
        <v>118</v>
      </c>
      <c r="C24" s="3" t="s">
        <v>63</v>
      </c>
    </row>
    <row r="25" spans="1:3" x14ac:dyDescent="0.2">
      <c r="A25">
        <v>3</v>
      </c>
      <c r="B25" s="34" t="s">
        <v>110</v>
      </c>
      <c r="C25" s="3" t="s">
        <v>32</v>
      </c>
    </row>
    <row r="26" spans="1:3" x14ac:dyDescent="0.2">
      <c r="A26">
        <v>1</v>
      </c>
      <c r="B26" s="34" t="s">
        <v>33</v>
      </c>
      <c r="C26" s="3" t="s">
        <v>34</v>
      </c>
    </row>
    <row r="27" spans="1:3" x14ac:dyDescent="0.2">
      <c r="A27">
        <v>3</v>
      </c>
      <c r="B27" s="34" t="s">
        <v>35</v>
      </c>
      <c r="C27" s="3" t="s">
        <v>36</v>
      </c>
    </row>
    <row r="28" spans="1:3" x14ac:dyDescent="0.2">
      <c r="A28">
        <v>3</v>
      </c>
      <c r="B28" s="34" t="s">
        <v>37</v>
      </c>
      <c r="C28" s="3" t="s">
        <v>38</v>
      </c>
    </row>
    <row r="29" spans="1:3" x14ac:dyDescent="0.2">
      <c r="A29">
        <v>3</v>
      </c>
      <c r="B29" s="34" t="s">
        <v>39</v>
      </c>
      <c r="C29" s="3" t="s">
        <v>40</v>
      </c>
    </row>
    <row r="30" spans="1:3" x14ac:dyDescent="0.2">
      <c r="A30">
        <v>1</v>
      </c>
      <c r="B30" s="34" t="s">
        <v>46</v>
      </c>
      <c r="C30" s="3" t="s">
        <v>70</v>
      </c>
    </row>
    <row r="31" spans="1:3" x14ac:dyDescent="0.2">
      <c r="A31">
        <v>4</v>
      </c>
      <c r="B31" s="34" t="s">
        <v>41</v>
      </c>
      <c r="C31" s="3" t="s">
        <v>117</v>
      </c>
    </row>
    <row r="32" spans="1:3" x14ac:dyDescent="0.2">
      <c r="A32">
        <v>4</v>
      </c>
      <c r="B32" s="34" t="s">
        <v>42</v>
      </c>
      <c r="C32" s="3" t="s">
        <v>69</v>
      </c>
    </row>
    <row r="33" spans="1:4" x14ac:dyDescent="0.2">
      <c r="A33">
        <v>1</v>
      </c>
      <c r="B33" s="34" t="s">
        <v>43</v>
      </c>
      <c r="C33" s="3" t="s">
        <v>44</v>
      </c>
    </row>
    <row r="34" spans="1:4" x14ac:dyDescent="0.2">
      <c r="A34">
        <v>1</v>
      </c>
      <c r="B34" s="34" t="s">
        <v>45</v>
      </c>
      <c r="C34" s="3" t="s">
        <v>122</v>
      </c>
    </row>
    <row r="35" spans="1:4" x14ac:dyDescent="0.2">
      <c r="A35">
        <v>4</v>
      </c>
      <c r="B35" s="34" t="s">
        <v>47</v>
      </c>
      <c r="C35" s="3" t="s">
        <v>48</v>
      </c>
    </row>
    <row r="37" spans="1:4" x14ac:dyDescent="0.2">
      <c r="B37" s="4"/>
      <c r="C37" s="4" t="s">
        <v>49</v>
      </c>
      <c r="D37" s="12">
        <f>SUM(D36:D36)</f>
        <v>0</v>
      </c>
    </row>
    <row r="38" spans="1:4" ht="14.25" customHeight="1" x14ac:dyDescent="0.2">
      <c r="B38" s="4"/>
      <c r="C38" s="4"/>
      <c r="D38" s="12"/>
    </row>
    <row r="39" spans="1:4" ht="16.5" customHeight="1" x14ac:dyDescent="0.2">
      <c r="B39" s="15" t="s">
        <v>50</v>
      </c>
    </row>
    <row r="40" spans="1:4" ht="12" customHeight="1" x14ac:dyDescent="0.2">
      <c r="B40" s="430" t="s">
        <v>324</v>
      </c>
      <c r="C40" s="431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workbookViewId="0">
      <pane xSplit="1" ySplit="5" topLeftCell="B21" activePane="bottomRight" state="frozen"/>
      <selection activeCell="B30" sqref="B30"/>
      <selection pane="topRight" activeCell="B30" sqref="B30"/>
      <selection pane="bottomLeft" activeCell="B30" sqref="B30"/>
      <selection pane="bottomRight" activeCell="J8" sqref="J8"/>
    </sheetView>
  </sheetViews>
  <sheetFormatPr defaultColWidth="9.140625" defaultRowHeight="12.75" x14ac:dyDescent="0.2"/>
  <cols>
    <col min="1" max="1" width="40.28515625" style="329" customWidth="1"/>
    <col min="2" max="2" width="6.42578125" style="337" bestFit="1" customWidth="1"/>
    <col min="3" max="3" width="7.28515625" style="337" bestFit="1" customWidth="1"/>
    <col min="4" max="4" width="7.42578125" style="383" bestFit="1" customWidth="1"/>
    <col min="5" max="5" width="8.140625" style="383" bestFit="1" customWidth="1"/>
    <col min="6" max="6" width="8.140625" style="337" customWidth="1"/>
    <col min="7" max="7" width="6.5703125" style="383" customWidth="1"/>
    <col min="8" max="8" width="8.5703125" style="337" customWidth="1"/>
    <col min="9" max="9" width="8.140625" style="337" customWidth="1"/>
    <col min="10" max="10" width="11.140625" style="372" customWidth="1"/>
    <col min="11" max="11" width="4.28515625" style="329" customWidth="1"/>
    <col min="12" max="12" width="9.5703125" style="329" bestFit="1" customWidth="1"/>
    <col min="13" max="16384" width="9.140625" style="329"/>
  </cols>
  <sheetData>
    <row r="1" spans="1:14" ht="15" customHeight="1" x14ac:dyDescent="0.2">
      <c r="A1" s="441" t="s">
        <v>296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4" ht="15" customHeight="1" x14ac:dyDescent="0.2">
      <c r="A2" s="441" t="s">
        <v>72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4" ht="15" customHeight="1" x14ac:dyDescent="0.2">
      <c r="A3" s="441" t="s">
        <v>335</v>
      </c>
      <c r="B3" s="441"/>
      <c r="C3" s="441"/>
      <c r="D3" s="441"/>
      <c r="E3" s="441"/>
      <c r="F3" s="441"/>
      <c r="G3" s="441"/>
      <c r="H3" s="441"/>
      <c r="I3" s="441"/>
      <c r="J3" s="441"/>
    </row>
    <row r="4" spans="1:14" ht="15" customHeight="1" x14ac:dyDescent="0.2">
      <c r="J4" s="412" t="s">
        <v>283</v>
      </c>
    </row>
    <row r="5" spans="1:14" ht="63.75" x14ac:dyDescent="0.2">
      <c r="A5" s="331" t="s">
        <v>180</v>
      </c>
      <c r="B5" s="338" t="s">
        <v>181</v>
      </c>
      <c r="C5" s="338" t="s">
        <v>182</v>
      </c>
      <c r="D5" s="384" t="s">
        <v>183</v>
      </c>
      <c r="E5" s="384" t="s">
        <v>184</v>
      </c>
      <c r="F5" s="339" t="s">
        <v>273</v>
      </c>
      <c r="G5" s="384" t="s">
        <v>185</v>
      </c>
      <c r="H5" s="339" t="s">
        <v>186</v>
      </c>
      <c r="I5" s="332" t="s">
        <v>274</v>
      </c>
      <c r="J5" s="413" t="s">
        <v>305</v>
      </c>
      <c r="K5" s="333"/>
    </row>
    <row r="6" spans="1:14" ht="15" customHeight="1" x14ac:dyDescent="0.2">
      <c r="A6" s="334" t="s">
        <v>187</v>
      </c>
      <c r="B6" s="401">
        <v>677</v>
      </c>
      <c r="C6" s="401">
        <v>496</v>
      </c>
      <c r="D6" s="402">
        <v>0.73264401800000001</v>
      </c>
      <c r="E6" s="423">
        <v>0.71687000000000001</v>
      </c>
      <c r="F6" s="401">
        <v>485.32</v>
      </c>
      <c r="G6" s="402">
        <v>0.72244552982848631</v>
      </c>
      <c r="H6" s="401">
        <v>489.1</v>
      </c>
      <c r="I6" s="401">
        <v>6.8999999999999773</v>
      </c>
      <c r="J6" s="414">
        <f t="shared" ref="J6:J27" si="0">I6*$J$47</f>
        <v>68999.999999999767</v>
      </c>
      <c r="M6" s="330"/>
      <c r="N6" s="330"/>
    </row>
    <row r="7" spans="1:14" ht="15" customHeight="1" x14ac:dyDescent="0.2">
      <c r="A7" s="334" t="s">
        <v>188</v>
      </c>
      <c r="B7" s="401">
        <v>2056</v>
      </c>
      <c r="C7" s="401">
        <v>1326</v>
      </c>
      <c r="D7" s="402">
        <v>0.64494163400000004</v>
      </c>
      <c r="E7" s="423">
        <v>0.64785999999999999</v>
      </c>
      <c r="F7" s="401">
        <v>1332</v>
      </c>
      <c r="G7" s="402">
        <v>0.65411738071314829</v>
      </c>
      <c r="H7" s="401">
        <v>1344.87</v>
      </c>
      <c r="I7" s="401">
        <v>0</v>
      </c>
      <c r="J7" s="414">
        <f t="shared" si="0"/>
        <v>0</v>
      </c>
      <c r="M7" s="330"/>
      <c r="N7" s="330"/>
    </row>
    <row r="8" spans="1:14" ht="15" customHeight="1" x14ac:dyDescent="0.2">
      <c r="A8" s="334" t="s">
        <v>189</v>
      </c>
      <c r="B8" s="401">
        <v>919</v>
      </c>
      <c r="C8" s="401">
        <v>655</v>
      </c>
      <c r="D8" s="402">
        <v>0.71273123000000005</v>
      </c>
      <c r="E8" s="423">
        <v>0.64907000000000004</v>
      </c>
      <c r="F8" s="401">
        <v>596.49</v>
      </c>
      <c r="G8" s="402">
        <v>0.65530760020119805</v>
      </c>
      <c r="H8" s="401">
        <v>602.23</v>
      </c>
      <c r="I8" s="401">
        <v>52.769999999999982</v>
      </c>
      <c r="J8" s="414">
        <f t="shared" si="0"/>
        <v>527699.99999999977</v>
      </c>
      <c r="M8" s="330"/>
      <c r="N8" s="330"/>
    </row>
    <row r="9" spans="1:14" ht="15" customHeight="1" x14ac:dyDescent="0.2">
      <c r="A9" s="334" t="s">
        <v>7</v>
      </c>
      <c r="B9" s="401">
        <v>858</v>
      </c>
      <c r="C9" s="401">
        <v>562</v>
      </c>
      <c r="D9" s="402">
        <v>0.65501165500000003</v>
      </c>
      <c r="E9" s="423">
        <v>0.66961000000000004</v>
      </c>
      <c r="F9" s="401">
        <v>574.52</v>
      </c>
      <c r="G9" s="402">
        <v>0.67397506604221569</v>
      </c>
      <c r="H9" s="401">
        <v>578.27</v>
      </c>
      <c r="I9" s="401">
        <v>0</v>
      </c>
      <c r="J9" s="414">
        <f t="shared" si="0"/>
        <v>0</v>
      </c>
      <c r="M9" s="330"/>
      <c r="N9" s="330"/>
    </row>
    <row r="10" spans="1:14" ht="15" customHeight="1" x14ac:dyDescent="0.2">
      <c r="A10" s="334" t="s">
        <v>9</v>
      </c>
      <c r="B10" s="401">
        <v>2898</v>
      </c>
      <c r="C10" s="401">
        <v>1826</v>
      </c>
      <c r="D10" s="402">
        <v>0.63008971700000005</v>
      </c>
      <c r="E10" s="423">
        <v>0.65161999999999998</v>
      </c>
      <c r="F10" s="401">
        <v>1888.4</v>
      </c>
      <c r="G10" s="402">
        <v>0.65566438283727413</v>
      </c>
      <c r="H10" s="401">
        <v>1900.12</v>
      </c>
      <c r="I10" s="401">
        <v>0</v>
      </c>
      <c r="J10" s="414">
        <f t="shared" si="0"/>
        <v>0</v>
      </c>
      <c r="M10" s="330"/>
      <c r="N10" s="330"/>
    </row>
    <row r="11" spans="1:14" ht="15" customHeight="1" x14ac:dyDescent="0.2">
      <c r="A11" s="334" t="s">
        <v>190</v>
      </c>
      <c r="B11" s="401">
        <v>1172</v>
      </c>
      <c r="C11" s="401">
        <v>811</v>
      </c>
      <c r="D11" s="402">
        <v>0.69197952200000001</v>
      </c>
      <c r="E11" s="423">
        <v>0.70047000000000004</v>
      </c>
      <c r="F11" s="401">
        <v>820.95</v>
      </c>
      <c r="G11" s="402">
        <v>0.70512296844350653</v>
      </c>
      <c r="H11" s="401">
        <v>826.4</v>
      </c>
      <c r="I11" s="401">
        <v>0</v>
      </c>
      <c r="J11" s="414">
        <f t="shared" si="0"/>
        <v>0</v>
      </c>
      <c r="M11" s="330"/>
      <c r="N11" s="330"/>
    </row>
    <row r="12" spans="1:14" ht="15" customHeight="1" x14ac:dyDescent="0.2">
      <c r="A12" s="241" t="s">
        <v>219</v>
      </c>
      <c r="B12" s="401">
        <v>193</v>
      </c>
      <c r="C12" s="401">
        <v>130</v>
      </c>
      <c r="D12" s="402">
        <v>0.67357513000000002</v>
      </c>
      <c r="E12" s="423">
        <v>0.59885999999999995</v>
      </c>
      <c r="F12" s="401">
        <v>115.58</v>
      </c>
      <c r="G12" s="402">
        <v>0.60934254711358915</v>
      </c>
      <c r="H12" s="401">
        <v>117.6</v>
      </c>
      <c r="I12" s="401">
        <v>12.400000000000006</v>
      </c>
      <c r="J12" s="414">
        <f t="shared" si="0"/>
        <v>124000.00000000006</v>
      </c>
      <c r="M12" s="330"/>
      <c r="N12" s="330"/>
    </row>
    <row r="13" spans="1:14" ht="15" customHeight="1" x14ac:dyDescent="0.2">
      <c r="A13" s="334" t="s">
        <v>139</v>
      </c>
      <c r="B13" s="401">
        <v>1576</v>
      </c>
      <c r="C13" s="401">
        <v>1036</v>
      </c>
      <c r="D13" s="402">
        <v>0.65736040600000001</v>
      </c>
      <c r="E13" s="423">
        <v>0.66581999999999997</v>
      </c>
      <c r="F13" s="401">
        <v>1049.33</v>
      </c>
      <c r="G13" s="402">
        <v>0.67174884931786782</v>
      </c>
      <c r="H13" s="401">
        <v>1058.68</v>
      </c>
      <c r="I13" s="401">
        <v>0</v>
      </c>
      <c r="J13" s="414">
        <f t="shared" si="0"/>
        <v>0</v>
      </c>
      <c r="M13" s="330"/>
      <c r="N13" s="330"/>
    </row>
    <row r="14" spans="1:14" ht="15" customHeight="1" x14ac:dyDescent="0.2">
      <c r="A14" s="334" t="s">
        <v>191</v>
      </c>
      <c r="B14" s="401">
        <v>1107</v>
      </c>
      <c r="C14" s="401">
        <v>722</v>
      </c>
      <c r="D14" s="402">
        <v>0.65221318900000003</v>
      </c>
      <c r="E14" s="423">
        <v>0.64868000000000003</v>
      </c>
      <c r="F14" s="401">
        <v>718.09</v>
      </c>
      <c r="G14" s="402">
        <v>0.65278349447784134</v>
      </c>
      <c r="H14" s="401">
        <v>722.63</v>
      </c>
      <c r="I14" s="401">
        <v>0</v>
      </c>
      <c r="J14" s="414">
        <f t="shared" si="0"/>
        <v>0</v>
      </c>
      <c r="M14" s="330"/>
      <c r="N14" s="330"/>
    </row>
    <row r="15" spans="1:14" ht="15" customHeight="1" x14ac:dyDescent="0.2">
      <c r="A15" s="334" t="s">
        <v>17</v>
      </c>
      <c r="B15" s="401">
        <v>1187</v>
      </c>
      <c r="C15" s="401">
        <v>778</v>
      </c>
      <c r="D15" s="402">
        <v>0.65543386699999995</v>
      </c>
      <c r="E15" s="423">
        <v>0.67691999999999997</v>
      </c>
      <c r="F15" s="401">
        <v>803.5</v>
      </c>
      <c r="G15" s="402">
        <v>0.68221443392805359</v>
      </c>
      <c r="H15" s="401">
        <v>809.79</v>
      </c>
      <c r="I15" s="401">
        <v>0</v>
      </c>
      <c r="J15" s="414">
        <f t="shared" si="0"/>
        <v>0</v>
      </c>
      <c r="M15" s="330"/>
      <c r="N15" s="330"/>
    </row>
    <row r="16" spans="1:14" ht="15" customHeight="1" x14ac:dyDescent="0.2">
      <c r="A16" s="334" t="s">
        <v>192</v>
      </c>
      <c r="B16" s="401">
        <v>2197</v>
      </c>
      <c r="C16" s="401">
        <v>1308</v>
      </c>
      <c r="D16" s="402">
        <v>0.59535730499999995</v>
      </c>
      <c r="E16" s="423">
        <v>0.60897999999999997</v>
      </c>
      <c r="F16" s="401">
        <v>1337.92</v>
      </c>
      <c r="G16" s="402">
        <v>0.61432809970046554</v>
      </c>
      <c r="H16" s="401">
        <v>1349.68</v>
      </c>
      <c r="I16" s="401">
        <v>0</v>
      </c>
      <c r="J16" s="414">
        <f t="shared" si="0"/>
        <v>0</v>
      </c>
      <c r="M16" s="330"/>
      <c r="N16" s="330"/>
    </row>
    <row r="17" spans="1:14" ht="15" customHeight="1" x14ac:dyDescent="0.2">
      <c r="A17" s="335" t="s">
        <v>298</v>
      </c>
      <c r="B17" s="404">
        <f>B18+B19+B20+B21+B22</f>
        <v>1323</v>
      </c>
      <c r="C17" s="404">
        <f>C18+C19+C20+C21+C22</f>
        <v>915</v>
      </c>
      <c r="D17" s="405">
        <f>C17/B17</f>
        <v>0.69160997732426299</v>
      </c>
      <c r="E17" s="405">
        <f>F17/B17</f>
        <v>0.70008314436885866</v>
      </c>
      <c r="F17" s="404">
        <f>F18+F19+F20+F21+F22</f>
        <v>926.21</v>
      </c>
      <c r="G17" s="405">
        <f>H17/B17</f>
        <v>0.70599395313681024</v>
      </c>
      <c r="H17" s="404">
        <f>H18+H19+H20+H21+H22</f>
        <v>934.03</v>
      </c>
      <c r="I17" s="404">
        <f>I18+I19+I20+I21+I22</f>
        <v>33.160000000000025</v>
      </c>
      <c r="J17" s="415">
        <f>I17*$J$47</f>
        <v>331600.00000000023</v>
      </c>
      <c r="M17" s="330"/>
      <c r="N17" s="330"/>
    </row>
    <row r="18" spans="1:14" ht="15" customHeight="1" x14ac:dyDescent="0.2">
      <c r="A18" s="334" t="s">
        <v>195</v>
      </c>
      <c r="B18" s="401">
        <v>384</v>
      </c>
      <c r="C18" s="401">
        <v>290</v>
      </c>
      <c r="D18" s="402">
        <v>0.75520833300000001</v>
      </c>
      <c r="E18" s="423">
        <v>0.68876000000000004</v>
      </c>
      <c r="F18" s="401">
        <v>264.49</v>
      </c>
      <c r="G18" s="402">
        <v>0.69438735467798141</v>
      </c>
      <c r="H18" s="401">
        <v>266.64</v>
      </c>
      <c r="I18" s="401">
        <v>23.360000000000014</v>
      </c>
      <c r="J18" s="414">
        <f t="shared" si="0"/>
        <v>233600.00000000015</v>
      </c>
      <c r="L18" s="400"/>
      <c r="M18" s="330"/>
      <c r="N18" s="330"/>
    </row>
    <row r="19" spans="1:14" ht="15" customHeight="1" x14ac:dyDescent="0.2">
      <c r="A19" s="334" t="s">
        <v>196</v>
      </c>
      <c r="B19" s="401">
        <v>355</v>
      </c>
      <c r="C19" s="401">
        <v>212</v>
      </c>
      <c r="D19" s="402">
        <v>0.597183099</v>
      </c>
      <c r="E19" s="423">
        <v>0.70052999999999999</v>
      </c>
      <c r="F19" s="401">
        <v>248.69</v>
      </c>
      <c r="G19" s="402">
        <v>0.70609025877051013</v>
      </c>
      <c r="H19" s="401">
        <v>250.66</v>
      </c>
      <c r="I19" s="401">
        <v>0</v>
      </c>
      <c r="J19" s="414">
        <f t="shared" si="0"/>
        <v>0</v>
      </c>
      <c r="M19" s="330"/>
      <c r="N19" s="330"/>
    </row>
    <row r="20" spans="1:14" ht="15" customHeight="1" x14ac:dyDescent="0.2">
      <c r="A20" s="334" t="s">
        <v>197</v>
      </c>
      <c r="B20" s="401">
        <v>307</v>
      </c>
      <c r="C20" s="401">
        <v>203</v>
      </c>
      <c r="D20" s="402">
        <v>0.66123778499999997</v>
      </c>
      <c r="E20" s="423">
        <v>0.69494</v>
      </c>
      <c r="F20" s="401">
        <v>213.35</v>
      </c>
      <c r="G20" s="402">
        <v>0.70084434892367864</v>
      </c>
      <c r="H20" s="401">
        <v>215.16</v>
      </c>
      <c r="I20" s="401">
        <v>0</v>
      </c>
      <c r="J20" s="414">
        <f t="shared" si="0"/>
        <v>0</v>
      </c>
      <c r="M20" s="330"/>
      <c r="N20" s="330"/>
    </row>
    <row r="21" spans="1:14" ht="15" customHeight="1" x14ac:dyDescent="0.2">
      <c r="A21" s="334" t="s">
        <v>198</v>
      </c>
      <c r="B21" s="401">
        <v>69</v>
      </c>
      <c r="C21" s="401">
        <v>47</v>
      </c>
      <c r="D21" s="402">
        <v>0.68115941999999996</v>
      </c>
      <c r="E21" s="423">
        <v>0.69464999999999999</v>
      </c>
      <c r="F21" s="401">
        <v>47.93</v>
      </c>
      <c r="G21" s="402">
        <v>0.70103634414304494</v>
      </c>
      <c r="H21" s="401">
        <v>48.37</v>
      </c>
      <c r="I21" s="401">
        <v>0</v>
      </c>
      <c r="J21" s="414">
        <f t="shared" si="0"/>
        <v>0</v>
      </c>
      <c r="M21" s="330"/>
      <c r="N21" s="330"/>
    </row>
    <row r="22" spans="1:14" ht="15" customHeight="1" x14ac:dyDescent="0.2">
      <c r="A22" s="334" t="s">
        <v>199</v>
      </c>
      <c r="B22" s="401">
        <v>208</v>
      </c>
      <c r="C22" s="401">
        <v>163</v>
      </c>
      <c r="D22" s="402">
        <v>0.78365384599999999</v>
      </c>
      <c r="E22" s="423">
        <v>0.72957000000000005</v>
      </c>
      <c r="F22" s="401">
        <v>151.75</v>
      </c>
      <c r="G22" s="402">
        <v>0.73651843052985122</v>
      </c>
      <c r="H22" s="401">
        <v>153.19999999999999</v>
      </c>
      <c r="I22" s="401">
        <v>9.8000000000000114</v>
      </c>
      <c r="J22" s="414">
        <f t="shared" si="0"/>
        <v>98000.000000000116</v>
      </c>
      <c r="M22" s="330"/>
      <c r="N22" s="330"/>
    </row>
    <row r="23" spans="1:14" ht="15" customHeight="1" x14ac:dyDescent="0.2">
      <c r="A23" s="334" t="s">
        <v>220</v>
      </c>
      <c r="B23" s="401">
        <v>540</v>
      </c>
      <c r="C23" s="401">
        <v>353</v>
      </c>
      <c r="D23" s="402">
        <v>0.653703704</v>
      </c>
      <c r="E23" s="423">
        <v>0.68076000000000003</v>
      </c>
      <c r="F23" s="401">
        <v>367.61</v>
      </c>
      <c r="G23" s="402">
        <v>0.68621574365950211</v>
      </c>
      <c r="H23" s="401">
        <v>370.56</v>
      </c>
      <c r="I23" s="401">
        <v>0</v>
      </c>
      <c r="J23" s="414">
        <f t="shared" si="0"/>
        <v>0</v>
      </c>
      <c r="M23" s="330"/>
      <c r="N23" s="330"/>
    </row>
    <row r="24" spans="1:14" ht="15" customHeight="1" x14ac:dyDescent="0.2">
      <c r="A24" s="334" t="s">
        <v>194</v>
      </c>
      <c r="B24" s="401">
        <v>1422</v>
      </c>
      <c r="C24" s="401">
        <v>953</v>
      </c>
      <c r="D24" s="402">
        <v>0.67018284100000003</v>
      </c>
      <c r="E24" s="423">
        <v>0.66495000000000004</v>
      </c>
      <c r="F24" s="401">
        <v>945.55</v>
      </c>
      <c r="G24" s="402">
        <v>0.66927540020781073</v>
      </c>
      <c r="H24" s="401">
        <v>951.71</v>
      </c>
      <c r="I24" s="401">
        <v>1.2899999999999636</v>
      </c>
      <c r="J24" s="414">
        <f t="shared" si="0"/>
        <v>12899.999999999636</v>
      </c>
      <c r="M24" s="330"/>
      <c r="N24" s="330"/>
    </row>
    <row r="25" spans="1:14" ht="15" customHeight="1" x14ac:dyDescent="0.2">
      <c r="A25" s="334" t="s">
        <v>221</v>
      </c>
      <c r="B25" s="401">
        <v>768</v>
      </c>
      <c r="C25" s="401">
        <v>573</v>
      </c>
      <c r="D25" s="402">
        <v>0.74609375</v>
      </c>
      <c r="E25" s="423">
        <v>0.67286999999999997</v>
      </c>
      <c r="F25" s="401">
        <v>516.76</v>
      </c>
      <c r="G25" s="402">
        <v>0.68510306229468343</v>
      </c>
      <c r="H25" s="401">
        <v>526.16</v>
      </c>
      <c r="I25" s="401">
        <v>46.840000000000032</v>
      </c>
      <c r="J25" s="414">
        <f t="shared" si="0"/>
        <v>468400.00000000029</v>
      </c>
      <c r="M25" s="330"/>
      <c r="N25" s="330"/>
    </row>
    <row r="26" spans="1:14" ht="15" customHeight="1" x14ac:dyDescent="0.2">
      <c r="A26" s="334" t="s">
        <v>132</v>
      </c>
      <c r="B26" s="401">
        <v>2895</v>
      </c>
      <c r="C26" s="401">
        <v>1807</v>
      </c>
      <c r="D26" s="402">
        <v>0.62417962000000005</v>
      </c>
      <c r="E26" s="423">
        <v>0.65115999999999996</v>
      </c>
      <c r="F26" s="401">
        <v>1885.1</v>
      </c>
      <c r="G26" s="402">
        <v>0.65605305873751296</v>
      </c>
      <c r="H26" s="401">
        <v>1899.27</v>
      </c>
      <c r="I26" s="401">
        <v>0</v>
      </c>
      <c r="J26" s="414">
        <f t="shared" si="0"/>
        <v>0</v>
      </c>
      <c r="M26" s="330"/>
      <c r="N26" s="330"/>
    </row>
    <row r="27" spans="1:14" ht="15" customHeight="1" x14ac:dyDescent="0.2">
      <c r="A27" s="334" t="s">
        <v>133</v>
      </c>
      <c r="B27" s="401">
        <v>1422</v>
      </c>
      <c r="C27" s="401">
        <v>917</v>
      </c>
      <c r="D27" s="402">
        <v>0.64486638500000004</v>
      </c>
      <c r="E27" s="423">
        <v>0.62385999999999997</v>
      </c>
      <c r="F27" s="401">
        <v>887.13</v>
      </c>
      <c r="G27" s="402">
        <v>0.62821699801384723</v>
      </c>
      <c r="H27" s="401">
        <v>893.32</v>
      </c>
      <c r="I27" s="401">
        <v>23.67999999999995</v>
      </c>
      <c r="J27" s="414">
        <f t="shared" si="0"/>
        <v>236799.99999999951</v>
      </c>
      <c r="M27" s="330"/>
      <c r="N27" s="330"/>
    </row>
    <row r="28" spans="1:14" ht="15" customHeight="1" x14ac:dyDescent="0.2">
      <c r="A28" s="334" t="s">
        <v>200</v>
      </c>
      <c r="B28" s="401">
        <v>668</v>
      </c>
      <c r="C28" s="401">
        <v>458</v>
      </c>
      <c r="D28" s="402">
        <v>0.68562874299999998</v>
      </c>
      <c r="E28" s="423">
        <v>0.6794</v>
      </c>
      <c r="F28" s="401">
        <v>453.84</v>
      </c>
      <c r="G28" s="402">
        <v>0.6834860265090954</v>
      </c>
      <c r="H28" s="401">
        <v>456.57</v>
      </c>
      <c r="I28" s="401">
        <v>1.4300000000000068</v>
      </c>
      <c r="J28" s="414">
        <f t="shared" ref="J28:J44" si="1">I28*$J$47</f>
        <v>14300.000000000069</v>
      </c>
      <c r="M28" s="330"/>
      <c r="N28" s="330"/>
    </row>
    <row r="29" spans="1:14" ht="15" customHeight="1" x14ac:dyDescent="0.2">
      <c r="A29" s="334" t="s">
        <v>201</v>
      </c>
      <c r="B29" s="401">
        <v>295</v>
      </c>
      <c r="C29" s="401">
        <v>186</v>
      </c>
      <c r="D29" s="402">
        <v>0.63050847499999996</v>
      </c>
      <c r="E29" s="423">
        <v>0.65124000000000004</v>
      </c>
      <c r="F29" s="401">
        <v>192.12</v>
      </c>
      <c r="G29" s="402">
        <v>0.65904534856850372</v>
      </c>
      <c r="H29" s="401">
        <v>194.42</v>
      </c>
      <c r="I29" s="401">
        <v>0</v>
      </c>
      <c r="J29" s="414">
        <f t="shared" si="1"/>
        <v>0</v>
      </c>
      <c r="M29" s="330"/>
      <c r="N29" s="330"/>
    </row>
    <row r="30" spans="1:14" ht="15" customHeight="1" x14ac:dyDescent="0.2">
      <c r="A30" s="334" t="s">
        <v>202</v>
      </c>
      <c r="B30" s="401">
        <v>376</v>
      </c>
      <c r="C30" s="401">
        <v>228</v>
      </c>
      <c r="D30" s="402">
        <v>0.60638297900000004</v>
      </c>
      <c r="E30" s="423">
        <v>0.62966</v>
      </c>
      <c r="F30" s="401">
        <v>236.75</v>
      </c>
      <c r="G30" s="402">
        <v>0.63839050313076418</v>
      </c>
      <c r="H30" s="401">
        <v>240.03</v>
      </c>
      <c r="I30" s="401">
        <v>0</v>
      </c>
      <c r="J30" s="414">
        <f t="shared" si="1"/>
        <v>0</v>
      </c>
      <c r="M30" s="330"/>
      <c r="N30" s="330"/>
    </row>
    <row r="31" spans="1:14" ht="15" customHeight="1" x14ac:dyDescent="0.2">
      <c r="A31" s="334" t="s">
        <v>36</v>
      </c>
      <c r="B31" s="401">
        <v>1034</v>
      </c>
      <c r="C31" s="401">
        <v>740</v>
      </c>
      <c r="D31" s="402">
        <v>0.71566731100000003</v>
      </c>
      <c r="E31" s="423">
        <v>0.68925000000000003</v>
      </c>
      <c r="F31" s="401">
        <v>712.68</v>
      </c>
      <c r="G31" s="402">
        <v>0.69358923767724057</v>
      </c>
      <c r="H31" s="401">
        <v>717.17</v>
      </c>
      <c r="I31" s="401">
        <v>22.830000000000041</v>
      </c>
      <c r="J31" s="414">
        <f t="shared" si="1"/>
        <v>228300.00000000041</v>
      </c>
      <c r="M31" s="330"/>
      <c r="N31" s="330"/>
    </row>
    <row r="32" spans="1:14" ht="15" customHeight="1" x14ac:dyDescent="0.2">
      <c r="A32" s="334" t="s">
        <v>131</v>
      </c>
      <c r="B32" s="401">
        <v>810</v>
      </c>
      <c r="C32" s="401">
        <v>544</v>
      </c>
      <c r="D32" s="402">
        <v>0.67160493799999998</v>
      </c>
      <c r="E32" s="423">
        <v>0.65876000000000001</v>
      </c>
      <c r="F32" s="401">
        <v>533.6</v>
      </c>
      <c r="G32" s="402">
        <v>0.66411431822704148</v>
      </c>
      <c r="H32" s="401">
        <v>537.92999999999995</v>
      </c>
      <c r="I32" s="401">
        <v>6.07000000000005</v>
      </c>
      <c r="J32" s="414">
        <f t="shared" si="1"/>
        <v>60700.000000000502</v>
      </c>
      <c r="M32" s="330"/>
      <c r="N32" s="330"/>
    </row>
    <row r="33" spans="1:14" ht="15" customHeight="1" x14ac:dyDescent="0.2">
      <c r="A33" s="334" t="s">
        <v>203</v>
      </c>
      <c r="B33" s="401">
        <v>1466</v>
      </c>
      <c r="C33" s="401">
        <v>934</v>
      </c>
      <c r="D33" s="402">
        <v>0.63710777600000001</v>
      </c>
      <c r="E33" s="423">
        <v>0.64761000000000002</v>
      </c>
      <c r="F33" s="401">
        <v>949.39</v>
      </c>
      <c r="G33" s="402">
        <v>0.65229351928770063</v>
      </c>
      <c r="H33" s="401">
        <v>956.26</v>
      </c>
      <c r="I33" s="401">
        <v>0</v>
      </c>
      <c r="J33" s="414">
        <f t="shared" si="1"/>
        <v>0</v>
      </c>
      <c r="M33" s="330"/>
      <c r="N33" s="330"/>
    </row>
    <row r="34" spans="1:14" ht="15" customHeight="1" x14ac:dyDescent="0.2">
      <c r="A34" s="334" t="s">
        <v>204</v>
      </c>
      <c r="B34" s="401">
        <v>1366</v>
      </c>
      <c r="C34" s="401">
        <v>847</v>
      </c>
      <c r="D34" s="402">
        <v>0.62005856500000001</v>
      </c>
      <c r="E34" s="423">
        <v>0.66559999999999997</v>
      </c>
      <c r="F34" s="401">
        <v>909.21</v>
      </c>
      <c r="G34" s="402">
        <v>0.67017064396710135</v>
      </c>
      <c r="H34" s="401">
        <v>915.45</v>
      </c>
      <c r="I34" s="401">
        <v>0</v>
      </c>
      <c r="J34" s="414">
        <f t="shared" si="1"/>
        <v>0</v>
      </c>
      <c r="M34" s="330"/>
      <c r="N34" s="330"/>
    </row>
    <row r="35" spans="1:14" ht="15" customHeight="1" x14ac:dyDescent="0.2">
      <c r="A35" s="334" t="s">
        <v>70</v>
      </c>
      <c r="B35" s="401">
        <v>2043</v>
      </c>
      <c r="C35" s="401">
        <v>1279</v>
      </c>
      <c r="D35" s="402">
        <v>0.62604013700000005</v>
      </c>
      <c r="E35" s="423">
        <v>0.60802</v>
      </c>
      <c r="F35" s="401">
        <v>1242.19</v>
      </c>
      <c r="G35" s="402">
        <v>0.61418780412325014</v>
      </c>
      <c r="H35" s="401">
        <v>1254.79</v>
      </c>
      <c r="I35" s="401">
        <v>24.210000000000036</v>
      </c>
      <c r="J35" s="414">
        <f t="shared" si="1"/>
        <v>242100.00000000035</v>
      </c>
      <c r="M35" s="330"/>
      <c r="N35" s="330"/>
    </row>
    <row r="36" spans="1:14" ht="15" customHeight="1" x14ac:dyDescent="0.2">
      <c r="A36" s="334" t="s">
        <v>117</v>
      </c>
      <c r="B36" s="401">
        <v>967</v>
      </c>
      <c r="C36" s="401">
        <v>606</v>
      </c>
      <c r="D36" s="402">
        <v>0.62668045500000003</v>
      </c>
      <c r="E36" s="423">
        <v>0.66073999999999999</v>
      </c>
      <c r="F36" s="401">
        <v>638.92999999999995</v>
      </c>
      <c r="G36" s="402">
        <v>0.66671426812525258</v>
      </c>
      <c r="H36" s="401">
        <v>644.71</v>
      </c>
      <c r="I36" s="401">
        <v>0</v>
      </c>
      <c r="J36" s="414">
        <f t="shared" si="1"/>
        <v>0</v>
      </c>
      <c r="M36" s="330"/>
      <c r="N36" s="330"/>
    </row>
    <row r="37" spans="1:14" ht="15" customHeight="1" x14ac:dyDescent="0.2">
      <c r="A37" s="335" t="s">
        <v>205</v>
      </c>
      <c r="B37" s="404">
        <f>SUM(B6:B36)-B17</f>
        <v>32235</v>
      </c>
      <c r="C37" s="404">
        <f>SUM(C6:C36)-C17</f>
        <v>20990</v>
      </c>
      <c r="D37" s="405">
        <f>C37/B37</f>
        <v>0.65115557623700948</v>
      </c>
      <c r="E37" s="405">
        <f>F37/B37</f>
        <v>0.65516271133860704</v>
      </c>
      <c r="F37" s="404">
        <f>SUM(F6:F36)-F17</f>
        <v>21119.17</v>
      </c>
      <c r="G37" s="405">
        <f>H37/B37</f>
        <v>0.6605165193113075</v>
      </c>
      <c r="H37" s="404">
        <f>SUM(H6:H36)-H17</f>
        <v>21291.749999999996</v>
      </c>
      <c r="I37" s="404">
        <f>SUM(I6:I36)-I17</f>
        <v>231.5800000000001</v>
      </c>
      <c r="J37" s="415">
        <f>SUM(J6:J36)-J17</f>
        <v>2315800</v>
      </c>
      <c r="M37" s="330"/>
      <c r="N37" s="330"/>
    </row>
    <row r="38" spans="1:14" ht="15" customHeight="1" x14ac:dyDescent="0.2">
      <c r="A38" s="334" t="s">
        <v>206</v>
      </c>
      <c r="B38" s="401">
        <v>1210</v>
      </c>
      <c r="C38" s="401">
        <v>960</v>
      </c>
      <c r="D38" s="402">
        <v>0.79338842975206614</v>
      </c>
      <c r="E38" s="423">
        <v>0.82695242508841771</v>
      </c>
      <c r="F38" s="401">
        <v>1000.6124343569854</v>
      </c>
      <c r="G38" s="402">
        <v>0.83179370682466991</v>
      </c>
      <c r="H38" s="401">
        <v>1006.4703852578506</v>
      </c>
      <c r="I38" s="401">
        <v>0</v>
      </c>
      <c r="J38" s="414">
        <f t="shared" si="1"/>
        <v>0</v>
      </c>
      <c r="M38" s="330"/>
      <c r="N38" s="330"/>
    </row>
    <row r="39" spans="1:14" ht="15" customHeight="1" x14ac:dyDescent="0.2">
      <c r="A39" s="334" t="s">
        <v>140</v>
      </c>
      <c r="B39" s="401">
        <v>2100</v>
      </c>
      <c r="C39" s="401">
        <v>1607</v>
      </c>
      <c r="D39" s="402">
        <v>0.76523809523809527</v>
      </c>
      <c r="E39" s="423">
        <v>0.75990441082504301</v>
      </c>
      <c r="F39" s="401">
        <v>1595.7992627325903</v>
      </c>
      <c r="G39" s="402">
        <v>0.76662371089130887</v>
      </c>
      <c r="H39" s="401">
        <v>1609.9097928717486</v>
      </c>
      <c r="I39" s="401">
        <v>0</v>
      </c>
      <c r="J39" s="414">
        <f t="shared" si="1"/>
        <v>0</v>
      </c>
      <c r="M39" s="330"/>
      <c r="N39" s="330"/>
    </row>
    <row r="40" spans="1:14" ht="15" customHeight="1" x14ac:dyDescent="0.2">
      <c r="A40" s="334" t="s">
        <v>207</v>
      </c>
      <c r="B40" s="401">
        <v>3820</v>
      </c>
      <c r="C40" s="401">
        <v>3262</v>
      </c>
      <c r="D40" s="402">
        <v>0.85392670157068062</v>
      </c>
      <c r="E40" s="423">
        <v>0.84922650775500341</v>
      </c>
      <c r="F40" s="401">
        <v>3244.045259624113</v>
      </c>
      <c r="G40" s="402">
        <v>0.85618153266734298</v>
      </c>
      <c r="H40" s="401">
        <v>3270.6134547892502</v>
      </c>
      <c r="I40" s="401">
        <v>0</v>
      </c>
      <c r="J40" s="414">
        <f t="shared" si="1"/>
        <v>0</v>
      </c>
      <c r="M40" s="330"/>
      <c r="N40" s="330"/>
    </row>
    <row r="41" spans="1:14" ht="15" customHeight="1" x14ac:dyDescent="0.2">
      <c r="A41" s="334" t="s">
        <v>208</v>
      </c>
      <c r="B41" s="401">
        <v>1144</v>
      </c>
      <c r="C41" s="401">
        <v>916</v>
      </c>
      <c r="D41" s="402">
        <v>0.80069930069930073</v>
      </c>
      <c r="E41" s="423">
        <v>0.84767263645870017</v>
      </c>
      <c r="F41" s="401">
        <v>969.73749610875302</v>
      </c>
      <c r="G41" s="402">
        <v>0.85158144730031737</v>
      </c>
      <c r="H41" s="401">
        <v>974.20917571156303</v>
      </c>
      <c r="I41" s="401">
        <v>0</v>
      </c>
      <c r="J41" s="414">
        <f t="shared" si="1"/>
        <v>0</v>
      </c>
      <c r="M41" s="330"/>
      <c r="N41" s="330"/>
    </row>
    <row r="42" spans="1:14" ht="15" customHeight="1" x14ac:dyDescent="0.2">
      <c r="A42" s="334" t="s">
        <v>209</v>
      </c>
      <c r="B42" s="401">
        <v>1857</v>
      </c>
      <c r="C42" s="401">
        <v>1473</v>
      </c>
      <c r="D42" s="402">
        <v>0.79321486268174479</v>
      </c>
      <c r="E42" s="423">
        <v>0.78229958414914291</v>
      </c>
      <c r="F42" s="401">
        <v>1452.7303277649585</v>
      </c>
      <c r="G42" s="402">
        <v>0.79019551318449166</v>
      </c>
      <c r="H42" s="401">
        <v>1467.393067983601</v>
      </c>
      <c r="I42" s="401">
        <v>5.6069320163990142</v>
      </c>
      <c r="J42" s="414">
        <f t="shared" si="1"/>
        <v>56069.320163990138</v>
      </c>
      <c r="M42" s="330"/>
      <c r="N42" s="330"/>
    </row>
    <row r="43" spans="1:14" ht="15" customHeight="1" x14ac:dyDescent="0.2">
      <c r="A43" s="334" t="s">
        <v>210</v>
      </c>
      <c r="B43" s="401">
        <v>840</v>
      </c>
      <c r="C43" s="401">
        <v>687</v>
      </c>
      <c r="D43" s="402">
        <v>0.81785714285714284</v>
      </c>
      <c r="E43" s="423">
        <v>0.81241491584128855</v>
      </c>
      <c r="F43" s="401">
        <v>682.42852930668244</v>
      </c>
      <c r="G43" s="402">
        <v>0.81907671378171543</v>
      </c>
      <c r="H43" s="401">
        <v>688.02443957664093</v>
      </c>
      <c r="I43" s="401">
        <v>0</v>
      </c>
      <c r="J43" s="414">
        <f t="shared" si="1"/>
        <v>0</v>
      </c>
      <c r="M43" s="330"/>
      <c r="N43" s="330"/>
    </row>
    <row r="44" spans="1:14" ht="15" customHeight="1" x14ac:dyDescent="0.2">
      <c r="A44" s="334" t="s">
        <v>211</v>
      </c>
      <c r="B44" s="401">
        <v>1805</v>
      </c>
      <c r="C44" s="401">
        <v>1587</v>
      </c>
      <c r="D44" s="402">
        <v>0.87922437673130194</v>
      </c>
      <c r="E44" s="403">
        <v>0.89876976701925104</v>
      </c>
      <c r="F44" s="401">
        <v>1622.279429469748</v>
      </c>
      <c r="G44" s="402">
        <v>0.90321851647722884</v>
      </c>
      <c r="H44" s="401">
        <v>1630.3094222413981</v>
      </c>
      <c r="I44" s="401">
        <v>0</v>
      </c>
      <c r="J44" s="414">
        <f t="shared" si="1"/>
        <v>0</v>
      </c>
    </row>
    <row r="45" spans="1:14" ht="15" customHeight="1" x14ac:dyDescent="0.2">
      <c r="A45" s="335" t="s">
        <v>212</v>
      </c>
      <c r="B45" s="404">
        <f>SUM(B38:B44)</f>
        <v>12776</v>
      </c>
      <c r="C45" s="404">
        <f>SUM(C38:C44)</f>
        <v>10492</v>
      </c>
      <c r="D45" s="405">
        <f>C45/B45</f>
        <v>0.82122730118973075</v>
      </c>
      <c r="E45" s="405">
        <f>F45/B45</f>
        <v>0.8271472087792604</v>
      </c>
      <c r="F45" s="404">
        <f>SUM(F38:F44)</f>
        <v>10567.632739363831</v>
      </c>
      <c r="G45" s="405">
        <f>H45/B45</f>
        <v>0.83335392442329781</v>
      </c>
      <c r="H45" s="404">
        <f>SUM(H38:H44)</f>
        <v>10646.929738432053</v>
      </c>
      <c r="I45" s="404">
        <f>SUM(I38:I44)</f>
        <v>5.6069320163990142</v>
      </c>
      <c r="J45" s="415">
        <f>SUM(J38:J44)</f>
        <v>56069.320163990138</v>
      </c>
    </row>
    <row r="46" spans="1:14" ht="15" customHeight="1" x14ac:dyDescent="0.2">
      <c r="A46" s="336" t="s">
        <v>213</v>
      </c>
      <c r="B46" s="404">
        <f>B37+B45</f>
        <v>45011</v>
      </c>
      <c r="C46" s="404">
        <f>C37+C45</f>
        <v>31482</v>
      </c>
      <c r="D46" s="405">
        <f>C46/B46</f>
        <v>0.69942902845970989</v>
      </c>
      <c r="E46" s="405">
        <f>F46/B46</f>
        <v>0.70397908820874522</v>
      </c>
      <c r="F46" s="404">
        <f>F37+F45</f>
        <v>31686.802739363829</v>
      </c>
      <c r="G46" s="405">
        <f>H46/B46</f>
        <v>0.7095749869683422</v>
      </c>
      <c r="H46" s="404">
        <f>H37+H45</f>
        <v>31938.679738432049</v>
      </c>
      <c r="I46" s="404">
        <f>I37+I45</f>
        <v>237.18693201639911</v>
      </c>
      <c r="J46" s="415">
        <f>J45+J37</f>
        <v>2371869.3201639904</v>
      </c>
    </row>
    <row r="47" spans="1:14" ht="15" customHeight="1" x14ac:dyDescent="0.2">
      <c r="A47" s="340" t="s">
        <v>275</v>
      </c>
      <c r="B47" s="341"/>
      <c r="C47" s="341"/>
      <c r="D47" s="385"/>
      <c r="E47" s="385"/>
      <c r="F47" s="341"/>
      <c r="G47" s="385"/>
      <c r="H47" s="341"/>
      <c r="I47" s="341"/>
      <c r="J47" s="416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pane xSplit="1" ySplit="5" topLeftCell="B27" activePane="bottomRight" state="frozen"/>
      <selection activeCell="B30" sqref="B30"/>
      <selection pane="topRight" activeCell="B30" sqref="B30"/>
      <selection pane="bottomLeft" activeCell="B30" sqref="B30"/>
      <selection pane="bottomRight" activeCell="H8" sqref="H8"/>
    </sheetView>
  </sheetViews>
  <sheetFormatPr defaultColWidth="9.140625" defaultRowHeight="15" customHeight="1" x14ac:dyDescent="0.2"/>
  <cols>
    <col min="1" max="1" width="40.28515625" style="329" customWidth="1"/>
    <col min="2" max="4" width="5.7109375" style="329" bestFit="1" customWidth="1"/>
    <col min="5" max="5" width="9.5703125" style="329" bestFit="1" customWidth="1"/>
    <col min="6" max="6" width="11.42578125" style="329" bestFit="1" customWidth="1"/>
    <col min="7" max="7" width="12.28515625" style="329" bestFit="1" customWidth="1"/>
    <col min="8" max="8" width="11" style="372" customWidth="1"/>
    <col min="9" max="16384" width="9.140625" style="329"/>
  </cols>
  <sheetData>
    <row r="1" spans="1:8" ht="15" customHeight="1" x14ac:dyDescent="0.2">
      <c r="A1" s="441" t="s">
        <v>297</v>
      </c>
      <c r="B1" s="441"/>
      <c r="C1" s="441"/>
      <c r="D1" s="441"/>
      <c r="E1" s="441"/>
      <c r="F1" s="441"/>
      <c r="G1" s="441"/>
      <c r="H1" s="441"/>
    </row>
    <row r="2" spans="1:8" ht="15" customHeight="1" x14ac:dyDescent="0.2">
      <c r="A2" s="441" t="s">
        <v>72</v>
      </c>
      <c r="B2" s="441"/>
      <c r="C2" s="441"/>
      <c r="D2" s="441"/>
      <c r="E2" s="441"/>
      <c r="F2" s="441"/>
      <c r="G2" s="441"/>
      <c r="H2" s="441"/>
    </row>
    <row r="3" spans="1:8" ht="15" customHeight="1" x14ac:dyDescent="0.2">
      <c r="A3" s="441" t="s">
        <v>332</v>
      </c>
      <c r="B3" s="441"/>
      <c r="C3" s="441"/>
      <c r="D3" s="441"/>
      <c r="E3" s="441"/>
      <c r="F3" s="441"/>
      <c r="G3" s="441"/>
      <c r="H3" s="441"/>
    </row>
    <row r="4" spans="1:8" ht="15" customHeight="1" x14ac:dyDescent="0.2">
      <c r="A4" s="360"/>
      <c r="B4" s="442">
        <v>2020</v>
      </c>
      <c r="C4" s="442">
        <v>2021</v>
      </c>
      <c r="D4" s="442">
        <v>2022</v>
      </c>
      <c r="E4" s="239" t="s">
        <v>214</v>
      </c>
      <c r="F4" s="422">
        <v>2022</v>
      </c>
      <c r="G4" s="361" t="s">
        <v>215</v>
      </c>
      <c r="H4" s="412" t="s">
        <v>284</v>
      </c>
    </row>
    <row r="5" spans="1:8" ht="12.75" x14ac:dyDescent="0.2">
      <c r="A5" s="240" t="s">
        <v>216</v>
      </c>
      <c r="B5" s="443"/>
      <c r="C5" s="443"/>
      <c r="D5" s="443"/>
      <c r="E5" s="399" t="s">
        <v>333</v>
      </c>
      <c r="F5" s="362" t="s">
        <v>217</v>
      </c>
      <c r="G5" s="240" t="s">
        <v>218</v>
      </c>
      <c r="H5" s="413" t="s">
        <v>305</v>
      </c>
    </row>
    <row r="6" spans="1:8" ht="15" customHeight="1" x14ac:dyDescent="0.2">
      <c r="A6" s="342" t="s">
        <v>187</v>
      </c>
      <c r="B6" s="371">
        <v>0.66233766233766234</v>
      </c>
      <c r="C6" s="371">
        <v>0.5714285714285714</v>
      </c>
      <c r="D6" s="371">
        <v>0.66666666666666663</v>
      </c>
      <c r="E6" s="371">
        <v>4.3290043290042934E-3</v>
      </c>
      <c r="F6" s="372">
        <v>72</v>
      </c>
      <c r="G6" s="387">
        <v>0</v>
      </c>
      <c r="H6" s="417">
        <f t="shared" ref="H6:H16" si="0">G6*H$47</f>
        <v>0</v>
      </c>
    </row>
    <row r="7" spans="1:8" ht="15" customHeight="1" x14ac:dyDescent="0.2">
      <c r="A7" s="241" t="s">
        <v>188</v>
      </c>
      <c r="B7" s="373">
        <v>0.61465400271370418</v>
      </c>
      <c r="C7" s="373">
        <v>0.61645962732919257</v>
      </c>
      <c r="D7" s="373">
        <v>0.60505319148936165</v>
      </c>
      <c r="E7" s="373">
        <v>-9.6008112243425314E-3</v>
      </c>
      <c r="F7" s="372">
        <v>752</v>
      </c>
      <c r="G7" s="388">
        <v>0</v>
      </c>
      <c r="H7" s="418">
        <f t="shared" si="0"/>
        <v>0</v>
      </c>
    </row>
    <row r="8" spans="1:8" ht="15" customHeight="1" x14ac:dyDescent="0.2">
      <c r="A8" s="241" t="s">
        <v>189</v>
      </c>
      <c r="B8" s="373">
        <v>0.676056338028169</v>
      </c>
      <c r="C8" s="373">
        <v>0.64388489208633093</v>
      </c>
      <c r="D8" s="373">
        <v>0.71167883211678828</v>
      </c>
      <c r="E8" s="373">
        <v>3.5622494088619283E-2</v>
      </c>
      <c r="F8" s="372">
        <v>274</v>
      </c>
      <c r="G8" s="388">
        <v>8</v>
      </c>
      <c r="H8" s="418">
        <f t="shared" si="0"/>
        <v>32000</v>
      </c>
    </row>
    <row r="9" spans="1:8" ht="15" customHeight="1" x14ac:dyDescent="0.2">
      <c r="A9" s="241" t="s">
        <v>7</v>
      </c>
      <c r="B9" s="373">
        <v>0.57792207792207795</v>
      </c>
      <c r="C9" s="373">
        <v>0.62135922330097082</v>
      </c>
      <c r="D9" s="373">
        <v>0.55704697986577179</v>
      </c>
      <c r="E9" s="373">
        <v>-2.0875098056306163E-2</v>
      </c>
      <c r="F9" s="372">
        <v>149</v>
      </c>
      <c r="G9" s="388">
        <v>0</v>
      </c>
      <c r="H9" s="418">
        <f t="shared" si="0"/>
        <v>0</v>
      </c>
    </row>
    <row r="10" spans="1:8" ht="15" customHeight="1" x14ac:dyDescent="0.2">
      <c r="A10" s="241" t="s">
        <v>9</v>
      </c>
      <c r="B10" s="373">
        <v>0.60669730794484567</v>
      </c>
      <c r="C10" s="373">
        <v>0.59094397544128929</v>
      </c>
      <c r="D10" s="373">
        <v>0.57404692082111441</v>
      </c>
      <c r="E10" s="373">
        <v>-3.265038712373125E-2</v>
      </c>
      <c r="F10" s="372">
        <v>1364</v>
      </c>
      <c r="G10" s="388">
        <v>0</v>
      </c>
      <c r="H10" s="418">
        <f t="shared" si="0"/>
        <v>0</v>
      </c>
    </row>
    <row r="11" spans="1:8" ht="15" customHeight="1" x14ac:dyDescent="0.2">
      <c r="A11" s="241" t="s">
        <v>190</v>
      </c>
      <c r="B11" s="373">
        <v>0.65667574931880113</v>
      </c>
      <c r="C11" s="373">
        <v>0.63636363636363635</v>
      </c>
      <c r="D11" s="373">
        <v>0.64721485411140589</v>
      </c>
      <c r="E11" s="373">
        <v>-9.4608952073952368E-3</v>
      </c>
      <c r="F11" s="372">
        <v>377</v>
      </c>
      <c r="G11" s="388">
        <v>0</v>
      </c>
      <c r="H11" s="418">
        <f t="shared" si="0"/>
        <v>0</v>
      </c>
    </row>
    <row r="12" spans="1:8" ht="15" customHeight="1" x14ac:dyDescent="0.2">
      <c r="A12" s="241" t="s">
        <v>219</v>
      </c>
      <c r="B12" s="373">
        <v>0.55072463768115942</v>
      </c>
      <c r="C12" s="373">
        <v>0.51315789473684215</v>
      </c>
      <c r="D12" s="373">
        <v>0.6179775280898876</v>
      </c>
      <c r="E12" s="373">
        <v>6.7252890408728172E-2</v>
      </c>
      <c r="F12" s="372">
        <v>89</v>
      </c>
      <c r="G12" s="388">
        <v>6</v>
      </c>
      <c r="H12" s="418">
        <f t="shared" si="0"/>
        <v>24000</v>
      </c>
    </row>
    <row r="13" spans="1:8" ht="15" customHeight="1" x14ac:dyDescent="0.2">
      <c r="A13" s="241" t="s">
        <v>139</v>
      </c>
      <c r="B13" s="373">
        <v>0.63990554899645813</v>
      </c>
      <c r="C13" s="373">
        <v>0.63546099290780145</v>
      </c>
      <c r="D13" s="373">
        <v>0.59786950732356858</v>
      </c>
      <c r="E13" s="373">
        <v>-4.2036041672889546E-2</v>
      </c>
      <c r="F13" s="372">
        <v>751</v>
      </c>
      <c r="G13" s="388">
        <v>0</v>
      </c>
      <c r="H13" s="418">
        <f t="shared" si="0"/>
        <v>0</v>
      </c>
    </row>
    <row r="14" spans="1:8" ht="15" customHeight="1" x14ac:dyDescent="0.2">
      <c r="A14" s="241" t="s">
        <v>191</v>
      </c>
      <c r="B14" s="373">
        <v>0.63565891472868219</v>
      </c>
      <c r="C14" s="373">
        <v>0.64351005484460699</v>
      </c>
      <c r="D14" s="373">
        <v>0.62004175365344472</v>
      </c>
      <c r="E14" s="373">
        <v>-1.5617161075237473E-2</v>
      </c>
      <c r="F14" s="372">
        <v>479</v>
      </c>
      <c r="G14" s="388">
        <v>0</v>
      </c>
      <c r="H14" s="418">
        <f t="shared" si="0"/>
        <v>0</v>
      </c>
    </row>
    <row r="15" spans="1:8" ht="15" customHeight="1" x14ac:dyDescent="0.2">
      <c r="A15" s="241" t="s">
        <v>17</v>
      </c>
      <c r="B15" s="373">
        <v>0.57657657657657657</v>
      </c>
      <c r="C15" s="373">
        <v>0.5431034482758621</v>
      </c>
      <c r="D15" s="373">
        <v>0.59898477157360408</v>
      </c>
      <c r="E15" s="373">
        <v>2.2408194997027508E-2</v>
      </c>
      <c r="F15" s="372">
        <v>197</v>
      </c>
      <c r="G15" s="388">
        <v>3</v>
      </c>
      <c r="H15" s="418">
        <f t="shared" si="0"/>
        <v>12000</v>
      </c>
    </row>
    <row r="16" spans="1:8" ht="15" customHeight="1" x14ac:dyDescent="0.2">
      <c r="A16" s="241" t="s">
        <v>192</v>
      </c>
      <c r="B16" s="373">
        <v>0.53689567430025442</v>
      </c>
      <c r="C16" s="373">
        <v>0.57974300831443693</v>
      </c>
      <c r="D16" s="373">
        <v>0.57025411061285503</v>
      </c>
      <c r="E16" s="373">
        <v>3.3358436312600603E-2</v>
      </c>
      <c r="F16" s="372">
        <v>1338</v>
      </c>
      <c r="G16" s="388">
        <v>38</v>
      </c>
      <c r="H16" s="418">
        <f t="shared" si="0"/>
        <v>152000</v>
      </c>
    </row>
    <row r="17" spans="1:8" ht="15" customHeight="1" x14ac:dyDescent="0.2">
      <c r="A17" s="343" t="s">
        <v>321</v>
      </c>
      <c r="B17" s="374">
        <v>0.57074340527577938</v>
      </c>
      <c r="C17" s="374">
        <v>0.62429378531073443</v>
      </c>
      <c r="D17" s="374">
        <v>0.61096605744125332</v>
      </c>
      <c r="E17" s="374">
        <v>4.0222652165473938E-2</v>
      </c>
      <c r="F17" s="375">
        <v>383</v>
      </c>
      <c r="G17" s="389">
        <v>16</v>
      </c>
      <c r="H17" s="376">
        <f>SUM(H18:H22)</f>
        <v>64000</v>
      </c>
    </row>
    <row r="18" spans="1:8" ht="15" customHeight="1" x14ac:dyDescent="0.2">
      <c r="A18" s="241" t="s">
        <v>268</v>
      </c>
      <c r="B18" s="373">
        <v>0.73333333333333328</v>
      </c>
      <c r="C18" s="373">
        <v>0.58333333333333337</v>
      </c>
      <c r="D18" s="373">
        <v>0.77173913043478304</v>
      </c>
      <c r="E18" s="373">
        <v>3.8405797101449757E-2</v>
      </c>
      <c r="F18" s="372">
        <v>92</v>
      </c>
      <c r="G18" s="388">
        <v>3</v>
      </c>
      <c r="H18" s="418">
        <f t="shared" ref="H18:H27" si="1">G18*H$47</f>
        <v>12000</v>
      </c>
    </row>
    <row r="19" spans="1:8" ht="15" customHeight="1" x14ac:dyDescent="0.2">
      <c r="A19" s="241" t="s">
        <v>269</v>
      </c>
      <c r="B19" s="373">
        <v>0.47787610619469029</v>
      </c>
      <c r="C19" s="373">
        <v>0.63829787234042556</v>
      </c>
      <c r="D19" s="373">
        <v>0.45714285714285713</v>
      </c>
      <c r="E19" s="373">
        <v>-2.0733249051833158E-2</v>
      </c>
      <c r="F19" s="372">
        <v>105</v>
      </c>
      <c r="G19" s="388">
        <v>0</v>
      </c>
      <c r="H19" s="418">
        <f t="shared" si="1"/>
        <v>0</v>
      </c>
    </row>
    <row r="20" spans="1:8" ht="15" customHeight="1" x14ac:dyDescent="0.2">
      <c r="A20" s="241" t="s">
        <v>270</v>
      </c>
      <c r="B20" s="373">
        <v>0.6</v>
      </c>
      <c r="C20" s="373">
        <v>0.65686274509803921</v>
      </c>
      <c r="D20" s="373">
        <v>0.56976744186046513</v>
      </c>
      <c r="E20" s="373">
        <v>-3.0232558139534849E-2</v>
      </c>
      <c r="F20" s="372">
        <v>86</v>
      </c>
      <c r="G20" s="388">
        <v>0</v>
      </c>
      <c r="H20" s="418">
        <f t="shared" si="1"/>
        <v>0</v>
      </c>
    </row>
    <row r="21" spans="1:8" ht="15" customHeight="1" x14ac:dyDescent="0.2">
      <c r="A21" s="241" t="s">
        <v>271</v>
      </c>
      <c r="B21" s="373">
        <v>0.5714285714285714</v>
      </c>
      <c r="C21" s="373">
        <v>0.65853658536585369</v>
      </c>
      <c r="D21" s="373">
        <v>0.71875</v>
      </c>
      <c r="E21" s="373">
        <v>0.1473214285714286</v>
      </c>
      <c r="F21" s="372">
        <v>32</v>
      </c>
      <c r="G21" s="388">
        <v>5</v>
      </c>
      <c r="H21" s="418">
        <f t="shared" si="1"/>
        <v>20000</v>
      </c>
    </row>
    <row r="22" spans="1:8" ht="15" customHeight="1" x14ac:dyDescent="0.2">
      <c r="A22" s="241" t="s">
        <v>272</v>
      </c>
      <c r="B22" s="373">
        <v>0.51190476190476186</v>
      </c>
      <c r="C22" s="373">
        <v>0.54545454545454541</v>
      </c>
      <c r="D22" s="373">
        <v>0.63235294117647056</v>
      </c>
      <c r="E22" s="373">
        <v>0.1204481792717087</v>
      </c>
      <c r="F22" s="372">
        <v>68</v>
      </c>
      <c r="G22" s="388">
        <v>8</v>
      </c>
      <c r="H22" s="418">
        <f t="shared" si="1"/>
        <v>32000</v>
      </c>
    </row>
    <row r="23" spans="1:8" ht="15" customHeight="1" x14ac:dyDescent="0.2">
      <c r="A23" s="241" t="s">
        <v>220</v>
      </c>
      <c r="B23" s="373">
        <v>0.51200000000000001</v>
      </c>
      <c r="C23" s="373">
        <v>0.58878504672897192</v>
      </c>
      <c r="D23" s="373">
        <v>0.59139784946236562</v>
      </c>
      <c r="E23" s="373">
        <v>7.9397849462365611E-2</v>
      </c>
      <c r="F23" s="372">
        <v>93</v>
      </c>
      <c r="G23" s="388">
        <v>7</v>
      </c>
      <c r="H23" s="418">
        <f t="shared" si="1"/>
        <v>28000</v>
      </c>
    </row>
    <row r="24" spans="1:8" ht="15" customHeight="1" x14ac:dyDescent="0.2">
      <c r="A24" s="241" t="s">
        <v>194</v>
      </c>
      <c r="B24" s="373">
        <v>0.54166666666666663</v>
      </c>
      <c r="C24" s="373">
        <v>0.62389380530973448</v>
      </c>
      <c r="D24" s="373">
        <v>0.58290155440414504</v>
      </c>
      <c r="E24" s="373">
        <v>4.123488773747841E-2</v>
      </c>
      <c r="F24" s="372">
        <v>386</v>
      </c>
      <c r="G24" s="388">
        <v>14</v>
      </c>
      <c r="H24" s="418">
        <f t="shared" si="1"/>
        <v>56000</v>
      </c>
    </row>
    <row r="25" spans="1:8" ht="15" customHeight="1" x14ac:dyDescent="0.2">
      <c r="A25" s="344" t="s">
        <v>221</v>
      </c>
      <c r="B25" s="373">
        <v>0.58245614035087723</v>
      </c>
      <c r="C25" s="373">
        <v>0.63478260869565217</v>
      </c>
      <c r="D25" s="373">
        <v>0.61233480176211452</v>
      </c>
      <c r="E25" s="373">
        <v>2.9878661411237295E-2</v>
      </c>
      <c r="F25" s="372">
        <v>227</v>
      </c>
      <c r="G25" s="388">
        <v>6</v>
      </c>
      <c r="H25" s="418">
        <f t="shared" si="1"/>
        <v>24000</v>
      </c>
    </row>
    <row r="26" spans="1:8" ht="15" customHeight="1" x14ac:dyDescent="0.2">
      <c r="A26" s="241" t="s">
        <v>132</v>
      </c>
      <c r="B26" s="373">
        <v>0.60430364614465037</v>
      </c>
      <c r="C26" s="373">
        <v>0.60217809096732866</v>
      </c>
      <c r="D26" s="373">
        <v>0.61895424836601309</v>
      </c>
      <c r="E26" s="373">
        <v>1.4650602221362719E-2</v>
      </c>
      <c r="F26" s="372">
        <v>1530</v>
      </c>
      <c r="G26" s="388">
        <v>15</v>
      </c>
      <c r="H26" s="418">
        <f t="shared" si="1"/>
        <v>60000</v>
      </c>
    </row>
    <row r="27" spans="1:8" ht="15" customHeight="1" x14ac:dyDescent="0.2">
      <c r="A27" s="241" t="s">
        <v>133</v>
      </c>
      <c r="B27" s="373">
        <v>0.57425742574257421</v>
      </c>
      <c r="C27" s="373">
        <v>0.62883435582822089</v>
      </c>
      <c r="D27" s="373">
        <v>0.63359639233370912</v>
      </c>
      <c r="E27" s="373">
        <v>5.9338966591134912E-2</v>
      </c>
      <c r="F27" s="372">
        <v>887</v>
      </c>
      <c r="G27" s="388">
        <v>48</v>
      </c>
      <c r="H27" s="418">
        <f t="shared" si="1"/>
        <v>192000</v>
      </c>
    </row>
    <row r="28" spans="1:8" ht="15" customHeight="1" x14ac:dyDescent="0.2">
      <c r="A28" s="241" t="s">
        <v>227</v>
      </c>
      <c r="B28" s="373">
        <v>0.60919540229885061</v>
      </c>
      <c r="C28" s="373">
        <v>0.55882352941176472</v>
      </c>
      <c r="D28" s="373">
        <v>0.58441558441558439</v>
      </c>
      <c r="E28" s="373">
        <v>-2.477981788326622E-2</v>
      </c>
      <c r="F28" s="372">
        <v>154</v>
      </c>
      <c r="G28" s="388">
        <v>0</v>
      </c>
      <c r="H28" s="418">
        <f t="shared" ref="H28:H36" si="2">G28*H$47</f>
        <v>0</v>
      </c>
    </row>
    <row r="29" spans="1:8" ht="15" customHeight="1" x14ac:dyDescent="0.2">
      <c r="A29" s="241" t="s">
        <v>201</v>
      </c>
      <c r="B29" s="373">
        <v>0.48101265822784811</v>
      </c>
      <c r="C29" s="373">
        <v>0.4107142857142857</v>
      </c>
      <c r="D29" s="373">
        <v>0.56521739130434778</v>
      </c>
      <c r="E29" s="373">
        <v>8.4204733076499672E-2</v>
      </c>
      <c r="F29" s="372">
        <v>46</v>
      </c>
      <c r="G29" s="388">
        <v>4</v>
      </c>
      <c r="H29" s="418">
        <f t="shared" si="2"/>
        <v>16000</v>
      </c>
    </row>
    <row r="30" spans="1:8" ht="15" customHeight="1" x14ac:dyDescent="0.2">
      <c r="A30" s="241" t="s">
        <v>202</v>
      </c>
      <c r="B30" s="373">
        <v>0.63157894736842102</v>
      </c>
      <c r="C30" s="373">
        <v>0.55882352941176472</v>
      </c>
      <c r="D30" s="373">
        <v>0.47142857142857142</v>
      </c>
      <c r="E30" s="373">
        <v>-0.1601503759398496</v>
      </c>
      <c r="F30" s="372">
        <v>70</v>
      </c>
      <c r="G30" s="388">
        <v>0</v>
      </c>
      <c r="H30" s="418">
        <f t="shared" si="2"/>
        <v>0</v>
      </c>
    </row>
    <row r="31" spans="1:8" ht="15" customHeight="1" x14ac:dyDescent="0.2">
      <c r="A31" s="241" t="s">
        <v>36</v>
      </c>
      <c r="B31" s="373">
        <v>0.5605381165919282</v>
      </c>
      <c r="C31" s="373">
        <v>0.61842105263157898</v>
      </c>
      <c r="D31" s="373">
        <v>0.62934362934362931</v>
      </c>
      <c r="E31" s="373">
        <v>6.8805512751701103E-2</v>
      </c>
      <c r="F31" s="372">
        <v>259</v>
      </c>
      <c r="G31" s="388">
        <v>17</v>
      </c>
      <c r="H31" s="418">
        <f t="shared" si="2"/>
        <v>68000</v>
      </c>
    </row>
    <row r="32" spans="1:8" ht="15" customHeight="1" x14ac:dyDescent="0.2">
      <c r="A32" s="241" t="s">
        <v>131</v>
      </c>
      <c r="B32" s="373">
        <v>0.61392405063291144</v>
      </c>
      <c r="C32" s="373">
        <v>0.59226190476190477</v>
      </c>
      <c r="D32" s="373">
        <v>0.6563573883161512</v>
      </c>
      <c r="E32" s="373">
        <v>4.2433337683239758E-2</v>
      </c>
      <c r="F32" s="372">
        <v>291</v>
      </c>
      <c r="G32" s="388">
        <v>11</v>
      </c>
      <c r="H32" s="418">
        <f t="shared" si="2"/>
        <v>44000</v>
      </c>
    </row>
    <row r="33" spans="1:8" ht="15" customHeight="1" x14ac:dyDescent="0.2">
      <c r="A33" s="241" t="s">
        <v>203</v>
      </c>
      <c r="B33" s="373">
        <v>0.59795570698466782</v>
      </c>
      <c r="C33" s="373">
        <v>0.59180035650623886</v>
      </c>
      <c r="D33" s="373">
        <v>0.57407407407407407</v>
      </c>
      <c r="E33" s="373">
        <v>-2.3881632910593753E-2</v>
      </c>
      <c r="F33" s="372">
        <v>486</v>
      </c>
      <c r="G33" s="388">
        <v>0</v>
      </c>
      <c r="H33" s="418">
        <f t="shared" si="2"/>
        <v>0</v>
      </c>
    </row>
    <row r="34" spans="1:8" ht="15" customHeight="1" x14ac:dyDescent="0.2">
      <c r="A34" s="241" t="s">
        <v>204</v>
      </c>
      <c r="B34" s="373">
        <v>0.59701492537313428</v>
      </c>
      <c r="C34" s="373">
        <v>0.5732323232323232</v>
      </c>
      <c r="D34" s="373">
        <v>0.54751131221719462</v>
      </c>
      <c r="E34" s="373">
        <v>-4.9503613155939652E-2</v>
      </c>
      <c r="F34" s="372">
        <v>442</v>
      </c>
      <c r="G34" s="388">
        <v>0</v>
      </c>
      <c r="H34" s="418">
        <f t="shared" si="2"/>
        <v>0</v>
      </c>
    </row>
    <row r="35" spans="1:8" ht="15" customHeight="1" x14ac:dyDescent="0.2">
      <c r="A35" s="241" t="s">
        <v>70</v>
      </c>
      <c r="B35" s="373">
        <v>0.5714285714285714</v>
      </c>
      <c r="C35" s="373">
        <v>0.5845921450151057</v>
      </c>
      <c r="D35" s="373">
        <v>0.58602554470323065</v>
      </c>
      <c r="E35" s="373">
        <v>1.4596973274659253E-2</v>
      </c>
      <c r="F35" s="372">
        <v>1331</v>
      </c>
      <c r="G35" s="388">
        <v>13</v>
      </c>
      <c r="H35" s="418">
        <f t="shared" si="2"/>
        <v>52000</v>
      </c>
    </row>
    <row r="36" spans="1:8" ht="15" customHeight="1" x14ac:dyDescent="0.2">
      <c r="A36" s="241" t="s">
        <v>117</v>
      </c>
      <c r="B36" s="373">
        <v>0.57097791798107256</v>
      </c>
      <c r="C36" s="373">
        <v>0.55709342560553632</v>
      </c>
      <c r="D36" s="373">
        <v>0.57003257328990231</v>
      </c>
      <c r="E36" s="373">
        <v>-9.4534469117024678E-4</v>
      </c>
      <c r="F36" s="372">
        <v>307</v>
      </c>
      <c r="G36" s="388">
        <v>0</v>
      </c>
      <c r="H36" s="418">
        <f t="shared" si="2"/>
        <v>0</v>
      </c>
    </row>
    <row r="37" spans="1:8" ht="15" customHeight="1" x14ac:dyDescent="0.2">
      <c r="A37" s="242" t="s">
        <v>205</v>
      </c>
      <c r="B37" s="374">
        <v>0.59026730637422897</v>
      </c>
      <c r="C37" s="374">
        <v>0.60137725956647625</v>
      </c>
      <c r="D37" s="374">
        <v>0.59926181875294482</v>
      </c>
      <c r="E37" s="374">
        <v>8.9945123787158465E-3</v>
      </c>
      <c r="F37" s="376">
        <v>12734</v>
      </c>
      <c r="G37" s="389">
        <v>206</v>
      </c>
      <c r="H37" s="376">
        <f>SUM(H6:H17,H23:H36)</f>
        <v>824000</v>
      </c>
    </row>
    <row r="38" spans="1:8" ht="15" customHeight="1" x14ac:dyDescent="0.2">
      <c r="A38" s="241" t="s">
        <v>206</v>
      </c>
      <c r="B38" s="373">
        <v>0.76888888888888884</v>
      </c>
      <c r="C38" s="373">
        <v>0.73303167420814475</v>
      </c>
      <c r="D38" s="373">
        <v>0.70434782608695656</v>
      </c>
      <c r="E38" s="373">
        <v>-6.4541062801932281E-2</v>
      </c>
      <c r="F38" s="372">
        <v>230</v>
      </c>
      <c r="G38" s="388">
        <v>0</v>
      </c>
      <c r="H38" s="418">
        <f t="shared" ref="H38:H45" si="3">G38*H$47</f>
        <v>0</v>
      </c>
    </row>
    <row r="39" spans="1:8" ht="15" customHeight="1" x14ac:dyDescent="0.2">
      <c r="A39" s="241" t="s">
        <v>140</v>
      </c>
      <c r="B39" s="373">
        <v>0.78196600147819662</v>
      </c>
      <c r="C39" s="373">
        <v>0.77062058130400624</v>
      </c>
      <c r="D39" s="373">
        <v>0.75775862068965516</v>
      </c>
      <c r="E39" s="373">
        <v>-2.4207380788541455E-2</v>
      </c>
      <c r="F39" s="372">
        <v>1160</v>
      </c>
      <c r="G39" s="388">
        <v>0</v>
      </c>
      <c r="H39" s="418">
        <f t="shared" si="3"/>
        <v>0</v>
      </c>
    </row>
    <row r="40" spans="1:8" ht="15" customHeight="1" x14ac:dyDescent="0.2">
      <c r="A40" s="241" t="s">
        <v>207</v>
      </c>
      <c r="B40" s="373">
        <v>0.82949932341001353</v>
      </c>
      <c r="C40" s="373">
        <v>0.79322853688029016</v>
      </c>
      <c r="D40" s="373">
        <v>0.81842818428184283</v>
      </c>
      <c r="E40" s="373">
        <v>-1.1071139128170704E-2</v>
      </c>
      <c r="F40" s="372">
        <v>738</v>
      </c>
      <c r="G40" s="388">
        <v>0</v>
      </c>
      <c r="H40" s="418">
        <f t="shared" si="3"/>
        <v>0</v>
      </c>
    </row>
    <row r="41" spans="1:8" ht="15" customHeight="1" x14ac:dyDescent="0.2">
      <c r="A41" s="241" t="s">
        <v>208</v>
      </c>
      <c r="B41" s="373">
        <v>0.77824267782426781</v>
      </c>
      <c r="C41" s="373">
        <v>0.76525821596244137</v>
      </c>
      <c r="D41" s="373">
        <v>0.7407407407407407</v>
      </c>
      <c r="E41" s="373">
        <v>-3.7501937083527115E-2</v>
      </c>
      <c r="F41" s="372">
        <v>216</v>
      </c>
      <c r="G41" s="388">
        <v>0</v>
      </c>
      <c r="H41" s="418">
        <f t="shared" si="3"/>
        <v>0</v>
      </c>
    </row>
    <row r="42" spans="1:8" ht="15" customHeight="1" x14ac:dyDescent="0.2">
      <c r="A42" s="241" t="s">
        <v>209</v>
      </c>
      <c r="B42" s="373">
        <v>0.78140293637846658</v>
      </c>
      <c r="C42" s="373">
        <v>0.70252100840336129</v>
      </c>
      <c r="D42" s="373">
        <v>0.71610169491525422</v>
      </c>
      <c r="E42" s="373">
        <v>-6.5301241463212367E-2</v>
      </c>
      <c r="F42" s="372">
        <v>472</v>
      </c>
      <c r="G42" s="388">
        <v>0</v>
      </c>
      <c r="H42" s="418">
        <f t="shared" si="3"/>
        <v>0</v>
      </c>
    </row>
    <row r="43" spans="1:8" ht="15" customHeight="1" x14ac:dyDescent="0.2">
      <c r="A43" s="241" t="s">
        <v>210</v>
      </c>
      <c r="B43" s="373">
        <v>0.78443113772455086</v>
      </c>
      <c r="C43" s="373">
        <v>0.7053571428571429</v>
      </c>
      <c r="D43" s="373">
        <v>0.76811594202898548</v>
      </c>
      <c r="E43" s="373">
        <v>-1.6315195695565388E-2</v>
      </c>
      <c r="F43" s="372">
        <v>207</v>
      </c>
      <c r="G43" s="388">
        <v>0</v>
      </c>
      <c r="H43" s="418">
        <f t="shared" si="3"/>
        <v>0</v>
      </c>
    </row>
    <row r="44" spans="1:8" ht="15" customHeight="1" x14ac:dyDescent="0.2">
      <c r="A44" s="241" t="s">
        <v>211</v>
      </c>
      <c r="B44" s="373">
        <v>0.87392550143266479</v>
      </c>
      <c r="C44" s="373">
        <v>0.83056478405315615</v>
      </c>
      <c r="D44" s="373">
        <v>0.86956521739130432</v>
      </c>
      <c r="E44" s="373">
        <v>-4.3602840413604627E-3</v>
      </c>
      <c r="F44" s="372">
        <v>253</v>
      </c>
      <c r="G44" s="388">
        <v>0</v>
      </c>
      <c r="H44" s="418">
        <f t="shared" si="3"/>
        <v>0</v>
      </c>
    </row>
    <row r="45" spans="1:8" ht="15" customHeight="1" x14ac:dyDescent="0.2">
      <c r="A45" s="242" t="s">
        <v>212</v>
      </c>
      <c r="B45" s="374">
        <v>0.79918588873812757</v>
      </c>
      <c r="C45" s="374">
        <v>0.7629994526546251</v>
      </c>
      <c r="D45" s="374">
        <v>0.76984126984126988</v>
      </c>
      <c r="E45" s="374">
        <v>-2.9344618896857688E-2</v>
      </c>
      <c r="F45" s="375">
        <v>3276</v>
      </c>
      <c r="G45" s="389">
        <v>0</v>
      </c>
      <c r="H45" s="376">
        <f t="shared" si="3"/>
        <v>0</v>
      </c>
    </row>
    <row r="46" spans="1:8" ht="15" customHeight="1" x14ac:dyDescent="0.2">
      <c r="A46" s="243" t="s">
        <v>213</v>
      </c>
      <c r="B46" s="377">
        <v>0.63239398084815324</v>
      </c>
      <c r="C46" s="377">
        <v>0.63731515852248521</v>
      </c>
      <c r="D46" s="377">
        <v>0.63416614615865086</v>
      </c>
      <c r="E46" s="377">
        <v>1.7721653104976198E-3</v>
      </c>
      <c r="F46" s="378">
        <v>16010</v>
      </c>
      <c r="G46" s="390">
        <v>206</v>
      </c>
      <c r="H46" s="419">
        <f>H37+H45</f>
        <v>824000</v>
      </c>
    </row>
    <row r="47" spans="1:8" ht="15" customHeight="1" x14ac:dyDescent="0.2">
      <c r="A47" s="340" t="s">
        <v>275</v>
      </c>
      <c r="B47" s="391"/>
      <c r="C47" s="391"/>
      <c r="D47" s="391"/>
      <c r="E47" s="391"/>
      <c r="F47" s="391"/>
      <c r="G47" s="391"/>
      <c r="H47" s="416">
        <v>4000</v>
      </c>
    </row>
  </sheetData>
  <mergeCells count="6">
    <mergeCell ref="A1:H1"/>
    <mergeCell ref="A2:H2"/>
    <mergeCell ref="A3:H3"/>
    <mergeCell ref="B4:B5"/>
    <mergeCell ref="C4:C5"/>
    <mergeCell ref="D4:D5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44"/>
  <sheetViews>
    <sheetView zoomScale="80" zoomScaleNormal="80" workbookViewId="0">
      <selection activeCell="A43" sqref="A43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9" max="9" width="14.5703125" customWidth="1"/>
  </cols>
  <sheetData>
    <row r="1" spans="1:9" ht="15" customHeight="1" x14ac:dyDescent="0.25">
      <c r="A1" s="33" t="s">
        <v>252</v>
      </c>
      <c r="H1" s="352" t="s">
        <v>285</v>
      </c>
    </row>
    <row r="2" spans="1:9" ht="15" customHeight="1" x14ac:dyDescent="0.2">
      <c r="A2" s="4" t="s">
        <v>90</v>
      </c>
    </row>
    <row r="3" spans="1:9" ht="15" customHeight="1" x14ac:dyDescent="0.2">
      <c r="A3" s="4" t="s">
        <v>327</v>
      </c>
    </row>
    <row r="5" spans="1:9" ht="15" customHeight="1" x14ac:dyDescent="0.2">
      <c r="H5" s="19" t="s">
        <v>143</v>
      </c>
    </row>
    <row r="6" spans="1:9" ht="15" customHeight="1" x14ac:dyDescent="0.2">
      <c r="C6" s="19" t="s">
        <v>79</v>
      </c>
      <c r="D6" s="19" t="s">
        <v>74</v>
      </c>
      <c r="E6" s="19" t="s">
        <v>75</v>
      </c>
      <c r="F6" s="19" t="s">
        <v>76</v>
      </c>
      <c r="G6" s="19"/>
      <c r="H6" s="29" t="s">
        <v>77</v>
      </c>
    </row>
    <row r="7" spans="1:9" ht="61.5" customHeight="1" x14ac:dyDescent="0.2">
      <c r="A7" s="167" t="s">
        <v>0</v>
      </c>
      <c r="B7" s="168" t="s">
        <v>83</v>
      </c>
      <c r="C7" s="167" t="s">
        <v>144</v>
      </c>
      <c r="D7" s="28" t="s">
        <v>145</v>
      </c>
      <c r="E7" s="30" t="s">
        <v>92</v>
      </c>
      <c r="F7" s="169" t="s">
        <v>119</v>
      </c>
      <c r="H7" s="27" t="s">
        <v>91</v>
      </c>
    </row>
    <row r="8" spans="1:9" ht="15" customHeight="1" x14ac:dyDescent="0.2">
      <c r="B8" s="31"/>
      <c r="D8" s="11"/>
      <c r="F8" s="11"/>
    </row>
    <row r="9" spans="1:9" ht="15" customHeight="1" x14ac:dyDescent="0.2">
      <c r="A9" s="170" t="s">
        <v>2</v>
      </c>
      <c r="B9" s="171" t="s">
        <v>128</v>
      </c>
      <c r="C9" s="172"/>
      <c r="D9" s="172">
        <v>252</v>
      </c>
      <c r="E9" s="172">
        <f>C9+D9</f>
        <v>252</v>
      </c>
      <c r="F9" s="173">
        <f>'Revenue Offset'!G8</f>
        <v>0.45398034509082752</v>
      </c>
      <c r="H9" s="32">
        <f>E9*(1-F9)</f>
        <v>137.59695303711146</v>
      </c>
    </row>
    <row r="10" spans="1:9" ht="15" customHeight="1" x14ac:dyDescent="0.2">
      <c r="A10" s="170" t="s">
        <v>4</v>
      </c>
      <c r="B10" s="171" t="s">
        <v>124</v>
      </c>
      <c r="C10" s="172">
        <v>44673</v>
      </c>
      <c r="D10" s="174"/>
      <c r="E10" s="172">
        <f t="shared" ref="E10:E38" si="0">C10+D10</f>
        <v>44673</v>
      </c>
      <c r="F10" s="173">
        <f>'Revenue Offset'!G9</f>
        <v>0.47221742787664267</v>
      </c>
      <c r="H10" s="32">
        <f t="shared" ref="H10:H38" si="1">E10*(1-F10)</f>
        <v>23577.630844466741</v>
      </c>
    </row>
    <row r="11" spans="1:9" ht="15" customHeight="1" x14ac:dyDescent="0.2">
      <c r="A11" s="170" t="s">
        <v>5</v>
      </c>
      <c r="B11" s="171" t="s">
        <v>113</v>
      </c>
      <c r="C11" s="174"/>
      <c r="D11" s="174">
        <f>77751+155</f>
        <v>77906</v>
      </c>
      <c r="E11" s="172">
        <f t="shared" si="0"/>
        <v>77906</v>
      </c>
      <c r="F11" s="173">
        <f>'Revenue Offset'!G10</f>
        <v>0.56031362149763542</v>
      </c>
      <c r="H11" s="32">
        <f t="shared" si="1"/>
        <v>34254.207003605217</v>
      </c>
      <c r="I11" s="22"/>
    </row>
    <row r="12" spans="1:9" ht="15" customHeight="1" x14ac:dyDescent="0.2">
      <c r="A12" s="170" t="s">
        <v>6</v>
      </c>
      <c r="B12" s="171" t="s">
        <v>7</v>
      </c>
      <c r="C12" s="172"/>
      <c r="D12" s="172">
        <v>44770</v>
      </c>
      <c r="E12" s="172">
        <f t="shared" si="0"/>
        <v>44770</v>
      </c>
      <c r="F12" s="173">
        <f>'Revenue Offset'!G11</f>
        <v>0.44411590295335773</v>
      </c>
      <c r="H12" s="32">
        <f t="shared" si="1"/>
        <v>24886.931024778176</v>
      </c>
    </row>
    <row r="13" spans="1:9" ht="15" customHeight="1" x14ac:dyDescent="0.2">
      <c r="A13" s="170" t="s">
        <v>8</v>
      </c>
      <c r="B13" s="171" t="s">
        <v>9</v>
      </c>
      <c r="C13" s="172"/>
      <c r="D13" s="172">
        <v>64670</v>
      </c>
      <c r="E13" s="172">
        <f t="shared" si="0"/>
        <v>64670</v>
      </c>
      <c r="F13" s="173">
        <f>'Revenue Offset'!G12</f>
        <v>0.47711530109848616</v>
      </c>
      <c r="H13" s="32">
        <f t="shared" si="1"/>
        <v>33814.953477960902</v>
      </c>
    </row>
    <row r="14" spans="1:9" ht="15" customHeight="1" x14ac:dyDescent="0.2">
      <c r="A14" s="170" t="s">
        <v>10</v>
      </c>
      <c r="B14" s="3" t="s">
        <v>146</v>
      </c>
      <c r="C14" s="172">
        <v>342</v>
      </c>
      <c r="D14" s="172">
        <v>726668</v>
      </c>
      <c r="E14" s="172">
        <f t="shared" si="0"/>
        <v>727010</v>
      </c>
      <c r="F14" s="173">
        <f>'Revenue Offset'!G13</f>
        <v>0.44975388957952139</v>
      </c>
      <c r="H14" s="32">
        <f t="shared" si="1"/>
        <v>400034.42473679211</v>
      </c>
    </row>
    <row r="15" spans="1:9" ht="15" customHeight="1" x14ac:dyDescent="0.2">
      <c r="A15" s="170" t="s">
        <v>12</v>
      </c>
      <c r="B15" s="171" t="s">
        <v>13</v>
      </c>
      <c r="C15" s="172"/>
      <c r="D15" s="172"/>
      <c r="E15" s="172">
        <f t="shared" si="0"/>
        <v>0</v>
      </c>
      <c r="F15" s="173">
        <f>'Revenue Offset'!G14</f>
        <v>0.34468677318100721</v>
      </c>
      <c r="H15" s="32">
        <f t="shared" si="1"/>
        <v>0</v>
      </c>
    </row>
    <row r="16" spans="1:9" ht="15" customHeight="1" x14ac:dyDescent="0.2">
      <c r="A16" s="170" t="s">
        <v>14</v>
      </c>
      <c r="B16" s="171" t="s">
        <v>139</v>
      </c>
      <c r="C16" s="172"/>
      <c r="D16" s="172"/>
      <c r="E16" s="172">
        <f t="shared" si="0"/>
        <v>0</v>
      </c>
      <c r="F16" s="173">
        <f>'Revenue Offset'!G15</f>
        <v>0.38899820613316899</v>
      </c>
      <c r="H16" s="32">
        <f t="shared" si="1"/>
        <v>0</v>
      </c>
    </row>
    <row r="17" spans="1:8" ht="15" customHeight="1" x14ac:dyDescent="0.2">
      <c r="A17" s="170" t="s">
        <v>16</v>
      </c>
      <c r="B17" s="171" t="s">
        <v>17</v>
      </c>
      <c r="C17" s="172"/>
      <c r="D17" s="172">
        <v>4307</v>
      </c>
      <c r="E17" s="172">
        <f t="shared" si="0"/>
        <v>4307</v>
      </c>
      <c r="F17" s="173">
        <f>'Revenue Offset'!G16</f>
        <v>0.41118330929356911</v>
      </c>
      <c r="H17" s="32">
        <f t="shared" si="1"/>
        <v>2536.0334868725981</v>
      </c>
    </row>
    <row r="18" spans="1:8" ht="15" customHeight="1" x14ac:dyDescent="0.2">
      <c r="A18" s="170" t="s">
        <v>18</v>
      </c>
      <c r="B18" s="171" t="s">
        <v>140</v>
      </c>
      <c r="C18" s="172">
        <v>398544</v>
      </c>
      <c r="D18" s="172">
        <v>15247</v>
      </c>
      <c r="E18" s="172">
        <f t="shared" si="0"/>
        <v>413791</v>
      </c>
      <c r="F18" s="173">
        <f>'Revenue Offset'!G17</f>
        <v>0.57193745104640104</v>
      </c>
      <c r="H18" s="32">
        <f t="shared" si="1"/>
        <v>177128.43019405866</v>
      </c>
    </row>
    <row r="19" spans="1:8" ht="15" customHeight="1" x14ac:dyDescent="0.2">
      <c r="A19" s="170" t="s">
        <v>19</v>
      </c>
      <c r="B19" s="171" t="s">
        <v>129</v>
      </c>
      <c r="C19" s="172"/>
      <c r="D19" s="172">
        <v>76564</v>
      </c>
      <c r="E19" s="172">
        <f t="shared" si="0"/>
        <v>76564</v>
      </c>
      <c r="F19" s="173">
        <f>'Revenue Offset'!G18</f>
        <v>0.46755227274314237</v>
      </c>
      <c r="H19" s="32">
        <f t="shared" si="1"/>
        <v>40766.327789694049</v>
      </c>
    </row>
    <row r="20" spans="1:8" ht="15" customHeight="1" x14ac:dyDescent="0.2">
      <c r="A20" s="170" t="s">
        <v>118</v>
      </c>
      <c r="B20" s="171" t="s">
        <v>321</v>
      </c>
      <c r="C20" s="172">
        <v>26932</v>
      </c>
      <c r="D20" s="172">
        <v>481208</v>
      </c>
      <c r="E20" s="172">
        <f>C20+D20</f>
        <v>508140</v>
      </c>
      <c r="F20" s="173">
        <f>'Revenue Offset'!G19</f>
        <v>0.40726711857110459</v>
      </c>
      <c r="H20" s="32">
        <f>E20*(1-F20)</f>
        <v>301191.28636927897</v>
      </c>
    </row>
    <row r="21" spans="1:8" ht="15" customHeight="1" x14ac:dyDescent="0.2">
      <c r="A21" s="170" t="s">
        <v>21</v>
      </c>
      <c r="B21" s="175" t="s">
        <v>176</v>
      </c>
      <c r="C21" s="172"/>
      <c r="D21" s="172"/>
      <c r="E21" s="172">
        <f t="shared" si="0"/>
        <v>0</v>
      </c>
      <c r="F21" s="173">
        <f>'Revenue Offset'!G20</f>
        <v>0.40426638873825016</v>
      </c>
      <c r="H21" s="32">
        <f t="shared" si="1"/>
        <v>0</v>
      </c>
    </row>
    <row r="22" spans="1:8" ht="15" customHeight="1" x14ac:dyDescent="0.2">
      <c r="A22" s="170" t="s">
        <v>109</v>
      </c>
      <c r="B22" s="171" t="s">
        <v>141</v>
      </c>
      <c r="C22" s="172"/>
      <c r="D22" s="172">
        <v>104515</v>
      </c>
      <c r="E22" s="172">
        <f t="shared" si="0"/>
        <v>104515</v>
      </c>
      <c r="F22" s="173">
        <f>'Revenue Offset'!G21</f>
        <v>0.4421581726992746</v>
      </c>
      <c r="H22" s="32">
        <f t="shared" si="1"/>
        <v>58302.838580335316</v>
      </c>
    </row>
    <row r="23" spans="1:8" ht="15" customHeight="1" x14ac:dyDescent="0.2">
      <c r="A23" s="170" t="s">
        <v>26</v>
      </c>
      <c r="B23" s="171" t="s">
        <v>62</v>
      </c>
      <c r="C23" s="172"/>
      <c r="D23" s="172">
        <v>511730</v>
      </c>
      <c r="E23" s="172">
        <f t="shared" si="0"/>
        <v>511730</v>
      </c>
      <c r="F23" s="173">
        <f>'Revenue Offset'!G22</f>
        <v>0.58417486522125794</v>
      </c>
      <c r="H23" s="32">
        <f t="shared" si="1"/>
        <v>212790.19622032568</v>
      </c>
    </row>
    <row r="24" spans="1:8" ht="15" customHeight="1" x14ac:dyDescent="0.2">
      <c r="A24" s="170" t="s">
        <v>22</v>
      </c>
      <c r="B24" s="171" t="s">
        <v>23</v>
      </c>
      <c r="C24" s="172">
        <v>1493000</v>
      </c>
      <c r="D24" s="172">
        <v>1026970</v>
      </c>
      <c r="E24" s="172">
        <f t="shared" si="0"/>
        <v>2519970</v>
      </c>
      <c r="F24" s="173">
        <f>'Revenue Offset'!G23</f>
        <v>0.67183209606841821</v>
      </c>
      <c r="H24" s="32">
        <f t="shared" si="1"/>
        <v>826973.27287046821</v>
      </c>
    </row>
    <row r="25" spans="1:8" ht="15" customHeight="1" x14ac:dyDescent="0.2">
      <c r="A25" s="170" t="s">
        <v>24</v>
      </c>
      <c r="B25" s="171" t="s">
        <v>137</v>
      </c>
      <c r="C25" s="172">
        <v>71946</v>
      </c>
      <c r="D25" s="172">
        <v>480849</v>
      </c>
      <c r="E25" s="172">
        <f t="shared" si="0"/>
        <v>552795</v>
      </c>
      <c r="F25" s="173">
        <f>'Revenue Offset'!G24</f>
        <v>0.42364244040512927</v>
      </c>
      <c r="H25" s="32">
        <f t="shared" si="1"/>
        <v>318607.57715624652</v>
      </c>
    </row>
    <row r="26" spans="1:8" ht="15" customHeight="1" x14ac:dyDescent="0.2">
      <c r="A26" s="170" t="s">
        <v>27</v>
      </c>
      <c r="B26" s="171" t="s">
        <v>132</v>
      </c>
      <c r="C26" s="172">
        <v>134359</v>
      </c>
      <c r="D26" s="172"/>
      <c r="E26" s="172">
        <f t="shared" si="0"/>
        <v>134359</v>
      </c>
      <c r="F26" s="173">
        <f>'Revenue Offset'!G25</f>
        <v>0.5229903225087249</v>
      </c>
      <c r="H26" s="32">
        <f t="shared" si="1"/>
        <v>64090.543258050231</v>
      </c>
    </row>
    <row r="27" spans="1:8" ht="15" customHeight="1" x14ac:dyDescent="0.2">
      <c r="A27" s="170" t="s">
        <v>29</v>
      </c>
      <c r="B27" s="171" t="s">
        <v>133</v>
      </c>
      <c r="C27" s="172"/>
      <c r="D27" s="172"/>
      <c r="E27" s="172">
        <f t="shared" si="0"/>
        <v>0</v>
      </c>
      <c r="F27" s="173">
        <f>'Revenue Offset'!G26</f>
        <v>0.49192410676014631</v>
      </c>
      <c r="H27" s="32">
        <f t="shared" si="1"/>
        <v>0</v>
      </c>
    </row>
    <row r="28" spans="1:8" ht="15" customHeight="1" x14ac:dyDescent="0.2">
      <c r="A28" s="170" t="s">
        <v>31</v>
      </c>
      <c r="B28" s="171" t="s">
        <v>134</v>
      </c>
      <c r="C28" s="172">
        <v>8658</v>
      </c>
      <c r="D28" s="172">
        <v>55616</v>
      </c>
      <c r="E28" s="172">
        <f t="shared" si="0"/>
        <v>64274</v>
      </c>
      <c r="F28" s="173">
        <f>'Revenue Offset'!G27</f>
        <v>0.40235534362779629</v>
      </c>
      <c r="H28" s="32">
        <f t="shared" si="1"/>
        <v>38413.012643667025</v>
      </c>
    </row>
    <row r="29" spans="1:8" ht="15" customHeight="1" x14ac:dyDescent="0.2">
      <c r="A29" s="170" t="s">
        <v>33</v>
      </c>
      <c r="B29" s="171" t="s">
        <v>130</v>
      </c>
      <c r="C29" s="172"/>
      <c r="D29" s="172"/>
      <c r="E29" s="172">
        <f t="shared" si="0"/>
        <v>0</v>
      </c>
      <c r="F29" s="173">
        <f>'Revenue Offset'!G28</f>
        <v>0.38591862092929891</v>
      </c>
      <c r="H29" s="32">
        <f t="shared" si="1"/>
        <v>0</v>
      </c>
    </row>
    <row r="30" spans="1:8" ht="15" customHeight="1" x14ac:dyDescent="0.2">
      <c r="A30" s="170" t="s">
        <v>35</v>
      </c>
      <c r="B30" s="171" t="s">
        <v>36</v>
      </c>
      <c r="C30" s="172"/>
      <c r="D30" s="172">
        <v>4108</v>
      </c>
      <c r="E30" s="172">
        <f t="shared" si="0"/>
        <v>4108</v>
      </c>
      <c r="F30" s="173">
        <f>'Revenue Offset'!G29</f>
        <v>0.43081340701792564</v>
      </c>
      <c r="H30" s="32">
        <f t="shared" si="1"/>
        <v>2338.2185239703613</v>
      </c>
    </row>
    <row r="31" spans="1:8" ht="15" customHeight="1" x14ac:dyDescent="0.2">
      <c r="A31" s="170" t="s">
        <v>37</v>
      </c>
      <c r="B31" s="171" t="s">
        <v>131</v>
      </c>
      <c r="C31" s="172"/>
      <c r="D31" s="172"/>
      <c r="E31" s="172">
        <f t="shared" si="0"/>
        <v>0</v>
      </c>
      <c r="F31" s="173">
        <f>'Revenue Offset'!G30</f>
        <v>0.45877280682764138</v>
      </c>
      <c r="H31" s="32">
        <f t="shared" si="1"/>
        <v>0</v>
      </c>
    </row>
    <row r="32" spans="1:8" ht="15" customHeight="1" x14ac:dyDescent="0.2">
      <c r="A32" s="170" t="s">
        <v>39</v>
      </c>
      <c r="B32" s="171" t="s">
        <v>135</v>
      </c>
      <c r="C32" s="172"/>
      <c r="D32" s="172">
        <v>662207</v>
      </c>
      <c r="E32" s="172">
        <f t="shared" si="0"/>
        <v>662207</v>
      </c>
      <c r="F32" s="173">
        <f>'Revenue Offset'!G31</f>
        <v>0.50183645346221983</v>
      </c>
      <c r="H32" s="32">
        <f t="shared" si="1"/>
        <v>329887.3876621438</v>
      </c>
    </row>
    <row r="33" spans="1:8" ht="15" customHeight="1" x14ac:dyDescent="0.2">
      <c r="A33" s="170" t="s">
        <v>46</v>
      </c>
      <c r="B33" s="171" t="s">
        <v>70</v>
      </c>
      <c r="C33" s="172"/>
      <c r="D33" s="172"/>
      <c r="E33" s="172">
        <f t="shared" si="0"/>
        <v>0</v>
      </c>
      <c r="F33" s="173">
        <f>'Revenue Offset'!G32</f>
        <v>0.46708850488255266</v>
      </c>
      <c r="H33" s="32">
        <f t="shared" si="1"/>
        <v>0</v>
      </c>
    </row>
    <row r="34" spans="1:8" ht="15" customHeight="1" x14ac:dyDescent="0.2">
      <c r="A34" s="170" t="s">
        <v>41</v>
      </c>
      <c r="B34" s="171" t="s">
        <v>117</v>
      </c>
      <c r="C34" s="172"/>
      <c r="D34" s="172">
        <v>24557</v>
      </c>
      <c r="E34" s="172">
        <f t="shared" si="0"/>
        <v>24557</v>
      </c>
      <c r="F34" s="173">
        <f>'Revenue Offset'!G33</f>
        <v>0.40545200858866942</v>
      </c>
      <c r="H34" s="32">
        <f t="shared" si="1"/>
        <v>14600.315025088044</v>
      </c>
    </row>
    <row r="35" spans="1:8" ht="15" customHeight="1" x14ac:dyDescent="0.2">
      <c r="A35" s="170" t="s">
        <v>42</v>
      </c>
      <c r="B35" s="171" t="s">
        <v>69</v>
      </c>
      <c r="C35" s="172">
        <v>86836</v>
      </c>
      <c r="D35" s="172">
        <v>106620</v>
      </c>
      <c r="E35" s="172">
        <f t="shared" si="0"/>
        <v>193456</v>
      </c>
      <c r="F35" s="173">
        <f>'Revenue Offset'!G34</f>
        <v>0.51753777556905833</v>
      </c>
      <c r="H35" s="32">
        <f t="shared" si="1"/>
        <v>93335.21208951225</v>
      </c>
    </row>
    <row r="36" spans="1:8" ht="15" customHeight="1" x14ac:dyDescent="0.2">
      <c r="A36" s="170" t="s">
        <v>43</v>
      </c>
      <c r="B36" s="171" t="s">
        <v>44</v>
      </c>
      <c r="C36" s="172">
        <v>698072</v>
      </c>
      <c r="D36" s="172">
        <v>1727748</v>
      </c>
      <c r="E36" s="172">
        <f t="shared" si="0"/>
        <v>2425820</v>
      </c>
      <c r="F36" s="173">
        <f>'Revenue Offset'!G35</f>
        <v>0.5508920857625127</v>
      </c>
      <c r="H36" s="32">
        <f t="shared" si="1"/>
        <v>1089454.9605155815</v>
      </c>
    </row>
    <row r="37" spans="1:8" ht="15" customHeight="1" x14ac:dyDescent="0.2">
      <c r="A37" s="170" t="s">
        <v>45</v>
      </c>
      <c r="B37" s="171" t="s">
        <v>136</v>
      </c>
      <c r="C37" s="172"/>
      <c r="D37" s="172">
        <v>2500</v>
      </c>
      <c r="E37" s="172">
        <f t="shared" si="0"/>
        <v>2500</v>
      </c>
      <c r="F37" s="173">
        <f>'Revenue Offset'!G36</f>
        <v>0.46067411255480761</v>
      </c>
      <c r="H37" s="32">
        <f t="shared" si="1"/>
        <v>1348.3147186129809</v>
      </c>
    </row>
    <row r="38" spans="1:8" ht="15" customHeight="1" x14ac:dyDescent="0.2">
      <c r="A38" s="170" t="s">
        <v>47</v>
      </c>
      <c r="B38" s="171" t="s">
        <v>48</v>
      </c>
      <c r="C38" s="172">
        <v>62205</v>
      </c>
      <c r="D38" s="172">
        <v>218281</v>
      </c>
      <c r="E38" s="172">
        <f t="shared" si="0"/>
        <v>280486</v>
      </c>
      <c r="F38" s="173">
        <f>'Revenue Offset'!G37</f>
        <v>0.59287550685049228</v>
      </c>
      <c r="H38" s="32">
        <f t="shared" si="1"/>
        <v>114192.72058553282</v>
      </c>
    </row>
    <row r="39" spans="1:8" ht="15" customHeight="1" x14ac:dyDescent="0.2">
      <c r="D39" s="11"/>
      <c r="F39" s="11"/>
    </row>
    <row r="40" spans="1:8" ht="15" customHeight="1" x14ac:dyDescent="0.2">
      <c r="B40" t="s">
        <v>49</v>
      </c>
      <c r="C40" s="176">
        <f>SUM(C9:C39)</f>
        <v>3025567</v>
      </c>
      <c r="D40" s="176">
        <f>SUM(D9:D39)</f>
        <v>6417293</v>
      </c>
      <c r="E40" s="176">
        <f>SUM(E9:E39)</f>
        <v>9442860</v>
      </c>
      <c r="F40" s="177">
        <f>'[1]Revenue Offset (2)'!G40</f>
        <v>0.58953142624222721</v>
      </c>
      <c r="H40" s="176">
        <f>SUM(H9:H39)</f>
        <v>4202662.3917300794</v>
      </c>
    </row>
    <row r="42" spans="1:8" ht="15" customHeight="1" x14ac:dyDescent="0.2">
      <c r="A42" s="15" t="s">
        <v>306</v>
      </c>
      <c r="D42" s="392"/>
    </row>
    <row r="43" spans="1:8" ht="15" customHeight="1" x14ac:dyDescent="0.2">
      <c r="A43" s="15"/>
    </row>
    <row r="44" spans="1:8" ht="15" customHeight="1" x14ac:dyDescent="0.2">
      <c r="A44" s="15"/>
    </row>
  </sheetData>
  <phoneticPr fontId="11" type="noConversion"/>
  <pageMargins left="0.75" right="0.53" top="0.47" bottom="0.28999999999999998" header="0.5" footer="0.28999999999999998"/>
  <pageSetup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K47"/>
  <sheetViews>
    <sheetView zoomScale="90" zoomScaleNormal="90" workbookViewId="0">
      <selection activeCell="G25" sqref="G25"/>
    </sheetView>
  </sheetViews>
  <sheetFormatPr defaultColWidth="9.140625" defaultRowHeight="12.75" x14ac:dyDescent="0.2"/>
  <cols>
    <col min="1" max="1" width="6" style="189" customWidth="1"/>
    <col min="2" max="2" width="31.85546875" style="179" customWidth="1"/>
    <col min="3" max="3" width="14.7109375" style="180" customWidth="1"/>
    <col min="4" max="4" width="11.5703125" style="181" bestFit="1" customWidth="1"/>
    <col min="5" max="5" width="14.7109375" style="181" customWidth="1"/>
    <col min="6" max="6" width="15.140625" style="179" customWidth="1"/>
    <col min="7" max="7" width="13.5703125" style="182" customWidth="1"/>
    <col min="8" max="8" width="2.42578125" style="182" customWidth="1"/>
    <col min="9" max="13" width="0" style="179" hidden="1" customWidth="1"/>
    <col min="14" max="16384" width="9.140625" style="179"/>
  </cols>
  <sheetData>
    <row r="1" spans="1:11" ht="15.75" x14ac:dyDescent="0.25">
      <c r="A1" s="178" t="s">
        <v>252</v>
      </c>
      <c r="G1" s="353" t="s">
        <v>286</v>
      </c>
    </row>
    <row r="2" spans="1:11" x14ac:dyDescent="0.2">
      <c r="A2" s="183" t="s">
        <v>93</v>
      </c>
    </row>
    <row r="3" spans="1:11" x14ac:dyDescent="0.2">
      <c r="A3" s="183" t="s">
        <v>314</v>
      </c>
    </row>
    <row r="4" spans="1:11" s="185" customFormat="1" ht="12.75" customHeight="1" x14ac:dyDescent="0.2">
      <c r="A4" s="184" t="s">
        <v>157</v>
      </c>
      <c r="C4" s="186"/>
      <c r="D4" s="187"/>
      <c r="E4" s="187" t="s">
        <v>94</v>
      </c>
      <c r="G4" s="188" t="s">
        <v>158</v>
      </c>
      <c r="H4" s="188"/>
    </row>
    <row r="5" spans="1:11" x14ac:dyDescent="0.2">
      <c r="C5" s="186" t="s">
        <v>79</v>
      </c>
      <c r="D5" s="187" t="s">
        <v>74</v>
      </c>
      <c r="E5" s="187" t="s">
        <v>159</v>
      </c>
      <c r="F5" s="185" t="s">
        <v>76</v>
      </c>
      <c r="G5" s="188" t="s">
        <v>77</v>
      </c>
      <c r="H5" s="188"/>
    </row>
    <row r="6" spans="1:11" s="196" customFormat="1" ht="47.25" x14ac:dyDescent="0.25">
      <c r="A6" s="190" t="s">
        <v>0</v>
      </c>
      <c r="B6" s="190" t="s">
        <v>1</v>
      </c>
      <c r="C6" s="191" t="s">
        <v>315</v>
      </c>
      <c r="D6" s="192" t="s">
        <v>95</v>
      </c>
      <c r="E6" s="192" t="s">
        <v>96</v>
      </c>
      <c r="F6" s="193" t="s">
        <v>316</v>
      </c>
      <c r="G6" s="195" t="s">
        <v>119</v>
      </c>
      <c r="H6" s="194"/>
    </row>
    <row r="7" spans="1:11" s="196" customFormat="1" x14ac:dyDescent="0.2">
      <c r="A7" s="98"/>
      <c r="B7" s="98"/>
      <c r="C7" s="161"/>
      <c r="D7" s="198"/>
      <c r="E7" s="198"/>
      <c r="G7" s="199"/>
      <c r="H7" s="199"/>
    </row>
    <row r="8" spans="1:11" x14ac:dyDescent="0.2">
      <c r="A8" s="200" t="s">
        <v>2</v>
      </c>
      <c r="B8" s="201" t="s">
        <v>128</v>
      </c>
      <c r="C8" s="202">
        <v>24077109.34</v>
      </c>
      <c r="D8" s="381">
        <v>1475227.23</v>
      </c>
      <c r="E8" s="203">
        <f t="shared" ref="E8:E37" si="0">C8-D8</f>
        <v>22601882.109999999</v>
      </c>
      <c r="F8" s="382">
        <v>12341071.869999999</v>
      </c>
      <c r="G8" s="324">
        <f>(E8-F8)/E8</f>
        <v>0.45398034509082752</v>
      </c>
      <c r="H8" s="204"/>
      <c r="I8" s="182">
        <v>0.42994600299063729</v>
      </c>
      <c r="K8" s="182">
        <f>G8-I8</f>
        <v>2.4034342100190231E-2</v>
      </c>
    </row>
    <row r="9" spans="1:11" x14ac:dyDescent="0.2">
      <c r="A9" s="200" t="s">
        <v>4</v>
      </c>
      <c r="B9" s="201" t="s">
        <v>124</v>
      </c>
      <c r="C9" s="202">
        <v>66943418.280000001</v>
      </c>
      <c r="D9" s="381">
        <v>484284.23</v>
      </c>
      <c r="E9" s="203">
        <f t="shared" si="0"/>
        <v>66459134.050000004</v>
      </c>
      <c r="F9" s="382">
        <v>35075972.710000001</v>
      </c>
      <c r="G9" s="324">
        <f t="shared" ref="G9:G37" si="1">(E9-F9)/E9</f>
        <v>0.47221742787664267</v>
      </c>
      <c r="H9" s="204"/>
      <c r="I9" s="182">
        <v>0.46785978356806973</v>
      </c>
      <c r="K9" s="182">
        <f t="shared" ref="K9:K37" si="2">G9-I9</f>
        <v>4.3576443085729388E-3</v>
      </c>
    </row>
    <row r="10" spans="1:11" x14ac:dyDescent="0.2">
      <c r="A10" s="200" t="s">
        <v>5</v>
      </c>
      <c r="B10" s="201" t="s">
        <v>113</v>
      </c>
      <c r="C10" s="205">
        <v>64182176.82</v>
      </c>
      <c r="D10" s="381">
        <v>729387.55</v>
      </c>
      <c r="E10" s="203">
        <f t="shared" si="0"/>
        <v>63452789.270000003</v>
      </c>
      <c r="F10" s="382">
        <v>27899327.120000001</v>
      </c>
      <c r="G10" s="324">
        <f t="shared" si="1"/>
        <v>0.56031362149763542</v>
      </c>
      <c r="H10" s="204"/>
      <c r="I10" s="182">
        <v>0.56619047727320571</v>
      </c>
      <c r="K10" s="182">
        <f t="shared" si="2"/>
        <v>-5.8768557755702888E-3</v>
      </c>
    </row>
    <row r="11" spans="1:11" x14ac:dyDescent="0.2">
      <c r="A11" s="200" t="s">
        <v>6</v>
      </c>
      <c r="B11" s="201" t="s">
        <v>7</v>
      </c>
      <c r="C11" s="202">
        <v>31461872.52</v>
      </c>
      <c r="D11" s="381">
        <v>1403416.38</v>
      </c>
      <c r="E11" s="203">
        <f t="shared" si="0"/>
        <v>30058456.140000001</v>
      </c>
      <c r="F11" s="382">
        <v>16709017.75</v>
      </c>
      <c r="G11" s="324">
        <f t="shared" si="1"/>
        <v>0.44411590295335773</v>
      </c>
      <c r="H11" s="204"/>
      <c r="I11" s="182">
        <v>0.42283932087747</v>
      </c>
      <c r="K11" s="182">
        <f t="shared" si="2"/>
        <v>2.1276582075887729E-2</v>
      </c>
    </row>
    <row r="12" spans="1:11" x14ac:dyDescent="0.2">
      <c r="A12" s="200" t="s">
        <v>8</v>
      </c>
      <c r="B12" s="201" t="s">
        <v>9</v>
      </c>
      <c r="C12" s="202">
        <v>60006760.109999999</v>
      </c>
      <c r="D12" s="381">
        <v>388240.51</v>
      </c>
      <c r="E12" s="203">
        <f t="shared" si="0"/>
        <v>59618519.600000001</v>
      </c>
      <c r="F12" s="382">
        <v>31173611.670000002</v>
      </c>
      <c r="G12" s="324">
        <f t="shared" si="1"/>
        <v>0.47711530109848616</v>
      </c>
      <c r="H12" s="204"/>
      <c r="I12" s="182">
        <v>0.48062341301981409</v>
      </c>
      <c r="K12" s="182">
        <f t="shared" si="2"/>
        <v>-3.5081119213279388E-3</v>
      </c>
    </row>
    <row r="13" spans="1:11" x14ac:dyDescent="0.2">
      <c r="A13" s="200" t="s">
        <v>10</v>
      </c>
      <c r="B13" s="3" t="s">
        <v>146</v>
      </c>
      <c r="C13" s="202">
        <v>54788390</v>
      </c>
      <c r="D13" s="381">
        <v>628952.24</v>
      </c>
      <c r="E13" s="203">
        <f t="shared" si="0"/>
        <v>54159437.759999998</v>
      </c>
      <c r="F13" s="382">
        <v>29801019.969999999</v>
      </c>
      <c r="G13" s="324">
        <f t="shared" si="1"/>
        <v>0.44975388957952139</v>
      </c>
      <c r="H13" s="204"/>
      <c r="I13" s="182">
        <v>0.43171641281087125</v>
      </c>
      <c r="K13" s="182">
        <f t="shared" si="2"/>
        <v>1.803747676865014E-2</v>
      </c>
    </row>
    <row r="14" spans="1:11" x14ac:dyDescent="0.2">
      <c r="A14" s="200" t="s">
        <v>12</v>
      </c>
      <c r="B14" s="201" t="s">
        <v>13</v>
      </c>
      <c r="C14" s="202">
        <v>9370485.3300000001</v>
      </c>
      <c r="D14" s="381">
        <v>47518.48</v>
      </c>
      <c r="E14" s="203">
        <f t="shared" si="0"/>
        <v>9322966.8499999996</v>
      </c>
      <c r="F14" s="382">
        <v>6109463.4900000002</v>
      </c>
      <c r="G14" s="324">
        <f t="shared" si="1"/>
        <v>0.34468677318100721</v>
      </c>
      <c r="H14" s="204"/>
      <c r="I14" s="182">
        <v>0.29974574275056504</v>
      </c>
      <c r="K14" s="182">
        <f t="shared" si="2"/>
        <v>4.4941030430442175E-2</v>
      </c>
    </row>
    <row r="15" spans="1:11" x14ac:dyDescent="0.2">
      <c r="A15" s="200" t="s">
        <v>14</v>
      </c>
      <c r="B15" s="201" t="s">
        <v>139</v>
      </c>
      <c r="C15" s="202">
        <v>39689181.25</v>
      </c>
      <c r="D15" s="381">
        <v>1104031.67</v>
      </c>
      <c r="E15" s="203">
        <f t="shared" si="0"/>
        <v>38585149.579999998</v>
      </c>
      <c r="F15" s="382">
        <v>23575595.609999999</v>
      </c>
      <c r="G15" s="324">
        <f t="shared" si="1"/>
        <v>0.38899820613316899</v>
      </c>
      <c r="H15" s="204"/>
      <c r="I15" s="182">
        <v>0.38889350360047492</v>
      </c>
      <c r="K15" s="182">
        <f t="shared" si="2"/>
        <v>1.047025326940676E-4</v>
      </c>
    </row>
    <row r="16" spans="1:11" x14ac:dyDescent="0.2">
      <c r="A16" s="200" t="s">
        <v>16</v>
      </c>
      <c r="B16" s="201" t="s">
        <v>17</v>
      </c>
      <c r="C16" s="202">
        <v>33414916.609999999</v>
      </c>
      <c r="D16" s="381">
        <v>2796292.64</v>
      </c>
      <c r="E16" s="203">
        <f t="shared" si="0"/>
        <v>30618623.969999999</v>
      </c>
      <c r="F16" s="382">
        <v>18028756.84</v>
      </c>
      <c r="G16" s="324">
        <f t="shared" si="1"/>
        <v>0.41118330929356911</v>
      </c>
      <c r="H16" s="204"/>
      <c r="I16" s="182">
        <v>0.41972966468364403</v>
      </c>
      <c r="K16" s="182">
        <f t="shared" si="2"/>
        <v>-8.5463553900749223E-3</v>
      </c>
    </row>
    <row r="17" spans="1:11" x14ac:dyDescent="0.2">
      <c r="A17" s="200" t="s">
        <v>18</v>
      </c>
      <c r="B17" s="201" t="s">
        <v>140</v>
      </c>
      <c r="C17" s="202">
        <v>80940874.159999996</v>
      </c>
      <c r="D17" s="381">
        <v>1412668.59</v>
      </c>
      <c r="E17" s="203">
        <f t="shared" si="0"/>
        <v>79528205.569999993</v>
      </c>
      <c r="F17" s="382">
        <v>34043046.390000001</v>
      </c>
      <c r="G17" s="324">
        <f t="shared" si="1"/>
        <v>0.57193745104640104</v>
      </c>
      <c r="H17" s="204"/>
      <c r="I17" s="182">
        <v>0.5815153753931428</v>
      </c>
      <c r="K17" s="182">
        <f t="shared" si="2"/>
        <v>-9.5779243467417619E-3</v>
      </c>
    </row>
    <row r="18" spans="1:11" x14ac:dyDescent="0.2">
      <c r="A18" s="200" t="s">
        <v>19</v>
      </c>
      <c r="B18" s="201" t="s">
        <v>20</v>
      </c>
      <c r="C18" s="202">
        <v>50338130.829999998</v>
      </c>
      <c r="D18" s="381">
        <v>236734.91</v>
      </c>
      <c r="E18" s="203">
        <f t="shared" si="0"/>
        <v>50101395.920000002</v>
      </c>
      <c r="F18" s="382">
        <v>26676374.390000001</v>
      </c>
      <c r="G18" s="324">
        <f t="shared" si="1"/>
        <v>0.46755227274314237</v>
      </c>
      <c r="H18" s="204"/>
      <c r="I18" s="182">
        <v>0.45444345651098822</v>
      </c>
      <c r="K18" s="182">
        <f t="shared" si="2"/>
        <v>1.3108816232154152E-2</v>
      </c>
    </row>
    <row r="19" spans="1:11" x14ac:dyDescent="0.2">
      <c r="A19" s="207" t="s">
        <v>118</v>
      </c>
      <c r="B19" s="201" t="s">
        <v>321</v>
      </c>
      <c r="C19" s="202">
        <v>38209541.640000001</v>
      </c>
      <c r="D19" s="381">
        <v>1246794.8</v>
      </c>
      <c r="E19" s="203">
        <f>C19-D19</f>
        <v>36962746.840000004</v>
      </c>
      <c r="F19" s="382">
        <v>21909035.440000001</v>
      </c>
      <c r="G19" s="324">
        <f>(E19-F19)/E19</f>
        <v>0.40726711857110459</v>
      </c>
      <c r="H19" s="204"/>
      <c r="I19" s="182">
        <v>0.40402274996031112</v>
      </c>
      <c r="K19" s="182">
        <f t="shared" si="2"/>
        <v>3.2443686107934688E-3</v>
      </c>
    </row>
    <row r="20" spans="1:11" x14ac:dyDescent="0.2">
      <c r="A20" s="200" t="s">
        <v>21</v>
      </c>
      <c r="B20" s="206" t="s">
        <v>176</v>
      </c>
      <c r="C20" s="202">
        <v>16416873.779999999</v>
      </c>
      <c r="D20" s="381">
        <v>347450.62</v>
      </c>
      <c r="E20" s="203">
        <f t="shared" si="0"/>
        <v>16069423.16</v>
      </c>
      <c r="F20" s="382">
        <v>9573095.4900000002</v>
      </c>
      <c r="G20" s="324">
        <f>(E20-F20)/E20</f>
        <v>0.40426638873825016</v>
      </c>
      <c r="H20" s="204"/>
      <c r="I20" s="182">
        <v>0.3849305676995205</v>
      </c>
      <c r="K20" s="182">
        <f t="shared" si="2"/>
        <v>1.9335821038729661E-2</v>
      </c>
    </row>
    <row r="21" spans="1:11" x14ac:dyDescent="0.2">
      <c r="A21" s="207" t="s">
        <v>109</v>
      </c>
      <c r="B21" s="201" t="s">
        <v>141</v>
      </c>
      <c r="C21" s="202">
        <v>41673960.109999999</v>
      </c>
      <c r="D21" s="381">
        <v>490937.44</v>
      </c>
      <c r="E21" s="203">
        <f>C21-D21</f>
        <v>41183022.670000002</v>
      </c>
      <c r="F21" s="382">
        <v>22973612.620000001</v>
      </c>
      <c r="G21" s="324">
        <f t="shared" si="1"/>
        <v>0.4421581726992746</v>
      </c>
      <c r="H21" s="204"/>
      <c r="I21" s="182">
        <v>0.43210891645511013</v>
      </c>
      <c r="K21" s="182">
        <f t="shared" si="2"/>
        <v>1.0049256244164473E-2</v>
      </c>
    </row>
    <row r="22" spans="1:11" x14ac:dyDescent="0.2">
      <c r="A22" s="200" t="s">
        <v>26</v>
      </c>
      <c r="B22" s="201" t="s">
        <v>62</v>
      </c>
      <c r="C22" s="202">
        <v>73391254.200000003</v>
      </c>
      <c r="D22" s="381">
        <v>264586.77</v>
      </c>
      <c r="E22" s="203">
        <f t="shared" si="0"/>
        <v>73126667.430000007</v>
      </c>
      <c r="F22" s="382">
        <v>30407906.34</v>
      </c>
      <c r="G22" s="324">
        <f t="shared" si="1"/>
        <v>0.58417486522125794</v>
      </c>
      <c r="H22" s="204"/>
      <c r="I22" s="182">
        <v>0.58500105666895075</v>
      </c>
      <c r="K22" s="182">
        <f t="shared" si="2"/>
        <v>-8.2619144769280339E-4</v>
      </c>
    </row>
    <row r="23" spans="1:11" x14ac:dyDescent="0.2">
      <c r="A23" s="200" t="s">
        <v>22</v>
      </c>
      <c r="B23" s="201" t="s">
        <v>23</v>
      </c>
      <c r="C23" s="202">
        <v>211272112.72999999</v>
      </c>
      <c r="D23" s="381">
        <v>12585134.970000001</v>
      </c>
      <c r="E23" s="203">
        <f t="shared" si="0"/>
        <v>198686977.75999999</v>
      </c>
      <c r="F23" s="382">
        <v>65202689.030000001</v>
      </c>
      <c r="G23" s="324">
        <f t="shared" si="1"/>
        <v>0.67183209606841821</v>
      </c>
      <c r="H23" s="204"/>
      <c r="I23" s="182">
        <v>0.66370517721450217</v>
      </c>
      <c r="K23" s="182">
        <f t="shared" si="2"/>
        <v>8.126918853916032E-3</v>
      </c>
    </row>
    <row r="24" spans="1:11" x14ac:dyDescent="0.2">
      <c r="A24" s="200" t="s">
        <v>24</v>
      </c>
      <c r="B24" s="201" t="s">
        <v>137</v>
      </c>
      <c r="C24" s="202">
        <v>27924432.059999999</v>
      </c>
      <c r="D24" s="381">
        <v>342749.17</v>
      </c>
      <c r="E24" s="203">
        <f t="shared" si="0"/>
        <v>27581682.889999997</v>
      </c>
      <c r="F24" s="382">
        <v>15896911.439999999</v>
      </c>
      <c r="G24" s="324">
        <f t="shared" si="1"/>
        <v>0.42364244040512927</v>
      </c>
      <c r="H24" s="204"/>
      <c r="I24" s="182">
        <v>0.41265333301265078</v>
      </c>
      <c r="K24" s="182">
        <f t="shared" si="2"/>
        <v>1.0989107392478492E-2</v>
      </c>
    </row>
    <row r="25" spans="1:11" x14ac:dyDescent="0.2">
      <c r="A25" s="200" t="s">
        <v>27</v>
      </c>
      <c r="B25" s="201" t="s">
        <v>132</v>
      </c>
      <c r="C25" s="202">
        <v>68716542.189999998</v>
      </c>
      <c r="D25" s="381">
        <v>128383.22</v>
      </c>
      <c r="E25" s="203">
        <f t="shared" si="0"/>
        <v>68588158.969999999</v>
      </c>
      <c r="F25" s="382">
        <v>32717215.59</v>
      </c>
      <c r="G25" s="324">
        <f t="shared" si="1"/>
        <v>0.5229903225087249</v>
      </c>
      <c r="H25" s="204"/>
      <c r="I25" s="182">
        <v>0.51667289381447168</v>
      </c>
      <c r="K25" s="182">
        <f t="shared" si="2"/>
        <v>6.3174286942532243E-3</v>
      </c>
    </row>
    <row r="26" spans="1:11" x14ac:dyDescent="0.2">
      <c r="A26" s="200" t="s">
        <v>29</v>
      </c>
      <c r="B26" s="201" t="s">
        <v>133</v>
      </c>
      <c r="C26" s="202">
        <v>42115209.780000001</v>
      </c>
      <c r="D26" s="381">
        <v>182097.87</v>
      </c>
      <c r="E26" s="203">
        <f t="shared" si="0"/>
        <v>41933111.910000004</v>
      </c>
      <c r="F26" s="382">
        <v>21305203.289999999</v>
      </c>
      <c r="G26" s="324">
        <f t="shared" si="1"/>
        <v>0.49192410676014631</v>
      </c>
      <c r="H26" s="204"/>
      <c r="I26" s="182">
        <v>0.45829670207333539</v>
      </c>
      <c r="K26" s="182">
        <f t="shared" si="2"/>
        <v>3.3627404686810913E-2</v>
      </c>
    </row>
    <row r="27" spans="1:11" ht="13.5" customHeight="1" x14ac:dyDescent="0.2">
      <c r="A27" s="208" t="s">
        <v>110</v>
      </c>
      <c r="B27" s="201" t="s">
        <v>134</v>
      </c>
      <c r="C27" s="202">
        <v>23746838.93</v>
      </c>
      <c r="D27" s="381">
        <v>500347.27</v>
      </c>
      <c r="E27" s="203">
        <f t="shared" si="0"/>
        <v>23246491.66</v>
      </c>
      <c r="F27" s="382">
        <v>13893141.52</v>
      </c>
      <c r="G27" s="324">
        <f t="shared" si="1"/>
        <v>0.40235534362779629</v>
      </c>
      <c r="H27" s="204"/>
      <c r="I27" s="182">
        <v>0.41468822390234633</v>
      </c>
      <c r="K27" s="182">
        <f t="shared" si="2"/>
        <v>-1.233288027455004E-2</v>
      </c>
    </row>
    <row r="28" spans="1:11" x14ac:dyDescent="0.2">
      <c r="A28" s="200" t="s">
        <v>33</v>
      </c>
      <c r="B28" s="201" t="s">
        <v>130</v>
      </c>
      <c r="C28" s="202">
        <v>9913840.0099999998</v>
      </c>
      <c r="D28" s="381">
        <v>41195.199999999997</v>
      </c>
      <c r="E28" s="203">
        <f t="shared" si="0"/>
        <v>9872644.8100000005</v>
      </c>
      <c r="F28" s="382">
        <v>6062607.3399999999</v>
      </c>
      <c r="G28" s="324">
        <f>(E28-F28)/E28</f>
        <v>0.38591862092929891</v>
      </c>
      <c r="H28" s="204"/>
      <c r="I28" s="182">
        <v>0.36799515399523164</v>
      </c>
      <c r="K28" s="182">
        <f t="shared" si="2"/>
        <v>1.7923466934067267E-2</v>
      </c>
    </row>
    <row r="29" spans="1:11" x14ac:dyDescent="0.2">
      <c r="A29" s="200" t="s">
        <v>35</v>
      </c>
      <c r="B29" s="201" t="s">
        <v>36</v>
      </c>
      <c r="C29" s="202">
        <v>30593376.609999999</v>
      </c>
      <c r="D29" s="381">
        <v>557762.26</v>
      </c>
      <c r="E29" s="203">
        <f t="shared" si="0"/>
        <v>30035614.349999998</v>
      </c>
      <c r="F29" s="382">
        <v>17095869</v>
      </c>
      <c r="G29" s="324">
        <f t="shared" si="1"/>
        <v>0.43081340701792564</v>
      </c>
      <c r="H29" s="204"/>
      <c r="I29" s="182">
        <v>0.42956518155480178</v>
      </c>
      <c r="K29" s="182">
        <f t="shared" si="2"/>
        <v>1.2482254631238643E-3</v>
      </c>
    </row>
    <row r="30" spans="1:11" x14ac:dyDescent="0.2">
      <c r="A30" s="200" t="s">
        <v>37</v>
      </c>
      <c r="B30" s="201" t="s">
        <v>131</v>
      </c>
      <c r="C30" s="202">
        <v>27147591.219999999</v>
      </c>
      <c r="D30" s="381">
        <v>1273039.67</v>
      </c>
      <c r="E30" s="203">
        <f t="shared" si="0"/>
        <v>25874551.549999997</v>
      </c>
      <c r="F30" s="382">
        <v>14004010.91</v>
      </c>
      <c r="G30" s="324">
        <f t="shared" si="1"/>
        <v>0.45877280682764138</v>
      </c>
      <c r="H30" s="204"/>
      <c r="I30" s="182">
        <v>0.46809474264819967</v>
      </c>
      <c r="K30" s="182">
        <f t="shared" si="2"/>
        <v>-9.3219358205582914E-3</v>
      </c>
    </row>
    <row r="31" spans="1:11" x14ac:dyDescent="0.2">
      <c r="A31" s="200" t="s">
        <v>39</v>
      </c>
      <c r="B31" s="201" t="s">
        <v>135</v>
      </c>
      <c r="C31" s="202">
        <v>42283893.93</v>
      </c>
      <c r="D31" s="381">
        <v>1057041.98</v>
      </c>
      <c r="E31" s="203">
        <f t="shared" si="0"/>
        <v>41226851.950000003</v>
      </c>
      <c r="F31" s="382">
        <v>20537714.780000001</v>
      </c>
      <c r="G31" s="324">
        <f t="shared" si="1"/>
        <v>0.50183645346221983</v>
      </c>
      <c r="H31" s="204"/>
      <c r="I31" s="182">
        <v>0.49449233670850162</v>
      </c>
      <c r="K31" s="182">
        <f t="shared" si="2"/>
        <v>7.3441167537182106E-3</v>
      </c>
    </row>
    <row r="32" spans="1:11" x14ac:dyDescent="0.2">
      <c r="A32" s="200" t="s">
        <v>46</v>
      </c>
      <c r="B32" s="201" t="s">
        <v>70</v>
      </c>
      <c r="C32" s="202">
        <v>45455831.140000001</v>
      </c>
      <c r="D32" s="381">
        <v>995561.87</v>
      </c>
      <c r="E32" s="203">
        <f t="shared" si="0"/>
        <v>44460269.270000003</v>
      </c>
      <c r="F32" s="382">
        <v>23693388.57</v>
      </c>
      <c r="G32" s="324">
        <f t="shared" si="1"/>
        <v>0.46708850488255266</v>
      </c>
      <c r="H32" s="204"/>
      <c r="I32" s="182">
        <v>0.4572878669125619</v>
      </c>
      <c r="K32" s="182">
        <f t="shared" si="2"/>
        <v>9.8006379699907553E-3</v>
      </c>
    </row>
    <row r="33" spans="1:11" x14ac:dyDescent="0.2">
      <c r="A33" s="200" t="s">
        <v>41</v>
      </c>
      <c r="B33" s="201" t="s">
        <v>117</v>
      </c>
      <c r="C33" s="202">
        <v>26573669.23</v>
      </c>
      <c r="D33" s="381">
        <v>574186.71</v>
      </c>
      <c r="E33" s="203">
        <f>C33-D33</f>
        <v>25999482.52</v>
      </c>
      <c r="F33" s="382">
        <v>15457940.109999999</v>
      </c>
      <c r="G33" s="324">
        <f t="shared" si="1"/>
        <v>0.40545200858866942</v>
      </c>
      <c r="H33" s="204"/>
      <c r="I33" s="182">
        <v>0.41091877982345221</v>
      </c>
      <c r="K33" s="182">
        <f t="shared" si="2"/>
        <v>-5.4667712347827857E-3</v>
      </c>
    </row>
    <row r="34" spans="1:11" x14ac:dyDescent="0.2">
      <c r="A34" s="200" t="s">
        <v>42</v>
      </c>
      <c r="B34" s="201" t="s">
        <v>69</v>
      </c>
      <c r="C34" s="202">
        <v>45084213.509999998</v>
      </c>
      <c r="D34" s="381">
        <v>1095366.58</v>
      </c>
      <c r="E34" s="203">
        <f t="shared" si="0"/>
        <v>43988846.93</v>
      </c>
      <c r="F34" s="382">
        <v>21222956.940000001</v>
      </c>
      <c r="G34" s="324">
        <f t="shared" si="1"/>
        <v>0.51753777556905833</v>
      </c>
      <c r="H34" s="204"/>
      <c r="I34" s="182">
        <v>0.52129850152811719</v>
      </c>
      <c r="K34" s="182">
        <f t="shared" si="2"/>
        <v>-3.7607259590588527E-3</v>
      </c>
    </row>
    <row r="35" spans="1:11" x14ac:dyDescent="0.2">
      <c r="A35" s="200" t="s">
        <v>43</v>
      </c>
      <c r="B35" s="201" t="s">
        <v>44</v>
      </c>
      <c r="C35" s="202">
        <v>129210830.14</v>
      </c>
      <c r="D35" s="381">
        <v>3496257.94</v>
      </c>
      <c r="E35" s="203">
        <f t="shared" si="0"/>
        <v>125714572.2</v>
      </c>
      <c r="F35" s="382">
        <v>56459409.310000002</v>
      </c>
      <c r="G35" s="324">
        <f t="shared" si="1"/>
        <v>0.5508920857625127</v>
      </c>
      <c r="H35" s="204"/>
      <c r="I35" s="182">
        <v>0.55849930289694605</v>
      </c>
      <c r="K35" s="182">
        <f t="shared" si="2"/>
        <v>-7.6072171344333528E-3</v>
      </c>
    </row>
    <row r="36" spans="1:11" x14ac:dyDescent="0.2">
      <c r="A36" s="200" t="s">
        <v>45</v>
      </c>
      <c r="B36" s="201" t="s">
        <v>136</v>
      </c>
      <c r="C36" s="202">
        <v>33009094.309999999</v>
      </c>
      <c r="D36" s="381">
        <v>299488.40999999997</v>
      </c>
      <c r="E36" s="203">
        <f t="shared" si="0"/>
        <v>32709605.899999999</v>
      </c>
      <c r="F36" s="382">
        <v>17641137.23</v>
      </c>
      <c r="G36" s="324">
        <f t="shared" si="1"/>
        <v>0.46067411255480761</v>
      </c>
      <c r="H36" s="204"/>
      <c r="I36" s="182">
        <v>0.4780402595300664</v>
      </c>
      <c r="K36" s="182">
        <f t="shared" si="2"/>
        <v>-1.7366146975258789E-2</v>
      </c>
    </row>
    <row r="37" spans="1:11" x14ac:dyDescent="0.2">
      <c r="A37" s="200" t="s">
        <v>47</v>
      </c>
      <c r="B37" s="201" t="s">
        <v>48</v>
      </c>
      <c r="C37" s="202">
        <v>96501203.909999996</v>
      </c>
      <c r="D37" s="381">
        <v>253137.19</v>
      </c>
      <c r="E37" s="203">
        <f t="shared" si="0"/>
        <v>96248066.719999999</v>
      </c>
      <c r="F37" s="382">
        <v>39184945.380000003</v>
      </c>
      <c r="G37" s="324">
        <f t="shared" si="1"/>
        <v>0.59287550685049228</v>
      </c>
      <c r="H37" s="204"/>
      <c r="I37" s="182">
        <v>0.59061211016021042</v>
      </c>
      <c r="K37" s="182">
        <f t="shared" si="2"/>
        <v>2.2633966902818603E-3</v>
      </c>
    </row>
    <row r="38" spans="1:11" x14ac:dyDescent="0.2">
      <c r="C38" s="209"/>
      <c r="D38" s="210"/>
      <c r="E38" s="210"/>
      <c r="F38" s="211"/>
      <c r="G38" s="204"/>
      <c r="H38" s="204"/>
      <c r="I38" s="182"/>
    </row>
    <row r="39" spans="1:11" x14ac:dyDescent="0.2">
      <c r="B39" s="179" t="s">
        <v>49</v>
      </c>
      <c r="C39" s="209">
        <f>SUM(C8:C38)</f>
        <v>1544453624.6800003</v>
      </c>
      <c r="D39" s="210">
        <f>SUM(D8:D38)</f>
        <v>36438274.369999997</v>
      </c>
      <c r="E39" s="210">
        <f>SUM(E8:E38)</f>
        <v>1508015350.3100002</v>
      </c>
      <c r="F39" s="210">
        <f>SUM(F8:F38)</f>
        <v>726672048.14000022</v>
      </c>
      <c r="G39" s="204">
        <f>(E39-F39)/E39</f>
        <v>0.518126889099226</v>
      </c>
      <c r="H39" s="204"/>
      <c r="I39" s="182">
        <v>0.51439411132700485</v>
      </c>
    </row>
    <row r="40" spans="1:11" x14ac:dyDescent="0.2">
      <c r="A40" s="212" t="s">
        <v>125</v>
      </c>
      <c r="C40" s="209"/>
      <c r="D40" s="210"/>
      <c r="E40" s="210"/>
      <c r="F40" s="211"/>
      <c r="H40" s="204"/>
    </row>
    <row r="41" spans="1:11" x14ac:dyDescent="0.2">
      <c r="A41" s="212"/>
      <c r="C41" s="209"/>
      <c r="D41" s="210"/>
      <c r="E41" s="210"/>
      <c r="F41" s="211"/>
      <c r="H41" s="204"/>
    </row>
    <row r="42" spans="1:11" x14ac:dyDescent="0.2">
      <c r="A42" s="15" t="s">
        <v>306</v>
      </c>
      <c r="C42" s="209"/>
      <c r="D42" s="210"/>
      <c r="E42" s="210"/>
      <c r="F42" s="211"/>
      <c r="G42" s="204"/>
      <c r="H42" s="204"/>
    </row>
    <row r="43" spans="1:11" x14ac:dyDescent="0.2">
      <c r="A43" s="15"/>
      <c r="C43" s="209"/>
      <c r="D43" s="210"/>
      <c r="E43" s="210"/>
      <c r="F43" s="211"/>
      <c r="G43" s="204"/>
      <c r="H43" s="204"/>
    </row>
    <row r="44" spans="1:11" x14ac:dyDescent="0.2">
      <c r="A44" s="213"/>
      <c r="C44" s="209"/>
      <c r="D44" s="210"/>
      <c r="E44" s="210"/>
      <c r="F44" s="211"/>
      <c r="G44" s="204"/>
      <c r="H44" s="204"/>
    </row>
    <row r="45" spans="1:11" x14ac:dyDescent="0.2">
      <c r="C45" s="209"/>
      <c r="D45" s="209"/>
      <c r="E45" s="209"/>
      <c r="F45" s="211"/>
      <c r="G45" s="204"/>
      <c r="H45" s="204"/>
    </row>
    <row r="46" spans="1:11" x14ac:dyDescent="0.2">
      <c r="C46" s="209"/>
      <c r="D46" s="210"/>
      <c r="E46" s="210"/>
      <c r="F46" s="211"/>
      <c r="G46" s="204"/>
      <c r="H46" s="204"/>
    </row>
    <row r="47" spans="1:11" x14ac:dyDescent="0.2">
      <c r="C47" s="209"/>
      <c r="D47" s="210"/>
      <c r="E47" s="210"/>
      <c r="F47" s="211"/>
      <c r="G47" s="204"/>
      <c r="H47" s="204"/>
    </row>
  </sheetData>
  <pageMargins left="0.7" right="0.7" top="0.75" bottom="0.75" header="0.3" footer="0.3"/>
  <pageSetup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18"/>
  </cols>
  <sheetData>
    <row r="2" spans="1:3" x14ac:dyDescent="0.2">
      <c r="A2" s="126" t="s">
        <v>255</v>
      </c>
    </row>
    <row r="4" spans="1:3" ht="38.25" x14ac:dyDescent="0.2">
      <c r="B4" s="215" t="s">
        <v>259</v>
      </c>
      <c r="C4" s="320" t="s">
        <v>260</v>
      </c>
    </row>
    <row r="5" spans="1:3" x14ac:dyDescent="0.2">
      <c r="A5" s="315" t="s">
        <v>212</v>
      </c>
      <c r="B5" s="11">
        <f>Summary!R42</f>
        <v>0</v>
      </c>
      <c r="C5" s="319">
        <f>Summary!S42</f>
        <v>0</v>
      </c>
    </row>
    <row r="6" spans="1:3" x14ac:dyDescent="0.2">
      <c r="A6" s="315" t="s">
        <v>205</v>
      </c>
      <c r="B6" s="11">
        <f>Summary!R43</f>
        <v>0</v>
      </c>
      <c r="C6" s="319">
        <f>Summary!S43</f>
        <v>0</v>
      </c>
    </row>
    <row r="7" spans="1:3" x14ac:dyDescent="0.2">
      <c r="A7" s="315"/>
    </row>
    <row r="8" spans="1:3" s="313" customFormat="1" x14ac:dyDescent="0.2">
      <c r="A8" s="314" t="s">
        <v>253</v>
      </c>
      <c r="B8" s="317">
        <f>Summary!R44</f>
        <v>0</v>
      </c>
      <c r="C8" s="319">
        <f>Summary!S44</f>
        <v>0</v>
      </c>
    </row>
    <row r="9" spans="1:3" x14ac:dyDescent="0.2">
      <c r="A9" s="315" t="s">
        <v>254</v>
      </c>
      <c r="B9" s="317">
        <f>Summary!R45</f>
        <v>0</v>
      </c>
      <c r="C9" s="319">
        <f>Summary!S45</f>
        <v>0</v>
      </c>
    </row>
    <row r="10" spans="1:3" x14ac:dyDescent="0.2">
      <c r="A10" s="315"/>
    </row>
    <row r="11" spans="1:3" x14ac:dyDescent="0.2">
      <c r="A11" s="316" t="s">
        <v>256</v>
      </c>
      <c r="B11" s="11">
        <f>Summary!R46</f>
        <v>0</v>
      </c>
      <c r="C11" s="319">
        <f>Summary!S46</f>
        <v>0</v>
      </c>
    </row>
    <row r="12" spans="1:3" x14ac:dyDescent="0.2">
      <c r="A12" s="316" t="s">
        <v>257</v>
      </c>
      <c r="B12" s="11">
        <f>Summary!R47</f>
        <v>0</v>
      </c>
      <c r="C12" s="319">
        <f>Summary!S47</f>
        <v>0</v>
      </c>
    </row>
    <row r="15" spans="1:3" x14ac:dyDescent="0.2">
      <c r="A15" s="126" t="s">
        <v>258</v>
      </c>
      <c r="B15" s="11">
        <f>Summary!R40</f>
        <v>0</v>
      </c>
      <c r="C15" s="319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58"/>
  <sheetViews>
    <sheetView tabSelected="1" zoomScale="90" zoomScaleNormal="90" workbookViewId="0">
      <pane xSplit="3" ySplit="5" topLeftCell="D6" activePane="bottomRight" state="frozen"/>
      <selection activeCell="D23" sqref="D23"/>
      <selection pane="topRight" activeCell="D23" sqref="D23"/>
      <selection pane="bottomLeft" activeCell="D23" sqref="D23"/>
      <selection pane="bottomRight" activeCell="C2" sqref="C2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bestFit="1" customWidth="1"/>
    <col min="4" max="4" width="8" customWidth="1"/>
    <col min="5" max="5" width="12.85546875" customWidth="1"/>
    <col min="6" max="6" width="13.85546875" customWidth="1"/>
    <col min="7" max="7" width="10.7109375" customWidth="1"/>
    <col min="8" max="8" width="10.5703125" customWidth="1"/>
    <col min="9" max="9" width="15.5703125" customWidth="1"/>
    <col min="10" max="10" width="17" bestFit="1" customWidth="1"/>
    <col min="11" max="11" width="12.5703125" style="6" customWidth="1"/>
    <col min="12" max="12" width="13.140625" style="55" bestFit="1" customWidth="1"/>
    <col min="13" max="13" width="9" style="40" customWidth="1"/>
    <col min="14" max="14" width="12.5703125" customWidth="1"/>
    <col min="15" max="15" width="13.42578125" customWidth="1"/>
    <col min="16" max="16" width="14.28515625" customWidth="1"/>
    <col min="17" max="17" width="13.7109375" style="6" customWidth="1"/>
    <col min="18" max="18" width="14.85546875" bestFit="1" customWidth="1"/>
    <col min="19" max="19" width="8.28515625" customWidth="1"/>
    <col min="20" max="20" width="2.7109375" customWidth="1"/>
    <col min="21" max="21" width="13.42578125" customWidth="1"/>
    <col min="22" max="22" width="14.5703125" style="22" customWidth="1"/>
    <col min="23" max="23" width="13.42578125" customWidth="1"/>
    <col min="24" max="24" width="2.85546875" customWidth="1"/>
  </cols>
  <sheetData>
    <row r="1" spans="1:25" ht="15.75" x14ac:dyDescent="0.25">
      <c r="A1" s="19"/>
      <c r="B1" s="36"/>
      <c r="D1" s="33"/>
      <c r="E1" s="19"/>
      <c r="F1" s="19"/>
      <c r="G1" s="19"/>
      <c r="H1" s="19"/>
      <c r="I1" s="44"/>
      <c r="J1" s="348"/>
      <c r="K1" s="20"/>
      <c r="L1" s="53"/>
      <c r="M1" s="45"/>
      <c r="P1" s="11"/>
      <c r="R1" s="354"/>
      <c r="V1" s="410"/>
      <c r="W1" s="354"/>
    </row>
    <row r="2" spans="1:25" ht="16.5" customHeight="1" x14ac:dyDescent="0.2">
      <c r="A2" s="19"/>
      <c r="B2" s="19"/>
      <c r="C2" s="19"/>
      <c r="D2" s="19"/>
      <c r="E2" s="19"/>
      <c r="F2" s="19"/>
      <c r="G2" s="19"/>
      <c r="H2" s="19"/>
      <c r="I2" s="44"/>
      <c r="J2" s="24" t="s">
        <v>147</v>
      </c>
      <c r="K2" s="23" t="s">
        <v>148</v>
      </c>
      <c r="L2" s="53"/>
      <c r="M2" s="41" t="s">
        <v>149</v>
      </c>
      <c r="N2" s="72" t="s">
        <v>150</v>
      </c>
      <c r="O2" s="72" t="s">
        <v>153</v>
      </c>
      <c r="P2" s="24" t="s">
        <v>152</v>
      </c>
      <c r="Q2" s="23" t="s">
        <v>154</v>
      </c>
      <c r="R2" s="24" t="s">
        <v>155</v>
      </c>
      <c r="S2" s="24" t="s">
        <v>156</v>
      </c>
      <c r="U2" s="19"/>
      <c r="V2" s="166"/>
      <c r="W2" s="19"/>
    </row>
    <row r="3" spans="1:25" ht="21" customHeight="1" x14ac:dyDescent="0.2">
      <c r="A3" s="26"/>
      <c r="B3" s="4"/>
      <c r="C3" s="4"/>
      <c r="D3" s="138"/>
      <c r="E3" s="14" t="s">
        <v>52</v>
      </c>
      <c r="F3" s="14" t="s">
        <v>53</v>
      </c>
      <c r="G3" s="14" t="s">
        <v>55</v>
      </c>
      <c r="H3" s="14" t="s">
        <v>54</v>
      </c>
      <c r="I3" s="14" t="s">
        <v>56</v>
      </c>
      <c r="J3" s="14" t="s">
        <v>57</v>
      </c>
      <c r="K3" s="21" t="s">
        <v>58</v>
      </c>
      <c r="L3" s="54" t="s">
        <v>59</v>
      </c>
      <c r="M3" s="42" t="s">
        <v>51</v>
      </c>
      <c r="N3" s="14" t="s">
        <v>120</v>
      </c>
      <c r="O3" s="14" t="s">
        <v>60</v>
      </c>
      <c r="P3" s="14" t="s">
        <v>151</v>
      </c>
      <c r="Q3" s="21" t="s">
        <v>61</v>
      </c>
      <c r="R3" s="14" t="s">
        <v>64</v>
      </c>
      <c r="S3" s="44" t="s">
        <v>65</v>
      </c>
      <c r="U3" s="44" t="s">
        <v>115</v>
      </c>
      <c r="V3" s="44" t="s">
        <v>138</v>
      </c>
      <c r="W3" s="44" t="s">
        <v>267</v>
      </c>
    </row>
    <row r="4" spans="1:25" ht="92.25" customHeight="1" x14ac:dyDescent="0.2">
      <c r="B4" s="1" t="s">
        <v>0</v>
      </c>
      <c r="C4" s="112" t="s">
        <v>1</v>
      </c>
      <c r="D4" s="139" t="s">
        <v>320</v>
      </c>
      <c r="E4" s="13" t="s">
        <v>261</v>
      </c>
      <c r="F4" s="13" t="s">
        <v>264</v>
      </c>
      <c r="G4" s="13" t="s">
        <v>262</v>
      </c>
      <c r="H4" s="409" t="s">
        <v>263</v>
      </c>
      <c r="I4" s="13" t="s">
        <v>265</v>
      </c>
      <c r="J4" s="13" t="s">
        <v>67</v>
      </c>
      <c r="K4" s="18" t="s">
        <v>266</v>
      </c>
      <c r="L4" s="84" t="s">
        <v>299</v>
      </c>
      <c r="M4" s="37" t="s">
        <v>300</v>
      </c>
      <c r="N4" s="152" t="s">
        <v>307</v>
      </c>
      <c r="O4" s="13" t="s">
        <v>114</v>
      </c>
      <c r="P4" s="49" t="s">
        <v>308</v>
      </c>
      <c r="Q4" s="37" t="s">
        <v>309</v>
      </c>
      <c r="R4" s="28" t="s">
        <v>310</v>
      </c>
      <c r="S4" s="28" t="s">
        <v>311</v>
      </c>
      <c r="U4" s="136" t="s">
        <v>330</v>
      </c>
      <c r="V4" s="368" t="s">
        <v>331</v>
      </c>
      <c r="W4" s="325" t="s">
        <v>276</v>
      </c>
    </row>
    <row r="5" spans="1:25" x14ac:dyDescent="0.2">
      <c r="B5" s="2"/>
      <c r="C5" s="98"/>
      <c r="D5" s="140"/>
      <c r="N5" s="16"/>
      <c r="O5" s="16"/>
      <c r="P5" s="50"/>
      <c r="Q5" s="38"/>
      <c r="R5" s="25"/>
      <c r="U5" s="137"/>
      <c r="V5" s="322"/>
      <c r="W5" s="326"/>
    </row>
    <row r="6" spans="1:25" x14ac:dyDescent="0.2">
      <c r="A6">
        <v>1</v>
      </c>
      <c r="B6" s="10" t="s">
        <v>2</v>
      </c>
      <c r="C6" s="3" t="s">
        <v>128</v>
      </c>
      <c r="D6" s="393">
        <v>1811</v>
      </c>
      <c r="E6" s="8">
        <f>Instruction!M8</f>
        <v>7777107.5</v>
      </c>
      <c r="F6" s="8">
        <f>'Student&amp;Institutional Support'!S9</f>
        <v>5801351.2338186596</v>
      </c>
      <c r="G6" s="8">
        <f>Facilities!H9</f>
        <v>1342282.8477614932</v>
      </c>
      <c r="H6" s="8">
        <f>'Student Success'!E7</f>
        <v>68999.999999999767</v>
      </c>
      <c r="I6" s="8">
        <f>Research!H9</f>
        <v>137.59695303711146</v>
      </c>
      <c r="J6" s="8">
        <f t="shared" ref="J6:J35" si="0">SUM(E6:I6)</f>
        <v>14989879.178533189</v>
      </c>
      <c r="K6" s="9">
        <f t="shared" ref="K6:K35" si="1">+J6/$J$37</f>
        <v>1.9155404025331099E-2</v>
      </c>
      <c r="L6" s="56">
        <v>11670548.209168311</v>
      </c>
      <c r="M6" s="46">
        <v>1.7574414850703213E-2</v>
      </c>
      <c r="N6" s="17">
        <f t="shared" ref="N6:N35" si="2">M6*$O$39</f>
        <v>5826486.8971588016</v>
      </c>
      <c r="O6" s="17">
        <f t="shared" ref="O6:O35" si="3">K6*$O$39</f>
        <v>6350635.9393188423</v>
      </c>
      <c r="P6" s="51">
        <f>N6+O6</f>
        <v>12177122.836477645</v>
      </c>
      <c r="Q6" s="39">
        <f t="shared" ref="Q6:Q35" si="4">P6/$P$37</f>
        <v>1.8364909438017156E-2</v>
      </c>
      <c r="R6" s="35">
        <f>P6-L6</f>
        <v>506574.62730933353</v>
      </c>
      <c r="S6" s="43">
        <f t="shared" ref="S6:S35" si="5">R6/L6</f>
        <v>4.3406240926314982E-2</v>
      </c>
      <c r="U6" s="164">
        <v>1955822.0195803079</v>
      </c>
      <c r="V6" s="356">
        <v>164571</v>
      </c>
      <c r="W6" s="327">
        <f>158333.33</f>
        <v>158333.32999999999</v>
      </c>
      <c r="Y6" s="6"/>
    </row>
    <row r="7" spans="1:25" x14ac:dyDescent="0.2">
      <c r="A7">
        <v>2</v>
      </c>
      <c r="B7" s="10" t="s">
        <v>4</v>
      </c>
      <c r="C7" s="3" t="s">
        <v>124</v>
      </c>
      <c r="D7" s="393">
        <v>5698</v>
      </c>
      <c r="E7" s="8">
        <f>Instruction!M9</f>
        <v>21089249.5</v>
      </c>
      <c r="F7" s="8">
        <f>'Student&amp;Institutional Support'!S10</f>
        <v>13805397.655264743</v>
      </c>
      <c r="G7" s="8">
        <f>Facilities!H10</f>
        <v>2298899.4941777564</v>
      </c>
      <c r="H7" s="8">
        <f>'Student Success'!E8</f>
        <v>559699.99999999977</v>
      </c>
      <c r="I7" s="8">
        <f>Research!H10</f>
        <v>23577.630844466741</v>
      </c>
      <c r="J7" s="8">
        <f>SUM(E7:I7)</f>
        <v>37776824.280286968</v>
      </c>
      <c r="K7" s="9">
        <f t="shared" si="1"/>
        <v>4.8274594028692122E-2</v>
      </c>
      <c r="L7" s="8">
        <v>31695734.673909526</v>
      </c>
      <c r="M7" s="46">
        <v>4.7729890676386721E-2</v>
      </c>
      <c r="N7" s="17">
        <f t="shared" si="2"/>
        <v>15824002.391616562</v>
      </c>
      <c r="O7" s="17">
        <f t="shared" si="3"/>
        <v>16004589.16915692</v>
      </c>
      <c r="P7" s="51">
        <f t="shared" ref="P7:P33" si="6">N7+O7</f>
        <v>31828591.560773484</v>
      </c>
      <c r="Q7" s="108">
        <f t="shared" si="4"/>
        <v>4.8002242352539422E-2</v>
      </c>
      <c r="R7" s="35">
        <f t="shared" ref="R7:R35" si="7">P7-L7</f>
        <v>132856.88686395809</v>
      </c>
      <c r="S7" s="109">
        <f t="shared" si="5"/>
        <v>4.1916329825072577E-3</v>
      </c>
      <c r="U7" s="164">
        <v>5744272.6154696662</v>
      </c>
      <c r="V7" s="356">
        <f>460977+154006</f>
        <v>614983</v>
      </c>
      <c r="W7" s="327">
        <f t="shared" ref="W7:W8" si="8">158333.33</f>
        <v>158333.32999999999</v>
      </c>
      <c r="Y7" s="6"/>
    </row>
    <row r="8" spans="1:25" ht="12" customHeight="1" x14ac:dyDescent="0.2">
      <c r="A8">
        <v>4</v>
      </c>
      <c r="B8" s="10" t="s">
        <v>5</v>
      </c>
      <c r="C8" s="3" t="s">
        <v>113</v>
      </c>
      <c r="D8" s="393">
        <v>3739</v>
      </c>
      <c r="E8" s="8">
        <f>Instruction!M10</f>
        <v>16516055</v>
      </c>
      <c r="F8" s="8">
        <f>'Student&amp;Institutional Support'!S11</f>
        <v>11704411.177028578</v>
      </c>
      <c r="G8" s="8">
        <f>Facilities!H11</f>
        <v>2160999.1926780241</v>
      </c>
      <c r="H8" s="8">
        <f>'Student Success'!E9</f>
        <v>16000</v>
      </c>
      <c r="I8" s="8">
        <f>Research!H11</f>
        <v>34254.207003605217</v>
      </c>
      <c r="J8" s="8">
        <f t="shared" si="0"/>
        <v>30431719.576710206</v>
      </c>
      <c r="K8" s="9">
        <f t="shared" si="1"/>
        <v>3.8888364391373553E-2</v>
      </c>
      <c r="L8" s="56">
        <v>25692842.35265189</v>
      </c>
      <c r="M8" s="46">
        <v>3.8690270765900904E-2</v>
      </c>
      <c r="N8" s="17">
        <f t="shared" si="2"/>
        <v>12827076.040942989</v>
      </c>
      <c r="O8" s="17">
        <f t="shared" si="3"/>
        <v>12892750.484333115</v>
      </c>
      <c r="P8" s="51">
        <f t="shared" si="6"/>
        <v>25719826.525276102</v>
      </c>
      <c r="Q8" s="39">
        <f t="shared" si="4"/>
        <v>3.8789317578637225E-2</v>
      </c>
      <c r="R8" s="35">
        <f t="shared" si="7"/>
        <v>26984.172624211758</v>
      </c>
      <c r="S8" s="43">
        <f t="shared" si="5"/>
        <v>1.0502603119513004E-3</v>
      </c>
      <c r="U8" s="164">
        <v>3912817.6806470808</v>
      </c>
      <c r="V8" s="356">
        <f>216774+76019</f>
        <v>292793</v>
      </c>
      <c r="W8" s="327">
        <f t="shared" si="8"/>
        <v>158333.32999999999</v>
      </c>
      <c r="Y8" s="6"/>
    </row>
    <row r="9" spans="1:25" x14ac:dyDescent="0.2">
      <c r="A9">
        <v>3</v>
      </c>
      <c r="B9" s="34" t="s">
        <v>6</v>
      </c>
      <c r="C9" s="3" t="s">
        <v>7</v>
      </c>
      <c r="D9" s="393">
        <v>2511</v>
      </c>
      <c r="E9" s="8">
        <f>Instruction!M11</f>
        <v>9453338.5</v>
      </c>
      <c r="F9" s="8">
        <f>'Student&amp;Institutional Support'!S12</f>
        <v>7491009.1367992042</v>
      </c>
      <c r="G9" s="8">
        <f>Facilities!H12</f>
        <v>1788921.1863311373</v>
      </c>
      <c r="H9" s="8">
        <f>'Student Success'!E10</f>
        <v>0</v>
      </c>
      <c r="I9" s="8">
        <f>Research!H12</f>
        <v>24886.931024778176</v>
      </c>
      <c r="J9" s="8">
        <f t="shared" si="0"/>
        <v>18758155.754155122</v>
      </c>
      <c r="K9" s="9">
        <f t="shared" si="1"/>
        <v>2.3970843791423505E-2</v>
      </c>
      <c r="L9" s="56">
        <v>15464860.932051582</v>
      </c>
      <c r="M9" s="46">
        <v>2.3288184647126856E-2</v>
      </c>
      <c r="N9" s="17">
        <f t="shared" si="2"/>
        <v>7720786.3737022253</v>
      </c>
      <c r="O9" s="17">
        <f t="shared" si="3"/>
        <v>7947109.9579159506</v>
      </c>
      <c r="P9" s="51">
        <f t="shared" si="6"/>
        <v>15667896.331618175</v>
      </c>
      <c r="Q9" s="39">
        <f t="shared" si="4"/>
        <v>2.3629514219275179E-2</v>
      </c>
      <c r="R9" s="35">
        <f t="shared" si="7"/>
        <v>203035.39956659265</v>
      </c>
      <c r="S9" s="43">
        <f t="shared" si="5"/>
        <v>1.3128821556086103E-2</v>
      </c>
      <c r="U9" s="164">
        <v>2044963.8834005883</v>
      </c>
      <c r="V9" s="356">
        <v>242689</v>
      </c>
      <c r="W9" s="327">
        <f>158333.33*2</f>
        <v>316666.65999999997</v>
      </c>
      <c r="Y9" s="6"/>
    </row>
    <row r="10" spans="1:25" x14ac:dyDescent="0.2">
      <c r="A10">
        <v>3</v>
      </c>
      <c r="B10" s="34" t="s">
        <v>8</v>
      </c>
      <c r="C10" s="3" t="s">
        <v>9</v>
      </c>
      <c r="D10" s="393">
        <v>5114</v>
      </c>
      <c r="E10" s="8">
        <f>Instruction!M12</f>
        <v>19322349.5</v>
      </c>
      <c r="F10" s="8">
        <f>'Student&amp;Institutional Support'!S13</f>
        <v>12093513.393362969</v>
      </c>
      <c r="G10" s="8">
        <f>Facilities!H13</f>
        <v>1930095.5303967188</v>
      </c>
      <c r="H10" s="8">
        <f>'Student Success'!E11</f>
        <v>0</v>
      </c>
      <c r="I10" s="8">
        <f>Research!H13</f>
        <v>33814.953477960902</v>
      </c>
      <c r="J10" s="8">
        <f t="shared" si="0"/>
        <v>33379773.377237648</v>
      </c>
      <c r="K10" s="9">
        <f t="shared" si="1"/>
        <v>4.2655650369127641E-2</v>
      </c>
      <c r="L10" s="56">
        <v>27838692.364293382</v>
      </c>
      <c r="M10" s="46">
        <v>4.1921657812684837E-2</v>
      </c>
      <c r="N10" s="17">
        <f t="shared" si="2"/>
        <v>13898385.353240343</v>
      </c>
      <c r="O10" s="17">
        <f t="shared" si="3"/>
        <v>14141727.623754401</v>
      </c>
      <c r="P10" s="51">
        <f t="shared" si="6"/>
        <v>28040112.976994745</v>
      </c>
      <c r="Q10" s="39">
        <f t="shared" si="4"/>
        <v>4.2288654090906243E-2</v>
      </c>
      <c r="R10" s="35">
        <f t="shared" si="7"/>
        <v>201420.61270136386</v>
      </c>
      <c r="S10" s="43">
        <f t="shared" si="5"/>
        <v>7.2352756395882688E-3</v>
      </c>
      <c r="U10" s="164">
        <v>5880882.0274588447</v>
      </c>
      <c r="V10" s="356">
        <v>592568</v>
      </c>
      <c r="W10" s="327"/>
      <c r="Y10" s="6"/>
    </row>
    <row r="11" spans="1:25" x14ac:dyDescent="0.2">
      <c r="A11">
        <v>1</v>
      </c>
      <c r="B11" s="34" t="s">
        <v>10</v>
      </c>
      <c r="C11" s="3" t="s">
        <v>146</v>
      </c>
      <c r="D11" s="393">
        <v>4050</v>
      </c>
      <c r="E11" s="8">
        <f>Instruction!M13</f>
        <v>16873141.5</v>
      </c>
      <c r="F11" s="8">
        <f>'Student&amp;Institutional Support'!S14</f>
        <v>10905052.091260269</v>
      </c>
      <c r="G11" s="8">
        <f>Facilities!H14</f>
        <v>2407810.9496667637</v>
      </c>
      <c r="H11" s="8">
        <f>'Student Success'!E12</f>
        <v>0</v>
      </c>
      <c r="I11" s="8">
        <f>Research!H14</f>
        <v>400034.42473679211</v>
      </c>
      <c r="J11" s="8">
        <f t="shared" si="0"/>
        <v>30586038.965663824</v>
      </c>
      <c r="K11" s="9">
        <f t="shared" si="1"/>
        <v>3.9085567464803399E-2</v>
      </c>
      <c r="L11" s="8">
        <v>25719065.84181156</v>
      </c>
      <c r="M11" s="46">
        <v>3.8729760125703463E-2</v>
      </c>
      <c r="N11" s="17">
        <f t="shared" si="2"/>
        <v>12840168.040842924</v>
      </c>
      <c r="O11" s="17">
        <f t="shared" si="3"/>
        <v>12958129.680919707</v>
      </c>
      <c r="P11" s="51">
        <f t="shared" si="6"/>
        <v>25798297.721762631</v>
      </c>
      <c r="Q11" s="108">
        <f t="shared" si="4"/>
        <v>3.8907663795253435E-2</v>
      </c>
      <c r="R11" s="32">
        <f t="shared" si="7"/>
        <v>79231.879951070994</v>
      </c>
      <c r="S11" s="109">
        <f t="shared" si="5"/>
        <v>3.0806670988128776E-3</v>
      </c>
      <c r="U11" s="321">
        <v>4616506.2144616414</v>
      </c>
      <c r="V11" s="356">
        <f>185049+240482</f>
        <v>425531</v>
      </c>
      <c r="W11" s="328"/>
      <c r="Y11" s="6"/>
    </row>
    <row r="12" spans="1:25" x14ac:dyDescent="0.2">
      <c r="A12">
        <v>2</v>
      </c>
      <c r="B12" s="34" t="s">
        <v>12</v>
      </c>
      <c r="C12" s="3" t="s">
        <v>13</v>
      </c>
      <c r="D12" s="393">
        <v>812</v>
      </c>
      <c r="E12" s="8">
        <f>Instruction!M14</f>
        <v>2380178.5</v>
      </c>
      <c r="F12" s="8">
        <f>'Student&amp;Institutional Support'!S15</f>
        <v>4650078.2953624548</v>
      </c>
      <c r="G12" s="8">
        <f>Facilities!H15</f>
        <v>527740.12438800535</v>
      </c>
      <c r="H12" s="8">
        <f>'Student Success'!E13</f>
        <v>148000.00000000006</v>
      </c>
      <c r="I12" s="8">
        <f>Research!H15</f>
        <v>0</v>
      </c>
      <c r="J12" s="8">
        <f t="shared" si="0"/>
        <v>7705996.9197504604</v>
      </c>
      <c r="K12" s="9">
        <f t="shared" si="1"/>
        <v>9.8474098862097251E-3</v>
      </c>
      <c r="L12" s="56">
        <v>5914838.2023293842</v>
      </c>
      <c r="M12" s="46">
        <v>8.9070212023854966E-3</v>
      </c>
      <c r="N12" s="17">
        <f t="shared" si="2"/>
        <v>2952965.5905634984</v>
      </c>
      <c r="O12" s="17">
        <f t="shared" si="3"/>
        <v>3264734.8523616539</v>
      </c>
      <c r="P12" s="51">
        <f t="shared" si="6"/>
        <v>6217700.4429251524</v>
      </c>
      <c r="Q12" s="39">
        <f t="shared" si="4"/>
        <v>9.3772155442976117E-3</v>
      </c>
      <c r="R12" s="35">
        <f t="shared" si="7"/>
        <v>302862.24059576821</v>
      </c>
      <c r="S12" s="43">
        <f t="shared" si="5"/>
        <v>5.1203808157676209E-2</v>
      </c>
      <c r="U12" s="164">
        <v>512172.56180350704</v>
      </c>
      <c r="V12" s="356">
        <v>86747</v>
      </c>
      <c r="W12" s="327">
        <f>158333.33</f>
        <v>158333.32999999999</v>
      </c>
      <c r="Y12" s="6"/>
    </row>
    <row r="13" spans="1:25" x14ac:dyDescent="0.2">
      <c r="A13">
        <v>1</v>
      </c>
      <c r="B13" s="34" t="s">
        <v>14</v>
      </c>
      <c r="C13" s="3" t="s">
        <v>139</v>
      </c>
      <c r="D13" s="393">
        <v>2546</v>
      </c>
      <c r="E13" s="8">
        <f>Instruction!M15</f>
        <v>12739150.5</v>
      </c>
      <c r="F13" s="8">
        <f>'Student&amp;Institutional Support'!S16</f>
        <v>8783469.0414857417</v>
      </c>
      <c r="G13" s="8">
        <f>Facilities!H16</f>
        <v>2824053.3462614627</v>
      </c>
      <c r="H13" s="8">
        <f>'Student Success'!E14</f>
        <v>0</v>
      </c>
      <c r="I13" s="8">
        <f>Research!H16</f>
        <v>0</v>
      </c>
      <c r="J13" s="8">
        <f t="shared" si="0"/>
        <v>24346672.887747206</v>
      </c>
      <c r="K13" s="9">
        <f t="shared" si="1"/>
        <v>3.1112349224619189E-2</v>
      </c>
      <c r="L13" s="56">
        <v>20805891.155721717</v>
      </c>
      <c r="M13" s="46">
        <v>3.1331121379711786E-2</v>
      </c>
      <c r="N13" s="17">
        <f t="shared" si="2"/>
        <v>10387280.017170999</v>
      </c>
      <c r="O13" s="17">
        <f t="shared" si="3"/>
        <v>10314749.972447535</v>
      </c>
      <c r="P13" s="51">
        <f t="shared" si="6"/>
        <v>20702029.989618532</v>
      </c>
      <c r="Q13" s="39">
        <f t="shared" si="4"/>
        <v>3.1221735302165488E-2</v>
      </c>
      <c r="R13" s="35">
        <f t="shared" si="7"/>
        <v>-103861.16610318422</v>
      </c>
      <c r="S13" s="43">
        <f t="shared" si="5"/>
        <v>-4.991911441131514E-3</v>
      </c>
      <c r="U13" s="164">
        <v>2784431.4105800511</v>
      </c>
      <c r="V13" s="356">
        <v>269574</v>
      </c>
      <c r="W13" s="327"/>
      <c r="Y13" s="6"/>
    </row>
    <row r="14" spans="1:25" x14ac:dyDescent="0.2">
      <c r="A14">
        <v>3</v>
      </c>
      <c r="B14" s="34" t="s">
        <v>16</v>
      </c>
      <c r="C14" s="3" t="s">
        <v>17</v>
      </c>
      <c r="D14" s="393">
        <v>2353</v>
      </c>
      <c r="E14" s="8">
        <f>Instruction!M16</f>
        <v>10319041.5</v>
      </c>
      <c r="F14" s="8">
        <f>'Student&amp;Institutional Support'!S17</f>
        <v>7681921.5380529538</v>
      </c>
      <c r="G14" s="8">
        <f>Facilities!H17</f>
        <v>1174883.6074672628</v>
      </c>
      <c r="H14" s="8">
        <f>'Student Success'!E15</f>
        <v>12000</v>
      </c>
      <c r="I14" s="8">
        <f>Research!H17</f>
        <v>2536.0334868725981</v>
      </c>
      <c r="J14" s="8">
        <f t="shared" si="0"/>
        <v>19190382.679007091</v>
      </c>
      <c r="K14" s="9">
        <f t="shared" si="1"/>
        <v>2.4523181890854142E-2</v>
      </c>
      <c r="L14" s="56">
        <v>16461506.312024895</v>
      </c>
      <c r="M14" s="46">
        <v>2.478901040550277E-2</v>
      </c>
      <c r="N14" s="17">
        <f t="shared" si="2"/>
        <v>8218358.6508096932</v>
      </c>
      <c r="O14" s="17">
        <f t="shared" si="3"/>
        <v>8130227.9010436805</v>
      </c>
      <c r="P14" s="51">
        <f t="shared" si="6"/>
        <v>16348586.551853374</v>
      </c>
      <c r="Q14" s="39">
        <f t="shared" si="4"/>
        <v>2.4656096148178458E-2</v>
      </c>
      <c r="R14" s="35">
        <f t="shared" si="7"/>
        <v>-112919.76017152146</v>
      </c>
      <c r="S14" s="43">
        <f t="shared" si="5"/>
        <v>-6.8596249961059268E-3</v>
      </c>
      <c r="U14" s="164">
        <v>2341624.9236212028</v>
      </c>
      <c r="V14" s="356">
        <v>206481</v>
      </c>
      <c r="W14" s="327">
        <f>158333.33</f>
        <v>158333.32999999999</v>
      </c>
      <c r="Y14" s="6"/>
    </row>
    <row r="15" spans="1:25" x14ac:dyDescent="0.2">
      <c r="A15">
        <v>4</v>
      </c>
      <c r="B15" s="34" t="s">
        <v>18</v>
      </c>
      <c r="C15" s="3" t="s">
        <v>140</v>
      </c>
      <c r="D15" s="393">
        <v>4839</v>
      </c>
      <c r="E15" s="8">
        <f>Instruction!M17</f>
        <v>22162773</v>
      </c>
      <c r="F15" s="8">
        <f>'Student&amp;Institutional Support'!S18</f>
        <v>14033024.362950731</v>
      </c>
      <c r="G15" s="8">
        <f>Facilities!H18</f>
        <v>828756.91883984953</v>
      </c>
      <c r="H15" s="8">
        <f>'Student Success'!E16</f>
        <v>0</v>
      </c>
      <c r="I15" s="8">
        <f>Research!H18</f>
        <v>177128.43019405866</v>
      </c>
      <c r="J15" s="8">
        <f t="shared" si="0"/>
        <v>37201682.711984634</v>
      </c>
      <c r="K15" s="9">
        <f t="shared" si="1"/>
        <v>4.7539626856416897E-2</v>
      </c>
      <c r="L15" s="56">
        <v>31798383.352315914</v>
      </c>
      <c r="M15" s="46">
        <v>4.7884467001839293E-2</v>
      </c>
      <c r="N15" s="17">
        <f t="shared" si="2"/>
        <v>15875249.442657031</v>
      </c>
      <c r="O15" s="17">
        <f t="shared" si="3"/>
        <v>15760923.781974364</v>
      </c>
      <c r="P15" s="51">
        <f t="shared" si="6"/>
        <v>31636173.224631395</v>
      </c>
      <c r="Q15" s="39">
        <f t="shared" si="4"/>
        <v>4.7712046929128095E-2</v>
      </c>
      <c r="R15" s="35">
        <f t="shared" si="7"/>
        <v>-162210.12768451869</v>
      </c>
      <c r="S15" s="43">
        <f t="shared" si="5"/>
        <v>-5.1012067464965873E-3</v>
      </c>
      <c r="U15" s="164">
        <v>4697709.658438988</v>
      </c>
      <c r="V15" s="356">
        <v>424640</v>
      </c>
      <c r="W15" s="327"/>
      <c r="Y15" s="6"/>
    </row>
    <row r="16" spans="1:25" x14ac:dyDescent="0.2">
      <c r="A16">
        <v>3</v>
      </c>
      <c r="B16" s="34" t="s">
        <v>19</v>
      </c>
      <c r="C16" s="3" t="s">
        <v>20</v>
      </c>
      <c r="D16" s="393">
        <v>3876</v>
      </c>
      <c r="E16" s="8">
        <f>Instruction!M18</f>
        <v>14936181.5</v>
      </c>
      <c r="F16" s="8">
        <f>'Student&amp;Institutional Support'!S19</f>
        <v>10288565.948520664</v>
      </c>
      <c r="G16" s="8">
        <f>Facilities!H19</f>
        <v>2628225.8754671202</v>
      </c>
      <c r="H16" s="8">
        <f>'Student Success'!E17</f>
        <v>152000</v>
      </c>
      <c r="I16" s="8">
        <f>Research!H19</f>
        <v>40766.327789694049</v>
      </c>
      <c r="J16" s="8">
        <f t="shared" si="0"/>
        <v>28045739.65177748</v>
      </c>
      <c r="K16" s="9">
        <f t="shared" si="1"/>
        <v>3.5839346523112929E-2</v>
      </c>
      <c r="L16" s="56">
        <v>24056678.977607299</v>
      </c>
      <c r="M16" s="46">
        <v>3.6226409308735517E-2</v>
      </c>
      <c r="N16" s="17">
        <f t="shared" si="2"/>
        <v>12010226.284149278</v>
      </c>
      <c r="O16" s="17">
        <f t="shared" si="3"/>
        <v>11881902.452717841</v>
      </c>
      <c r="P16" s="51">
        <f t="shared" si="6"/>
        <v>23892128.736867119</v>
      </c>
      <c r="Q16" s="39">
        <f t="shared" si="4"/>
        <v>3.6032877915924223E-2</v>
      </c>
      <c r="R16" s="35">
        <f t="shared" si="7"/>
        <v>-164550.24074018002</v>
      </c>
      <c r="S16" s="43">
        <f t="shared" si="5"/>
        <v>-6.8401062712500123E-3</v>
      </c>
      <c r="U16" s="164">
        <v>4282714.6944828462</v>
      </c>
      <c r="V16" s="356">
        <v>515222</v>
      </c>
      <c r="W16" s="327"/>
      <c r="Y16" s="6"/>
    </row>
    <row r="17" spans="1:25" ht="12.75" customHeight="1" x14ac:dyDescent="0.2">
      <c r="A17">
        <v>3</v>
      </c>
      <c r="B17" s="34" t="s">
        <v>118</v>
      </c>
      <c r="C17" s="3" t="s">
        <v>321</v>
      </c>
      <c r="D17" s="394">
        <v>2448</v>
      </c>
      <c r="E17" s="8">
        <f>Instruction!M19</f>
        <v>10122173</v>
      </c>
      <c r="F17" s="8">
        <f>'Student&amp;Institutional Support'!S20</f>
        <v>8248877.4940863363</v>
      </c>
      <c r="G17" s="8">
        <f>Facilities!H20</f>
        <v>2958623.2139879246</v>
      </c>
      <c r="H17" s="8">
        <f>'Student Success'!E18</f>
        <v>395600.00000000023</v>
      </c>
      <c r="I17" s="8">
        <f>Research!H20</f>
        <v>301191.28636927897</v>
      </c>
      <c r="J17" s="8">
        <f>SUM(E17:I17)</f>
        <v>22026464.99444354</v>
      </c>
      <c r="K17" s="9">
        <f t="shared" si="1"/>
        <v>2.8147380722228426E-2</v>
      </c>
      <c r="L17" s="56">
        <v>19498377.308950141</v>
      </c>
      <c r="M17" s="46">
        <v>2.9362165821295905E-2</v>
      </c>
      <c r="N17" s="17">
        <f t="shared" si="2"/>
        <v>9734507.5715644192</v>
      </c>
      <c r="O17" s="17">
        <f t="shared" si="3"/>
        <v>9331767.0238586608</v>
      </c>
      <c r="P17" s="51">
        <f>N17+O17</f>
        <v>19066274.59542308</v>
      </c>
      <c r="Q17" s="39">
        <f t="shared" si="4"/>
        <v>2.8754773271762166E-2</v>
      </c>
      <c r="R17" s="35">
        <f>P17-L17</f>
        <v>-432102.71352706105</v>
      </c>
      <c r="S17" s="43">
        <f>R17/L17</f>
        <v>-2.2160957636649967E-2</v>
      </c>
      <c r="U17" s="164">
        <v>2585106.7019193717</v>
      </c>
      <c r="V17" s="356">
        <v>204435</v>
      </c>
      <c r="W17" s="327">
        <f>158333.33*6</f>
        <v>949999.98</v>
      </c>
      <c r="Y17" s="6"/>
    </row>
    <row r="18" spans="1:25" ht="12" customHeight="1" x14ac:dyDescent="0.2">
      <c r="A18">
        <v>1</v>
      </c>
      <c r="B18" s="34" t="s">
        <v>21</v>
      </c>
      <c r="C18" s="97" t="s">
        <v>176</v>
      </c>
      <c r="D18" s="393">
        <v>1099</v>
      </c>
      <c r="E18" s="8">
        <f>Instruction!M20</f>
        <v>4941241.5</v>
      </c>
      <c r="F18" s="8">
        <f>'Student&amp;Institutional Support'!S21</f>
        <v>5098593.7838261053</v>
      </c>
      <c r="G18" s="8">
        <f>Facilities!H21</f>
        <v>875904.14997009444</v>
      </c>
      <c r="H18" s="8">
        <f>'Student Success'!E19</f>
        <v>28000</v>
      </c>
      <c r="I18" s="8">
        <f>Research!H21</f>
        <v>0</v>
      </c>
      <c r="J18" s="8">
        <f t="shared" si="0"/>
        <v>10943739.433796199</v>
      </c>
      <c r="K18" s="9">
        <f t="shared" si="1"/>
        <v>1.3984885929069083E-2</v>
      </c>
      <c r="L18" s="56">
        <v>8880821.5856525023</v>
      </c>
      <c r="M18" s="46">
        <v>1.33734285625696E-2</v>
      </c>
      <c r="N18" s="17">
        <f t="shared" si="2"/>
        <v>4433724.0785449641</v>
      </c>
      <c r="O18" s="17">
        <f t="shared" si="3"/>
        <v>4636441.9706822326</v>
      </c>
      <c r="P18" s="51">
        <f t="shared" si="6"/>
        <v>9070166.0492271967</v>
      </c>
      <c r="Q18" s="39">
        <f t="shared" si="4"/>
        <v>1.367915724581934E-2</v>
      </c>
      <c r="R18" s="35">
        <f t="shared" si="7"/>
        <v>189344.46357469447</v>
      </c>
      <c r="S18" s="43">
        <f t="shared" si="5"/>
        <v>2.1320602125437557E-2</v>
      </c>
      <c r="U18" s="164">
        <v>1214531.5869074496</v>
      </c>
      <c r="V18" s="356">
        <v>129549</v>
      </c>
      <c r="W18" s="327">
        <f>158333.33*2</f>
        <v>316666.65999999997</v>
      </c>
      <c r="Y18" s="6"/>
    </row>
    <row r="19" spans="1:25" ht="12" customHeight="1" x14ac:dyDescent="0.2">
      <c r="B19" s="34" t="s">
        <v>109</v>
      </c>
      <c r="C19" s="3" t="s">
        <v>141</v>
      </c>
      <c r="D19" s="393">
        <v>3171</v>
      </c>
      <c r="E19" s="8">
        <f>Instruction!M21</f>
        <v>12395715.5</v>
      </c>
      <c r="F19" s="8">
        <f>'Student&amp;Institutional Support'!S22</f>
        <v>9191467.8509130478</v>
      </c>
      <c r="G19" s="8">
        <f>Facilities!H22</f>
        <v>2118984.4946748973</v>
      </c>
      <c r="H19" s="8">
        <f>'Student Success'!E20</f>
        <v>68899.999999999636</v>
      </c>
      <c r="I19" s="8">
        <f>Research!H22</f>
        <v>58302.838580335316</v>
      </c>
      <c r="J19" s="8">
        <f t="shared" si="0"/>
        <v>23833370.684168283</v>
      </c>
      <c r="K19" s="9">
        <f t="shared" si="1"/>
        <v>3.0456405905827932E-2</v>
      </c>
      <c r="L19" s="56">
        <v>20541041.41090443</v>
      </c>
      <c r="M19" s="46">
        <v>3.0932290133304247E-2</v>
      </c>
      <c r="N19" s="17">
        <f t="shared" si="2"/>
        <v>10255054.560385559</v>
      </c>
      <c r="O19" s="17">
        <f t="shared" si="3"/>
        <v>10097283.54840536</v>
      </c>
      <c r="P19" s="51">
        <f t="shared" si="6"/>
        <v>20352338.108790919</v>
      </c>
      <c r="Q19" s="39">
        <f t="shared" si="4"/>
        <v>3.0694348019566092E-2</v>
      </c>
      <c r="R19" s="35">
        <f t="shared" si="7"/>
        <v>-188703.30211351067</v>
      </c>
      <c r="S19" s="43">
        <f t="shared" si="5"/>
        <v>-9.1866472755045177E-3</v>
      </c>
      <c r="U19" s="164">
        <v>3123744.2601654986</v>
      </c>
      <c r="V19" s="356">
        <v>305233</v>
      </c>
      <c r="W19" s="327">
        <f>158333.33*4</f>
        <v>633333.31999999995</v>
      </c>
      <c r="Y19" s="6"/>
    </row>
    <row r="20" spans="1:25" x14ac:dyDescent="0.2">
      <c r="A20">
        <v>4</v>
      </c>
      <c r="B20" s="34" t="s">
        <v>26</v>
      </c>
      <c r="C20" s="3" t="s">
        <v>62</v>
      </c>
      <c r="D20" s="393">
        <v>4228</v>
      </c>
      <c r="E20" s="8">
        <f>Instruction!M22</f>
        <v>18373148</v>
      </c>
      <c r="F20" s="8">
        <f>'Student&amp;Institutional Support'!S23</f>
        <v>11233798.525784906</v>
      </c>
      <c r="G20" s="8">
        <f>Facilities!H23</f>
        <v>2385129.3114517126</v>
      </c>
      <c r="H20" s="8">
        <f>'Student Success'!E21</f>
        <v>0</v>
      </c>
      <c r="I20" s="8">
        <f>Research!H23</f>
        <v>212790.19622032568</v>
      </c>
      <c r="J20" s="8">
        <f t="shared" si="0"/>
        <v>32204866.033456948</v>
      </c>
      <c r="K20" s="9">
        <f t="shared" si="1"/>
        <v>4.1154249017295648E-2</v>
      </c>
      <c r="L20" s="56">
        <v>28660689.010775473</v>
      </c>
      <c r="M20" s="46">
        <v>4.3159483989506107E-2</v>
      </c>
      <c r="N20" s="17">
        <f t="shared" si="2"/>
        <v>14308764.763392979</v>
      </c>
      <c r="O20" s="17">
        <f t="shared" si="3"/>
        <v>13643964.518800976</v>
      </c>
      <c r="P20" s="51">
        <f t="shared" si="6"/>
        <v>27952729.282193955</v>
      </c>
      <c r="Q20" s="39">
        <f t="shared" si="4"/>
        <v>4.2156866503400878E-2</v>
      </c>
      <c r="R20" s="35">
        <f t="shared" si="7"/>
        <v>-707959.72858151793</v>
      </c>
      <c r="S20" s="43">
        <f t="shared" si="5"/>
        <v>-2.4701420413003626E-2</v>
      </c>
      <c r="U20" s="164">
        <v>3817454.9497544914</v>
      </c>
      <c r="V20" s="356">
        <v>218434</v>
      </c>
      <c r="W20" s="327"/>
      <c r="Y20" s="6"/>
    </row>
    <row r="21" spans="1:25" x14ac:dyDescent="0.2">
      <c r="A21">
        <v>4</v>
      </c>
      <c r="B21" s="34" t="s">
        <v>22</v>
      </c>
      <c r="C21" s="3" t="s">
        <v>23</v>
      </c>
      <c r="D21" s="393">
        <v>13052</v>
      </c>
      <c r="E21" s="8">
        <f>Instruction!M23</f>
        <v>48883203.5</v>
      </c>
      <c r="F21" s="8">
        <f>'Student&amp;Institutional Support'!S24</f>
        <v>20248841.683900323</v>
      </c>
      <c r="G21" s="8">
        <f>Facilities!H24</f>
        <v>2968861.1890906361</v>
      </c>
      <c r="H21" s="8">
        <f>'Student Success'!E22</f>
        <v>0</v>
      </c>
      <c r="I21" s="8">
        <f>Research!H24</f>
        <v>826973.27287046821</v>
      </c>
      <c r="J21" s="8">
        <f t="shared" si="0"/>
        <v>72927879.645861432</v>
      </c>
      <c r="K21" s="9">
        <f t="shared" si="1"/>
        <v>9.3193746439782427E-2</v>
      </c>
      <c r="L21" s="56">
        <v>61087429.58483088</v>
      </c>
      <c r="M21" s="46">
        <v>9.1990179933753594E-2</v>
      </c>
      <c r="N21" s="17">
        <f t="shared" si="2"/>
        <v>30497719.702448554</v>
      </c>
      <c r="O21" s="17">
        <f t="shared" si="3"/>
        <v>30896740.923741482</v>
      </c>
      <c r="P21" s="51">
        <f t="shared" si="6"/>
        <v>61394460.626190037</v>
      </c>
      <c r="Q21" s="39">
        <f t="shared" si="4"/>
        <v>9.2591963186768003E-2</v>
      </c>
      <c r="R21" s="35">
        <f t="shared" si="7"/>
        <v>307031.04135915637</v>
      </c>
      <c r="S21" s="43">
        <f t="shared" si="5"/>
        <v>5.0260920036386304E-3</v>
      </c>
      <c r="U21" s="164">
        <v>12088541.03262751</v>
      </c>
      <c r="V21" s="356">
        <v>709131</v>
      </c>
      <c r="W21" s="327"/>
      <c r="Y21" s="6"/>
    </row>
    <row r="22" spans="1:25" x14ac:dyDescent="0.2">
      <c r="A22">
        <v>3</v>
      </c>
      <c r="B22" s="34" t="s">
        <v>24</v>
      </c>
      <c r="C22" s="3" t="s">
        <v>137</v>
      </c>
      <c r="D22" s="393">
        <v>1918</v>
      </c>
      <c r="E22" s="8">
        <f>Instruction!M24</f>
        <v>8571711</v>
      </c>
      <c r="F22" s="8">
        <f>'Student&amp;Institutional Support'!S25</f>
        <v>7025425.8453109665</v>
      </c>
      <c r="G22" s="8">
        <f>Facilities!H25</f>
        <v>1710165.2690421024</v>
      </c>
      <c r="H22" s="8">
        <f>'Student Success'!E23</f>
        <v>492400.00000000029</v>
      </c>
      <c r="I22" s="8">
        <f>Research!H25</f>
        <v>318607.57715624652</v>
      </c>
      <c r="J22" s="8">
        <f t="shared" si="0"/>
        <v>18118309.691509314</v>
      </c>
      <c r="K22" s="9">
        <f t="shared" si="1"/>
        <v>2.31531914475974E-2</v>
      </c>
      <c r="L22" s="56">
        <v>14031061.821291629</v>
      </c>
      <c r="M22" s="46">
        <v>2.1129058963102066E-2</v>
      </c>
      <c r="N22" s="17">
        <f t="shared" si="2"/>
        <v>7004966.3811642602</v>
      </c>
      <c r="O22" s="17">
        <f t="shared" si="3"/>
        <v>7676031.7622431451</v>
      </c>
      <c r="P22" s="51">
        <f t="shared" si="6"/>
        <v>14680998.143407404</v>
      </c>
      <c r="Q22" s="39">
        <f t="shared" si="4"/>
        <v>2.2141125205349731E-2</v>
      </c>
      <c r="R22" s="35">
        <f t="shared" si="7"/>
        <v>649936.3221157752</v>
      </c>
      <c r="S22" s="43">
        <f t="shared" si="5"/>
        <v>4.6321249980491162E-2</v>
      </c>
      <c r="U22" s="164">
        <v>2087307.0887051232</v>
      </c>
      <c r="V22" s="356">
        <v>204947</v>
      </c>
      <c r="W22" s="327">
        <f>158333.33*5</f>
        <v>791666.64999999991</v>
      </c>
      <c r="Y22" s="6"/>
    </row>
    <row r="23" spans="1:25" x14ac:dyDescent="0.2">
      <c r="A23">
        <v>2</v>
      </c>
      <c r="B23" s="34" t="s">
        <v>27</v>
      </c>
      <c r="C23" s="3" t="s">
        <v>132</v>
      </c>
      <c r="D23" s="393">
        <v>6083</v>
      </c>
      <c r="E23" s="8">
        <f>Instruction!M25</f>
        <v>20291567.5</v>
      </c>
      <c r="F23" s="8">
        <f>'Student&amp;Institutional Support'!S26</f>
        <v>12981467.88267706</v>
      </c>
      <c r="G23" s="8">
        <f>Facilities!H26</f>
        <v>1392293.4616131464</v>
      </c>
      <c r="H23" s="8">
        <f>'Student Success'!E24</f>
        <v>60000</v>
      </c>
      <c r="I23" s="8">
        <f>Research!H26</f>
        <v>64090.543258050231</v>
      </c>
      <c r="J23" s="8">
        <f t="shared" si="0"/>
        <v>34789419.387548253</v>
      </c>
      <c r="K23" s="9">
        <f t="shared" si="1"/>
        <v>4.4457021716994498E-2</v>
      </c>
      <c r="L23" s="56">
        <v>28322494.083486479</v>
      </c>
      <c r="M23" s="46">
        <v>4.2650203890057907E-2</v>
      </c>
      <c r="N23" s="17">
        <f t="shared" si="2"/>
        <v>14139921.939798204</v>
      </c>
      <c r="O23" s="17">
        <f t="shared" si="3"/>
        <v>14738940.483723026</v>
      </c>
      <c r="P23" s="51">
        <f t="shared" si="6"/>
        <v>28878862.423521228</v>
      </c>
      <c r="Q23" s="39">
        <f t="shared" si="4"/>
        <v>4.3553612803526202E-2</v>
      </c>
      <c r="R23" s="35">
        <f t="shared" si="7"/>
        <v>556368.34003474936</v>
      </c>
      <c r="S23" s="43">
        <f t="shared" si="5"/>
        <v>1.964404470858877E-2</v>
      </c>
      <c r="U23" s="164">
        <v>6715076.7055433914</v>
      </c>
      <c r="V23" s="356">
        <v>689056</v>
      </c>
      <c r="W23" s="327"/>
      <c r="Y23" s="6"/>
    </row>
    <row r="24" spans="1:25" ht="14.25" customHeight="1" x14ac:dyDescent="0.2">
      <c r="A24">
        <v>2</v>
      </c>
      <c r="B24" s="34" t="s">
        <v>29</v>
      </c>
      <c r="C24" s="97" t="s">
        <v>133</v>
      </c>
      <c r="D24" s="393">
        <v>2893</v>
      </c>
      <c r="E24" s="8">
        <f>Instruction!M26</f>
        <v>11740453</v>
      </c>
      <c r="F24" s="8">
        <f>'Student&amp;Institutional Support'!S27</f>
        <v>8282536.308300985</v>
      </c>
      <c r="G24" s="8">
        <f>Facilities!H27</f>
        <v>1246007.8609608833</v>
      </c>
      <c r="H24" s="8">
        <f>'Student Success'!E25</f>
        <v>428799.99999999953</v>
      </c>
      <c r="I24" s="8">
        <f>Research!H27</f>
        <v>0</v>
      </c>
      <c r="J24" s="8">
        <f t="shared" si="0"/>
        <v>21697797.169261869</v>
      </c>
      <c r="K24" s="9">
        <f t="shared" si="1"/>
        <v>2.7727379673087357E-2</v>
      </c>
      <c r="L24" s="56">
        <v>18971159.29464893</v>
      </c>
      <c r="M24" s="46">
        <v>2.8568240126116095E-2</v>
      </c>
      <c r="N24" s="17">
        <f t="shared" si="2"/>
        <v>9471295.5272614043</v>
      </c>
      <c r="O24" s="17">
        <f t="shared" si="3"/>
        <v>9192523.092814466</v>
      </c>
      <c r="P24" s="51">
        <f t="shared" si="6"/>
        <v>18663818.62007587</v>
      </c>
      <c r="Q24" s="39">
        <f t="shared" si="4"/>
        <v>2.8147809899601726E-2</v>
      </c>
      <c r="R24" s="35">
        <f t="shared" si="7"/>
        <v>-307340.67457306013</v>
      </c>
      <c r="S24" s="43">
        <f t="shared" si="5"/>
        <v>-1.6200416105290397E-2</v>
      </c>
      <c r="U24" s="164">
        <v>3351674.4336884213</v>
      </c>
      <c r="V24" s="356">
        <v>347071</v>
      </c>
      <c r="W24" s="327"/>
      <c r="Y24" s="6"/>
    </row>
    <row r="25" spans="1:25" x14ac:dyDescent="0.2">
      <c r="A25">
        <v>3</v>
      </c>
      <c r="B25" s="34" t="s">
        <v>110</v>
      </c>
      <c r="C25" s="3" t="s">
        <v>134</v>
      </c>
      <c r="D25" s="393">
        <v>1450</v>
      </c>
      <c r="E25" s="8">
        <f>Instruction!M27</f>
        <v>7287124</v>
      </c>
      <c r="F25" s="8">
        <f>'Student&amp;Institutional Support'!S28</f>
        <v>5932953.9301229026</v>
      </c>
      <c r="G25" s="8">
        <f>Facilities!H28</f>
        <v>1497951.5078477007</v>
      </c>
      <c r="H25" s="8">
        <f>'Student Success'!E26</f>
        <v>14300.000000000069</v>
      </c>
      <c r="I25" s="8">
        <f>Research!H28</f>
        <v>38413.012643667025</v>
      </c>
      <c r="J25" s="8">
        <f t="shared" si="0"/>
        <v>14770742.45061427</v>
      </c>
      <c r="K25" s="9">
        <f t="shared" si="1"/>
        <v>1.8875371577432031E-2</v>
      </c>
      <c r="L25" s="56">
        <v>12837664.163300484</v>
      </c>
      <c r="M25" s="46">
        <v>1.9331948394901207E-2</v>
      </c>
      <c r="N25" s="17">
        <f t="shared" si="2"/>
        <v>6409166.1074527893</v>
      </c>
      <c r="O25" s="17">
        <f t="shared" si="3"/>
        <v>6257796.1263109045</v>
      </c>
      <c r="P25" s="51">
        <f t="shared" si="6"/>
        <v>12666962.233763695</v>
      </c>
      <c r="Q25" s="39">
        <f t="shared" si="4"/>
        <v>1.9103659986166619E-2</v>
      </c>
      <c r="R25" s="35">
        <f t="shared" si="7"/>
        <v>-170701.92953678966</v>
      </c>
      <c r="S25" s="43">
        <f t="shared" si="5"/>
        <v>-1.3296961765426277E-2</v>
      </c>
      <c r="U25" s="164">
        <v>1644761.6927453983</v>
      </c>
      <c r="V25" s="356">
        <v>138816</v>
      </c>
      <c r="W25" s="327">
        <f>158333.33*2</f>
        <v>316666.65999999997</v>
      </c>
      <c r="Y25" s="6"/>
    </row>
    <row r="26" spans="1:25" x14ac:dyDescent="0.2">
      <c r="A26">
        <v>1</v>
      </c>
      <c r="B26" s="34" t="s">
        <v>33</v>
      </c>
      <c r="C26" s="3" t="s">
        <v>130</v>
      </c>
      <c r="D26" s="393">
        <v>815</v>
      </c>
      <c r="E26" s="8">
        <f>Instruction!M28</f>
        <v>3140470</v>
      </c>
      <c r="F26" s="8">
        <f>'Student&amp;Institutional Support'!S29</f>
        <v>4531911.8985713618</v>
      </c>
      <c r="G26" s="8">
        <f>Facilities!H29</f>
        <v>344714.58214133809</v>
      </c>
      <c r="H26" s="8">
        <f>'Student Success'!E27</f>
        <v>0</v>
      </c>
      <c r="I26" s="8">
        <f>Research!H29</f>
        <v>0</v>
      </c>
      <c r="J26" s="8">
        <f t="shared" si="0"/>
        <v>8017096.4807126997</v>
      </c>
      <c r="K26" s="9">
        <f t="shared" si="1"/>
        <v>1.0244960641046292E-2</v>
      </c>
      <c r="L26" s="56">
        <v>6105072.4952727519</v>
      </c>
      <c r="M26" s="46">
        <v>9.1934907257614842E-3</v>
      </c>
      <c r="N26" s="17">
        <f t="shared" si="2"/>
        <v>3047939.5022734939</v>
      </c>
      <c r="O26" s="17">
        <f t="shared" si="3"/>
        <v>3396535.7847789377</v>
      </c>
      <c r="P26" s="51">
        <f t="shared" si="6"/>
        <v>6444475.2870524321</v>
      </c>
      <c r="Q26" s="39">
        <f t="shared" si="4"/>
        <v>9.7192256834038888E-3</v>
      </c>
      <c r="R26" s="35">
        <f t="shared" si="7"/>
        <v>339402.79177968018</v>
      </c>
      <c r="S26" s="43">
        <f t="shared" si="5"/>
        <v>5.5593572728658801E-2</v>
      </c>
      <c r="U26" s="164">
        <v>698255.63099340675</v>
      </c>
      <c r="V26" s="356">
        <v>107366</v>
      </c>
      <c r="W26" s="327">
        <f>158333.33</f>
        <v>158333.32999999999</v>
      </c>
      <c r="Y26" s="6"/>
    </row>
    <row r="27" spans="1:25" x14ac:dyDescent="0.2">
      <c r="A27">
        <v>3</v>
      </c>
      <c r="B27" s="34" t="s">
        <v>35</v>
      </c>
      <c r="C27" s="3" t="s">
        <v>36</v>
      </c>
      <c r="D27" s="393">
        <v>2140</v>
      </c>
      <c r="E27" s="8">
        <f>Instruction!M29</f>
        <v>9893389.5</v>
      </c>
      <c r="F27" s="8">
        <f>'Student&amp;Institutional Support'!S30</f>
        <v>6642781.5567423776</v>
      </c>
      <c r="G27" s="8">
        <f>Facilities!H30</f>
        <v>1942989.5834684335</v>
      </c>
      <c r="H27" s="8">
        <f>'Student Success'!E28</f>
        <v>296300.00000000041</v>
      </c>
      <c r="I27" s="8">
        <f>Research!H30</f>
        <v>2338.2185239703613</v>
      </c>
      <c r="J27" s="8">
        <f t="shared" si="0"/>
        <v>18777798.858734783</v>
      </c>
      <c r="K27" s="9">
        <f t="shared" si="1"/>
        <v>2.3995945501721083E-2</v>
      </c>
      <c r="L27" s="56">
        <v>15850408.632741401</v>
      </c>
      <c r="M27" s="46">
        <v>2.3868772218097568E-2</v>
      </c>
      <c r="N27" s="17">
        <f t="shared" si="2"/>
        <v>7913269.9302616492</v>
      </c>
      <c r="O27" s="17">
        <f t="shared" si="3"/>
        <v>7955431.98669401</v>
      </c>
      <c r="P27" s="51">
        <f t="shared" si="6"/>
        <v>15868701.916955659</v>
      </c>
      <c r="Q27" s="39">
        <f t="shared" si="4"/>
        <v>2.3932358859909325E-2</v>
      </c>
      <c r="R27" s="35">
        <f t="shared" si="7"/>
        <v>18293.284214258194</v>
      </c>
      <c r="S27" s="43">
        <f t="shared" si="5"/>
        <v>1.1541206689441852E-3</v>
      </c>
      <c r="U27" s="164">
        <v>2478556.6650009537</v>
      </c>
      <c r="V27" s="356">
        <v>187103</v>
      </c>
      <c r="W27" s="327">
        <f>158333.33*2</f>
        <v>316666.65999999997</v>
      </c>
      <c r="Y27" s="6"/>
    </row>
    <row r="28" spans="1:25" x14ac:dyDescent="0.2">
      <c r="A28">
        <v>3</v>
      </c>
      <c r="B28" s="34" t="s">
        <v>37</v>
      </c>
      <c r="C28" s="3" t="s">
        <v>131</v>
      </c>
      <c r="D28" s="393">
        <v>1978</v>
      </c>
      <c r="E28" s="8">
        <f>Instruction!M30</f>
        <v>7624747.75</v>
      </c>
      <c r="F28" s="8">
        <f>'Student&amp;Institutional Support'!S31</f>
        <v>6293257.6514449604</v>
      </c>
      <c r="G28" s="8">
        <f>Facilities!H31</f>
        <v>1479368.7607295983</v>
      </c>
      <c r="H28" s="8">
        <f>'Student Success'!E29</f>
        <v>104700.00000000049</v>
      </c>
      <c r="I28" s="8">
        <f>Research!H31</f>
        <v>0</v>
      </c>
      <c r="J28" s="8">
        <f t="shared" si="0"/>
        <v>15502074.162174558</v>
      </c>
      <c r="K28" s="9">
        <f t="shared" si="1"/>
        <v>1.9809932439772821E-2</v>
      </c>
      <c r="L28" s="56">
        <v>12626852.841583004</v>
      </c>
      <c r="M28" s="46">
        <v>1.9014492388834795E-2</v>
      </c>
      <c r="N28" s="17">
        <f t="shared" si="2"/>
        <v>6303919.1745970817</v>
      </c>
      <c r="O28" s="17">
        <f t="shared" si="3"/>
        <v>6567633.276809725</v>
      </c>
      <c r="P28" s="51">
        <f t="shared" si="6"/>
        <v>12871552.451406807</v>
      </c>
      <c r="Q28" s="39">
        <f t="shared" si="4"/>
        <v>1.9412212414303808E-2</v>
      </c>
      <c r="R28" s="35">
        <f t="shared" si="7"/>
        <v>244699.60982380249</v>
      </c>
      <c r="S28" s="43">
        <f t="shared" si="5"/>
        <v>1.9379303211482186E-2</v>
      </c>
      <c r="U28" s="164">
        <v>1993055.7429461272</v>
      </c>
      <c r="V28" s="356">
        <v>228117</v>
      </c>
      <c r="W28" s="327">
        <f>158333.33*3</f>
        <v>474999.99</v>
      </c>
      <c r="Y28" s="6"/>
    </row>
    <row r="29" spans="1:25" x14ac:dyDescent="0.2">
      <c r="A29">
        <v>3</v>
      </c>
      <c r="B29" s="34" t="s">
        <v>39</v>
      </c>
      <c r="C29" s="3" t="s">
        <v>135</v>
      </c>
      <c r="D29" s="393">
        <v>2981</v>
      </c>
      <c r="E29" s="8">
        <f>Instruction!M31</f>
        <v>11766585.5</v>
      </c>
      <c r="F29" s="8">
        <f>'Student&amp;Institutional Support'!S32</f>
        <v>7528192.1543411557</v>
      </c>
      <c r="G29" s="8">
        <f>Facilities!H32</f>
        <v>1535412.2841436865</v>
      </c>
      <c r="H29" s="8">
        <f>'Student Success'!E30</f>
        <v>0</v>
      </c>
      <c r="I29" s="8">
        <f>Research!H32</f>
        <v>329887.3876621438</v>
      </c>
      <c r="J29" s="8">
        <f t="shared" si="0"/>
        <v>21160077.326146983</v>
      </c>
      <c r="K29" s="9">
        <f t="shared" si="1"/>
        <v>2.7040233317561415E-2</v>
      </c>
      <c r="L29" s="56">
        <v>18321096.093201824</v>
      </c>
      <c r="M29" s="46">
        <v>2.7589324639315509E-2</v>
      </c>
      <c r="N29" s="17">
        <f t="shared" si="2"/>
        <v>9146753.3842812516</v>
      </c>
      <c r="O29" s="17">
        <f t="shared" si="3"/>
        <v>8964711.8529573325</v>
      </c>
      <c r="P29" s="51">
        <f t="shared" si="6"/>
        <v>18111465.237238586</v>
      </c>
      <c r="Q29" s="39">
        <f t="shared" si="4"/>
        <v>2.7314778978438467E-2</v>
      </c>
      <c r="R29" s="35">
        <f t="shared" si="7"/>
        <v>-209630.85596323758</v>
      </c>
      <c r="S29" s="43">
        <f t="shared" si="5"/>
        <v>-1.1442047729940275E-2</v>
      </c>
      <c r="U29" s="164">
        <v>3433998.6817227826</v>
      </c>
      <c r="V29" s="356">
        <v>292667</v>
      </c>
      <c r="W29" s="327">
        <f>158333.33</f>
        <v>158333.32999999999</v>
      </c>
      <c r="Y29" s="6"/>
    </row>
    <row r="30" spans="1:25" x14ac:dyDescent="0.2">
      <c r="A30">
        <v>1</v>
      </c>
      <c r="B30" s="34" t="s">
        <v>46</v>
      </c>
      <c r="C30" s="3" t="s">
        <v>70</v>
      </c>
      <c r="D30" s="393">
        <v>3447</v>
      </c>
      <c r="E30" s="8">
        <f>Instruction!M32</f>
        <v>13541542</v>
      </c>
      <c r="F30" s="8">
        <f>'Student&amp;Institutional Support'!S33</f>
        <v>9237484.4746811427</v>
      </c>
      <c r="G30" s="8">
        <f>Facilities!H33</f>
        <v>1484558.1975234291</v>
      </c>
      <c r="H30" s="8">
        <f>'Student Success'!E31</f>
        <v>294100.00000000035</v>
      </c>
      <c r="I30" s="8">
        <f>Research!H33</f>
        <v>0</v>
      </c>
      <c r="J30" s="8">
        <f t="shared" si="0"/>
        <v>24557684.672204573</v>
      </c>
      <c r="K30" s="9">
        <f t="shared" si="1"/>
        <v>3.1381998895390083E-2</v>
      </c>
      <c r="L30" s="56">
        <v>20896661.354243964</v>
      </c>
      <c r="M30" s="46">
        <v>3.1467810170702555E-2</v>
      </c>
      <c r="N30" s="17">
        <f t="shared" si="2"/>
        <v>10432596.772036627</v>
      </c>
      <c r="O30" s="17">
        <f t="shared" si="3"/>
        <v>10404147.559048088</v>
      </c>
      <c r="P30" s="51">
        <f t="shared" si="6"/>
        <v>20836744.331084713</v>
      </c>
      <c r="Q30" s="39">
        <f t="shared" si="4"/>
        <v>3.1424904533046312E-2</v>
      </c>
      <c r="R30" s="35">
        <f t="shared" si="7"/>
        <v>-59917.023159250617</v>
      </c>
      <c r="S30" s="43">
        <f t="shared" si="5"/>
        <v>-2.8673012470043159E-3</v>
      </c>
      <c r="U30" s="164">
        <v>3961179.0368878162</v>
      </c>
      <c r="V30" s="356">
        <v>406167</v>
      </c>
      <c r="W30" s="327"/>
      <c r="Y30" s="6"/>
    </row>
    <row r="31" spans="1:25" x14ac:dyDescent="0.2">
      <c r="A31">
        <v>4</v>
      </c>
      <c r="B31" s="34" t="s">
        <v>41</v>
      </c>
      <c r="C31" s="3" t="s">
        <v>117</v>
      </c>
      <c r="D31" s="393">
        <v>1835</v>
      </c>
      <c r="E31" s="8">
        <f>Instruction!M33</f>
        <v>9358164</v>
      </c>
      <c r="F31" s="8">
        <f>'Student&amp;Institutional Support'!S34</f>
        <v>6649295.562704457</v>
      </c>
      <c r="G31" s="8">
        <f>Facilities!H34</f>
        <v>1256523.67052862</v>
      </c>
      <c r="H31" s="8">
        <f>'Student Success'!E32</f>
        <v>0</v>
      </c>
      <c r="I31" s="8">
        <f>Research!H34</f>
        <v>14600.315025088044</v>
      </c>
      <c r="J31" s="8">
        <f t="shared" si="0"/>
        <v>17278583.548258163</v>
      </c>
      <c r="K31" s="9">
        <f t="shared" si="1"/>
        <v>2.2080114516620907E-2</v>
      </c>
      <c r="L31" s="56">
        <v>14057160.785741005</v>
      </c>
      <c r="M31" s="46">
        <v>2.1168360803957047E-2</v>
      </c>
      <c r="N31" s="17">
        <f t="shared" si="2"/>
        <v>7017996.2124685217</v>
      </c>
      <c r="O31" s="17">
        <f t="shared" si="3"/>
        <v>7320272.055243413</v>
      </c>
      <c r="P31" s="51">
        <f t="shared" si="6"/>
        <v>14338268.267711934</v>
      </c>
      <c r="Q31" s="39">
        <f t="shared" si="4"/>
        <v>2.1624237660288977E-2</v>
      </c>
      <c r="R31" s="35">
        <f t="shared" si="7"/>
        <v>281107.48197092861</v>
      </c>
      <c r="S31" s="43">
        <f t="shared" si="5"/>
        <v>1.9997457968615701E-2</v>
      </c>
      <c r="U31" s="164">
        <v>2098450.1721383394</v>
      </c>
      <c r="V31" s="356">
        <v>182476</v>
      </c>
      <c r="W31" s="327">
        <f>158333.33*2</f>
        <v>316666.65999999997</v>
      </c>
      <c r="Y31" s="6"/>
    </row>
    <row r="32" spans="1:25" x14ac:dyDescent="0.2">
      <c r="A32">
        <v>4</v>
      </c>
      <c r="B32" s="34" t="s">
        <v>42</v>
      </c>
      <c r="C32" s="3" t="s">
        <v>69</v>
      </c>
      <c r="D32" s="393">
        <v>3240</v>
      </c>
      <c r="E32" s="8">
        <f>Instruction!M34</f>
        <v>10890675.5</v>
      </c>
      <c r="F32" s="8">
        <f>'Student&amp;Institutional Support'!S35</f>
        <v>12514414.399372704</v>
      </c>
      <c r="G32" s="8">
        <f>Facilities!H35</f>
        <v>1932818.4527151391</v>
      </c>
      <c r="H32" s="8">
        <f>'Student Success'!E33</f>
        <v>0</v>
      </c>
      <c r="I32" s="8">
        <f>Research!H35</f>
        <v>93335.21208951225</v>
      </c>
      <c r="J32" s="8">
        <f t="shared" si="0"/>
        <v>25431243.564177357</v>
      </c>
      <c r="K32" s="9">
        <f t="shared" si="1"/>
        <v>3.2498310329015435E-2</v>
      </c>
      <c r="L32" s="56">
        <v>21026828.77520746</v>
      </c>
      <c r="M32" s="46">
        <v>3.1663826348782467E-2</v>
      </c>
      <c r="N32" s="17">
        <f t="shared" si="2"/>
        <v>10497582.474429334</v>
      </c>
      <c r="O32" s="17">
        <f t="shared" si="3"/>
        <v>10774240.901922967</v>
      </c>
      <c r="P32" s="51">
        <f t="shared" si="6"/>
        <v>21271823.376352303</v>
      </c>
      <c r="Q32" s="39">
        <f t="shared" si="4"/>
        <v>3.2081068338898955E-2</v>
      </c>
      <c r="R32" s="35">
        <f>P32-L32</f>
        <v>244994.6011448428</v>
      </c>
      <c r="S32" s="43">
        <f t="shared" si="5"/>
        <v>1.1651524048824408E-2</v>
      </c>
      <c r="U32" s="164">
        <v>1956854.9333033143</v>
      </c>
      <c r="V32" s="356">
        <v>349772</v>
      </c>
      <c r="W32" s="327"/>
      <c r="Y32" s="6"/>
    </row>
    <row r="33" spans="1:25" x14ac:dyDescent="0.2">
      <c r="A33">
        <v>1</v>
      </c>
      <c r="B33" s="34" t="s">
        <v>43</v>
      </c>
      <c r="C33" s="3" t="s">
        <v>44</v>
      </c>
      <c r="D33" s="393">
        <v>7228</v>
      </c>
      <c r="E33" s="8">
        <f>Instruction!M35</f>
        <v>33359332</v>
      </c>
      <c r="F33" s="8">
        <f>'Student&amp;Institutional Support'!S36</f>
        <v>18661596.400911622</v>
      </c>
      <c r="G33" s="8">
        <f>Facilities!H36</f>
        <v>4690236.0469434867</v>
      </c>
      <c r="H33" s="8">
        <f>'Student Success'!E34</f>
        <v>56069.320163990138</v>
      </c>
      <c r="I33" s="8">
        <f>Research!H36</f>
        <v>1089454.9605155815</v>
      </c>
      <c r="J33" s="8">
        <f t="shared" si="0"/>
        <v>57856688.728534676</v>
      </c>
      <c r="K33" s="9">
        <f t="shared" si="1"/>
        <v>7.393443502533617E-2</v>
      </c>
      <c r="L33" s="56">
        <v>52924878.49960348</v>
      </c>
      <c r="M33" s="46">
        <v>7.9698378688363158E-2</v>
      </c>
      <c r="N33" s="17">
        <f t="shared" si="2"/>
        <v>26422590.060457546</v>
      </c>
      <c r="O33" s="17">
        <f t="shared" si="3"/>
        <v>24511656.324462093</v>
      </c>
      <c r="P33" s="51">
        <f t="shared" si="6"/>
        <v>50934246.384919643</v>
      </c>
      <c r="Q33" s="39">
        <f t="shared" si="4"/>
        <v>7.6816406856849664E-2</v>
      </c>
      <c r="R33" s="35">
        <f t="shared" si="7"/>
        <v>-1990632.1146838367</v>
      </c>
      <c r="S33" s="43">
        <f t="shared" si="5"/>
        <v>-3.7612407833846055E-2</v>
      </c>
      <c r="U33" s="164">
        <v>5871946.9173377063</v>
      </c>
      <c r="V33" s="356">
        <v>514912</v>
      </c>
      <c r="W33" s="327"/>
      <c r="Y33" s="6"/>
    </row>
    <row r="34" spans="1:25" x14ac:dyDescent="0.2">
      <c r="A34">
        <v>1</v>
      </c>
      <c r="B34" s="34" t="s">
        <v>45</v>
      </c>
      <c r="C34" s="3" t="s">
        <v>136</v>
      </c>
      <c r="D34" s="393">
        <v>2464</v>
      </c>
      <c r="E34" s="8">
        <f>Instruction!M36</f>
        <v>10581784.5</v>
      </c>
      <c r="F34" s="8">
        <f>'Student&amp;Institutional Support'!S37</f>
        <v>6923455.0178781999</v>
      </c>
      <c r="G34" s="8">
        <f>Facilities!H37</f>
        <v>1355579.4383168677</v>
      </c>
      <c r="H34" s="8">
        <f>'Student Success'!E35</f>
        <v>0</v>
      </c>
      <c r="I34" s="8">
        <f>Research!H37</f>
        <v>1348.3147186129809</v>
      </c>
      <c r="J34" s="8">
        <f t="shared" si="0"/>
        <v>18862167.270913679</v>
      </c>
      <c r="K34" s="9">
        <f t="shared" si="1"/>
        <v>2.4103758980603344E-2</v>
      </c>
      <c r="L34" s="56">
        <v>15868240.420421517</v>
      </c>
      <c r="M34" s="46">
        <v>2.3895624704253601E-2</v>
      </c>
      <c r="N34" s="17">
        <f t="shared" si="2"/>
        <v>7922172.397858629</v>
      </c>
      <c r="O34" s="17">
        <f t="shared" si="3"/>
        <v>7991175.6417392008</v>
      </c>
      <c r="P34" s="51">
        <f>N34+O34</f>
        <v>15913348.03959783</v>
      </c>
      <c r="Q34" s="39">
        <f t="shared" si="4"/>
        <v>2.3999691842428474E-2</v>
      </c>
      <c r="R34" s="35">
        <f t="shared" si="7"/>
        <v>45107.619176313281</v>
      </c>
      <c r="S34" s="43">
        <f t="shared" si="5"/>
        <v>2.8426352249025896E-3</v>
      </c>
      <c r="U34" s="164">
        <v>2821194.4826922147</v>
      </c>
      <c r="V34" s="356">
        <v>253196</v>
      </c>
      <c r="W34" s="327">
        <f>158333.33</f>
        <v>158333.32999999999</v>
      </c>
      <c r="Y34" s="6"/>
    </row>
    <row r="35" spans="1:25" x14ac:dyDescent="0.2">
      <c r="A35">
        <v>4</v>
      </c>
      <c r="B35" s="34" t="s">
        <v>47</v>
      </c>
      <c r="C35" s="3" t="s">
        <v>48</v>
      </c>
      <c r="D35" s="393">
        <v>5678</v>
      </c>
      <c r="E35" s="8">
        <f>Instruction!M37</f>
        <v>25634584.5</v>
      </c>
      <c r="F35" s="8">
        <f>'Student&amp;Institutional Support'!S38</f>
        <v>13044334.195161691</v>
      </c>
      <c r="G35" s="8">
        <f>Facilities!H38</f>
        <v>2578504.6567602153</v>
      </c>
      <c r="H35" s="8">
        <f>'Student Success'!E36</f>
        <v>0</v>
      </c>
      <c r="I35" s="8">
        <f>Research!H38</f>
        <v>114192.72058553282</v>
      </c>
      <c r="J35" s="8">
        <f t="shared" si="0"/>
        <v>41371616.072507441</v>
      </c>
      <c r="K35" s="9">
        <f t="shared" si="1"/>
        <v>5.2868339471653418E-2</v>
      </c>
      <c r="L35" s="56">
        <v>36437701.4642573</v>
      </c>
      <c r="M35" s="46">
        <v>5.4870711320644042E-2</v>
      </c>
      <c r="N35" s="17">
        <f t="shared" si="2"/>
        <v>18191415.376468319</v>
      </c>
      <c r="O35" s="17">
        <f t="shared" si="3"/>
        <v>17527564.349819962</v>
      </c>
      <c r="P35" s="51">
        <f>N35+O35</f>
        <v>35718979.726288281</v>
      </c>
      <c r="Q35" s="39">
        <f t="shared" si="4"/>
        <v>5.3869525396148726E-2</v>
      </c>
      <c r="R35" s="35">
        <f t="shared" si="7"/>
        <v>-718721.73796901852</v>
      </c>
      <c r="S35" s="43">
        <f t="shared" si="5"/>
        <v>-1.9724672772623474E-2</v>
      </c>
      <c r="U35" s="164">
        <v>5448102.294975942</v>
      </c>
      <c r="V35" s="356">
        <v>296761</v>
      </c>
      <c r="W35" s="327"/>
      <c r="Y35" s="6"/>
    </row>
    <row r="36" spans="1:25" x14ac:dyDescent="0.2">
      <c r="L36" s="58"/>
      <c r="M36" s="38"/>
      <c r="N36" s="16"/>
      <c r="O36" s="16"/>
      <c r="P36" s="11"/>
      <c r="R36" s="11"/>
      <c r="W36" s="130"/>
    </row>
    <row r="37" spans="1:25" x14ac:dyDescent="0.2">
      <c r="B37" s="4"/>
      <c r="C37" s="4" t="s">
        <v>49</v>
      </c>
      <c r="D37" s="12">
        <f t="shared" ref="D37:R37" si="9">SUM(D6:D36)</f>
        <v>105497</v>
      </c>
      <c r="E37" s="12">
        <f t="shared" si="9"/>
        <v>431966178.75</v>
      </c>
      <c r="F37" s="12">
        <f t="shared" si="9"/>
        <v>287508480.49063927</v>
      </c>
      <c r="G37" s="12">
        <f t="shared" si="9"/>
        <v>55667295.205345504</v>
      </c>
      <c r="H37" s="12">
        <f t="shared" si="9"/>
        <v>3195869.3201639904</v>
      </c>
      <c r="I37" s="12">
        <f t="shared" si="9"/>
        <v>4202662.3917300794</v>
      </c>
      <c r="J37" s="12">
        <f t="shared" si="9"/>
        <v>782540486.15787888</v>
      </c>
      <c r="K37" s="7">
        <f t="shared" si="9"/>
        <v>1</v>
      </c>
      <c r="L37" s="5">
        <f t="shared" si="9"/>
        <v>664064682.00000024</v>
      </c>
      <c r="M37" s="47">
        <v>2.3849775598084811E-2</v>
      </c>
      <c r="N37" s="5">
        <f t="shared" si="9"/>
        <v>331532340.99999982</v>
      </c>
      <c r="O37" s="5">
        <f t="shared" si="9"/>
        <v>331532341</v>
      </c>
      <c r="P37" s="5">
        <f t="shared" si="9"/>
        <v>663064682</v>
      </c>
      <c r="Q37" s="7">
        <f t="shared" si="9"/>
        <v>1</v>
      </c>
      <c r="R37" s="5">
        <f t="shared" si="9"/>
        <v>-1000000.0000001872</v>
      </c>
      <c r="S37" s="163">
        <f>R37/L37</f>
        <v>-1.5058774048763322E-3</v>
      </c>
      <c r="U37" s="162">
        <f t="shared" ref="U37:W37" si="10">SUM(U6:U36)</f>
        <v>106163710.69999997</v>
      </c>
      <c r="V37" s="162">
        <f>SUM(V6:V36)</f>
        <v>9601008</v>
      </c>
      <c r="W37" s="162">
        <f t="shared" si="10"/>
        <v>5699999.8799999999</v>
      </c>
    </row>
    <row r="38" spans="1:25" ht="18.75" customHeight="1" x14ac:dyDescent="0.2">
      <c r="B38" s="15" t="s">
        <v>306</v>
      </c>
      <c r="C38" s="4"/>
      <c r="D38" s="12"/>
      <c r="E38" s="12"/>
      <c r="F38" s="12"/>
      <c r="G38" s="12"/>
      <c r="H38" s="396"/>
      <c r="I38" s="396"/>
      <c r="J38" s="12"/>
      <c r="K38" s="7"/>
      <c r="L38" s="397"/>
      <c r="M38" s="47"/>
      <c r="N38" s="5"/>
      <c r="O38" s="5"/>
      <c r="P38" s="5"/>
      <c r="Q38" s="7"/>
      <c r="R38" s="5"/>
    </row>
    <row r="39" spans="1:25" ht="21" hidden="1" customHeight="1" x14ac:dyDescent="0.2">
      <c r="B39" s="15"/>
      <c r="E39" s="158"/>
      <c r="F39" s="158"/>
      <c r="G39" s="158"/>
      <c r="H39" s="159"/>
      <c r="I39" s="159"/>
      <c r="N39" s="22"/>
      <c r="O39" s="83">
        <f>(O41)/2</f>
        <v>331532341</v>
      </c>
      <c r="P39" s="40"/>
      <c r="Q39" s="48"/>
      <c r="R39" s="22"/>
    </row>
    <row r="40" spans="1:25" ht="12" customHeight="1" x14ac:dyDescent="0.2">
      <c r="B40" s="430"/>
      <c r="C40" s="431"/>
      <c r="E40" s="158"/>
      <c r="F40" s="158"/>
      <c r="G40" s="158"/>
      <c r="H40" s="159"/>
      <c r="I40" s="159"/>
      <c r="J40" s="11"/>
      <c r="L40" s="4"/>
      <c r="P40" s="40"/>
      <c r="Q40"/>
      <c r="R40" s="11"/>
      <c r="S40" s="323"/>
    </row>
    <row r="41" spans="1:25" x14ac:dyDescent="0.2">
      <c r="J41" s="151"/>
      <c r="N41" s="134" t="s">
        <v>127</v>
      </c>
      <c r="O41" s="380">
        <f>602564682+60500000</f>
        <v>663064682</v>
      </c>
      <c r="Q41" s="244"/>
      <c r="R41" s="11"/>
      <c r="S41" s="244"/>
    </row>
    <row r="42" spans="1:25" x14ac:dyDescent="0.2">
      <c r="M42" s="244"/>
      <c r="Q42" s="244"/>
      <c r="R42" s="11"/>
      <c r="S42" s="244"/>
    </row>
    <row r="43" spans="1:25" x14ac:dyDescent="0.2">
      <c r="J43" s="130"/>
      <c r="M43" s="244"/>
      <c r="N43" s="126"/>
      <c r="O43" s="48"/>
      <c r="Q43" s="395"/>
      <c r="R43" s="11"/>
      <c r="S43" s="379"/>
    </row>
    <row r="44" spans="1:25" x14ac:dyDescent="0.2">
      <c r="O44" s="16"/>
      <c r="P44" s="6"/>
      <c r="Q44" s="395"/>
      <c r="R44" s="11"/>
      <c r="S44" s="379"/>
    </row>
    <row r="45" spans="1:25" x14ac:dyDescent="0.2">
      <c r="M45" s="244"/>
      <c r="P45" s="6"/>
      <c r="Q45" s="395"/>
      <c r="R45" s="11"/>
      <c r="S45" s="11"/>
    </row>
    <row r="46" spans="1:25" x14ac:dyDescent="0.2">
      <c r="M46" s="244"/>
      <c r="O46" s="11"/>
      <c r="P46" s="6"/>
      <c r="Q46" s="244"/>
      <c r="R46" s="411"/>
      <c r="S46" s="379"/>
    </row>
    <row r="47" spans="1:25" x14ac:dyDescent="0.2">
      <c r="R47" s="11"/>
      <c r="S47" s="244"/>
    </row>
    <row r="48" spans="1:25" x14ac:dyDescent="0.2">
      <c r="P48" s="48"/>
    </row>
    <row r="49" spans="13:23" x14ac:dyDescent="0.2">
      <c r="M49" s="244"/>
      <c r="Q49" s="244"/>
      <c r="R49" s="11"/>
      <c r="S49" s="379"/>
    </row>
    <row r="50" spans="13:23" x14ac:dyDescent="0.2">
      <c r="M50" s="244"/>
      <c r="Q50" s="244"/>
      <c r="R50" s="11"/>
      <c r="S50" s="379"/>
    </row>
    <row r="51" spans="13:23" x14ac:dyDescent="0.2">
      <c r="P51" s="123"/>
    </row>
    <row r="52" spans="13:23" x14ac:dyDescent="0.2">
      <c r="S52" s="6"/>
    </row>
    <row r="53" spans="13:23" x14ac:dyDescent="0.2">
      <c r="M53" s="38"/>
      <c r="Q53" s="38"/>
      <c r="S53" s="6"/>
    </row>
    <row r="58" spans="13:23" x14ac:dyDescent="0.2">
      <c r="P58" s="48"/>
      <c r="Q58" s="22"/>
      <c r="R58" s="22"/>
      <c r="U58" s="130"/>
      <c r="W58" s="130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FY2025
COLLEGE/UNIVERSITY ALLOCATION
(BASED ON FY2023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9"/>
  <sheetViews>
    <sheetView topLeftCell="A7" zoomScale="90" zoomScaleNormal="90" workbookViewId="0">
      <selection activeCell="C6" sqref="C6"/>
    </sheetView>
  </sheetViews>
  <sheetFormatPr defaultColWidth="9.140625" defaultRowHeight="15" customHeight="1" x14ac:dyDescent="0.2"/>
  <cols>
    <col min="1" max="1" width="7.28515625" style="52" customWidth="1"/>
    <col min="2" max="2" width="31.7109375" style="52" customWidth="1"/>
    <col min="3" max="3" width="16.140625" customWidth="1"/>
    <col min="4" max="5" width="12.7109375" style="11" customWidth="1"/>
    <col min="6" max="6" width="12.5703125" style="11" customWidth="1"/>
    <col min="7" max="7" width="13" style="11" customWidth="1"/>
    <col min="8" max="8" width="11" style="11" customWidth="1"/>
    <col min="9" max="9" width="10.42578125" style="11" customWidth="1"/>
    <col min="10" max="10" width="12.85546875" style="58" customWidth="1"/>
    <col min="11" max="12" width="15.85546875" customWidth="1"/>
    <col min="13" max="13" width="13.7109375" customWidth="1"/>
    <col min="14" max="16384" width="9.140625" style="52"/>
  </cols>
  <sheetData>
    <row r="1" spans="1:13" ht="15" customHeight="1" x14ac:dyDescent="0.25">
      <c r="A1" s="57" t="s">
        <v>72</v>
      </c>
      <c r="M1" s="4" t="s">
        <v>277</v>
      </c>
    </row>
    <row r="2" spans="1:13" ht="15" customHeight="1" x14ac:dyDescent="0.2">
      <c r="A2" s="59" t="s">
        <v>73</v>
      </c>
      <c r="H2" s="5"/>
    </row>
    <row r="3" spans="1:13" ht="15" customHeight="1" x14ac:dyDescent="0.2">
      <c r="A3" s="60" t="s">
        <v>323</v>
      </c>
    </row>
    <row r="4" spans="1:13" s="61" customFormat="1" ht="15" customHeight="1" x14ac:dyDescent="0.2">
      <c r="C4" s="19"/>
      <c r="D4" s="29" t="s">
        <v>74</v>
      </c>
      <c r="E4" s="29" t="s">
        <v>75</v>
      </c>
      <c r="F4" s="29" t="s">
        <v>76</v>
      </c>
      <c r="G4" s="29" t="s">
        <v>77</v>
      </c>
      <c r="H4" s="29" t="s">
        <v>78</v>
      </c>
      <c r="I4" s="29" t="s">
        <v>81</v>
      </c>
      <c r="J4" s="62" t="s">
        <v>293</v>
      </c>
      <c r="K4" s="19" t="s">
        <v>294</v>
      </c>
      <c r="L4" s="19"/>
      <c r="M4" s="19" t="s">
        <v>295</v>
      </c>
    </row>
    <row r="5" spans="1:13" ht="27.75" customHeight="1" x14ac:dyDescent="0.2">
      <c r="B5" s="63"/>
      <c r="C5" s="19" t="s">
        <v>79</v>
      </c>
      <c r="D5" s="365"/>
      <c r="E5" s="364" t="s">
        <v>121</v>
      </c>
      <c r="F5" s="141"/>
      <c r="G5" s="142" t="s">
        <v>80</v>
      </c>
      <c r="H5" s="141" t="s">
        <v>121</v>
      </c>
      <c r="I5" s="143" t="s">
        <v>121</v>
      </c>
      <c r="J5" s="62" t="s">
        <v>82</v>
      </c>
      <c r="K5" s="19" t="s">
        <v>111</v>
      </c>
      <c r="L5" s="19" t="s">
        <v>123</v>
      </c>
      <c r="M5" s="19" t="s">
        <v>99</v>
      </c>
    </row>
    <row r="6" spans="1:13" s="67" customFormat="1" ht="90" customHeight="1" x14ac:dyDescent="0.2">
      <c r="A6" s="64" t="s">
        <v>0</v>
      </c>
      <c r="B6" s="65" t="s">
        <v>83</v>
      </c>
      <c r="C6" s="27" t="s">
        <v>288</v>
      </c>
      <c r="D6" s="366" t="s">
        <v>289</v>
      </c>
      <c r="E6" s="84" t="s">
        <v>290</v>
      </c>
      <c r="F6" s="144" t="s">
        <v>84</v>
      </c>
      <c r="G6" s="144" t="s">
        <v>85</v>
      </c>
      <c r="H6" s="84" t="s">
        <v>291</v>
      </c>
      <c r="I6" s="84" t="s">
        <v>292</v>
      </c>
      <c r="J6" s="66" t="s">
        <v>86</v>
      </c>
      <c r="K6" s="312" t="s">
        <v>313</v>
      </c>
      <c r="L6" s="312" t="s">
        <v>301</v>
      </c>
      <c r="M6" s="312" t="s">
        <v>142</v>
      </c>
    </row>
    <row r="7" spans="1:13" ht="15" customHeight="1" x14ac:dyDescent="0.2">
      <c r="B7" s="68"/>
      <c r="C7" s="105"/>
      <c r="D7" s="367"/>
      <c r="E7" s="145"/>
      <c r="F7" s="146"/>
      <c r="G7" s="146"/>
    </row>
    <row r="8" spans="1:13" ht="15" customHeight="1" x14ac:dyDescent="0.2">
      <c r="A8" s="69" t="s">
        <v>2</v>
      </c>
      <c r="B8" s="3" t="s">
        <v>128</v>
      </c>
      <c r="C8" s="106">
        <f>148846+7328130</f>
        <v>7476976</v>
      </c>
      <c r="D8" s="363">
        <v>22700</v>
      </c>
      <c r="E8" s="8">
        <v>476364</v>
      </c>
      <c r="F8" s="345"/>
      <c r="G8" s="104"/>
      <c r="H8" s="8"/>
      <c r="I8" s="8"/>
      <c r="J8" s="56">
        <f t="shared" ref="J8:J13" si="0">SUM(D8:I8)</f>
        <v>499064</v>
      </c>
      <c r="K8" s="32">
        <f t="shared" ref="K8:K12" si="1">+C8+J8</f>
        <v>7976040</v>
      </c>
      <c r="L8" s="32">
        <v>7578175</v>
      </c>
      <c r="M8" s="32">
        <f>AVERAGE(K8:L8)</f>
        <v>7777107.5</v>
      </c>
    </row>
    <row r="9" spans="1:13" customFormat="1" ht="15" customHeight="1" x14ac:dyDescent="0.2">
      <c r="A9" s="10" t="s">
        <v>4</v>
      </c>
      <c r="B9" s="3" t="s">
        <v>124</v>
      </c>
      <c r="C9" s="106">
        <f>572360+21130646</f>
        <v>21703006</v>
      </c>
      <c r="D9" s="363">
        <v>186212</v>
      </c>
      <c r="E9" s="8">
        <v>-668679</v>
      </c>
      <c r="F9" s="345"/>
      <c r="G9" s="104"/>
      <c r="H9" s="104"/>
      <c r="I9" s="104"/>
      <c r="J9" s="56">
        <f t="shared" si="0"/>
        <v>-482467</v>
      </c>
      <c r="K9" s="32">
        <f t="shared" si="1"/>
        <v>21220539</v>
      </c>
      <c r="L9" s="32">
        <v>20957960</v>
      </c>
      <c r="M9" s="32">
        <f t="shared" ref="M9:M37" si="2">AVERAGE(K9:L9)</f>
        <v>21089249.5</v>
      </c>
    </row>
    <row r="10" spans="1:13" ht="15" customHeight="1" x14ac:dyDescent="0.2">
      <c r="A10" s="69" t="s">
        <v>5</v>
      </c>
      <c r="B10" s="97" t="s">
        <v>113</v>
      </c>
      <c r="C10" s="106">
        <f>172472+7399083+7970488+1222722</f>
        <v>16764765</v>
      </c>
      <c r="D10" s="363">
        <v>-1736</v>
      </c>
      <c r="E10" s="8">
        <v>-186274</v>
      </c>
      <c r="F10" s="345"/>
      <c r="G10" s="147">
        <v>426924</v>
      </c>
      <c r="H10" s="147">
        <v>-53443</v>
      </c>
      <c r="I10" s="147">
        <v>-73697</v>
      </c>
      <c r="J10" s="56">
        <f t="shared" si="0"/>
        <v>111774</v>
      </c>
      <c r="K10" s="32">
        <f>+C10+J10</f>
        <v>16876539</v>
      </c>
      <c r="L10" s="32">
        <v>16155571</v>
      </c>
      <c r="M10" s="32">
        <f t="shared" si="2"/>
        <v>16516055</v>
      </c>
    </row>
    <row r="11" spans="1:13" ht="15" customHeight="1" x14ac:dyDescent="0.2">
      <c r="A11" s="69" t="s">
        <v>6</v>
      </c>
      <c r="B11" s="3" t="s">
        <v>7</v>
      </c>
      <c r="C11" s="106">
        <f>1254501+8758294</f>
        <v>10012795</v>
      </c>
      <c r="D11" s="363">
        <v>-52039</v>
      </c>
      <c r="E11" s="8">
        <v>-509137</v>
      </c>
      <c r="F11" s="369">
        <v>240475</v>
      </c>
      <c r="G11" s="104"/>
      <c r="H11" s="8"/>
      <c r="I11" s="8"/>
      <c r="J11" s="56">
        <f t="shared" si="0"/>
        <v>-320701</v>
      </c>
      <c r="K11" s="32">
        <f t="shared" si="1"/>
        <v>9692094</v>
      </c>
      <c r="L11" s="32">
        <v>9214583</v>
      </c>
      <c r="M11" s="32">
        <f t="shared" si="2"/>
        <v>9453338.5</v>
      </c>
    </row>
    <row r="12" spans="1:13" ht="15" customHeight="1" x14ac:dyDescent="0.2">
      <c r="A12" s="69" t="s">
        <v>8</v>
      </c>
      <c r="B12" s="3" t="s">
        <v>9</v>
      </c>
      <c r="C12" s="106">
        <f>83158+18606376</f>
        <v>18689534</v>
      </c>
      <c r="D12" s="363">
        <v>28502</v>
      </c>
      <c r="E12" s="8">
        <v>1070810</v>
      </c>
      <c r="F12" s="345"/>
      <c r="G12" s="104"/>
      <c r="H12" s="8"/>
      <c r="I12" s="8"/>
      <c r="J12" s="56">
        <f t="shared" si="0"/>
        <v>1099312</v>
      </c>
      <c r="K12" s="32">
        <f t="shared" si="1"/>
        <v>19788846</v>
      </c>
      <c r="L12" s="32">
        <v>18855853</v>
      </c>
      <c r="M12" s="32">
        <f t="shared" si="2"/>
        <v>19322349.5</v>
      </c>
    </row>
    <row r="13" spans="1:13" ht="15" customHeight="1" x14ac:dyDescent="0.2">
      <c r="A13" s="69" t="s">
        <v>10</v>
      </c>
      <c r="B13" s="3" t="s">
        <v>146</v>
      </c>
      <c r="C13" s="106">
        <f>342637+17129080</f>
        <v>17471717</v>
      </c>
      <c r="D13" s="363">
        <v>-114199</v>
      </c>
      <c r="E13" s="8">
        <v>-164271</v>
      </c>
      <c r="F13" s="345"/>
      <c r="G13" s="104"/>
      <c r="H13" s="8"/>
      <c r="I13" s="8"/>
      <c r="J13" s="56">
        <f t="shared" si="0"/>
        <v>-278470</v>
      </c>
      <c r="K13" s="32">
        <f t="shared" ref="K13:K37" si="3">+C13+J13</f>
        <v>17193247</v>
      </c>
      <c r="L13" s="32">
        <v>16553036</v>
      </c>
      <c r="M13" s="32">
        <f t="shared" si="2"/>
        <v>16873141.5</v>
      </c>
    </row>
    <row r="14" spans="1:13" ht="15" customHeight="1" x14ac:dyDescent="0.2">
      <c r="A14" s="69" t="s">
        <v>12</v>
      </c>
      <c r="B14" s="3" t="s">
        <v>13</v>
      </c>
      <c r="C14" s="106">
        <f>569986+3097355+26919</f>
        <v>3694260</v>
      </c>
      <c r="D14" s="363">
        <v>-34496</v>
      </c>
      <c r="E14" s="8">
        <v>-1120904</v>
      </c>
      <c r="F14" s="345"/>
      <c r="G14" s="104"/>
      <c r="H14" s="8">
        <v>-15204</v>
      </c>
      <c r="I14" s="8"/>
      <c r="J14" s="56">
        <f t="shared" ref="J14:J37" si="4">SUM(D14:I14)</f>
        <v>-1170604</v>
      </c>
      <c r="K14" s="32">
        <f t="shared" si="3"/>
        <v>2523656</v>
      </c>
      <c r="L14" s="32">
        <v>2236701</v>
      </c>
      <c r="M14" s="32">
        <f t="shared" si="2"/>
        <v>2380178.5</v>
      </c>
    </row>
    <row r="15" spans="1:13" ht="15" customHeight="1" x14ac:dyDescent="0.2">
      <c r="A15" s="69" t="s">
        <v>14</v>
      </c>
      <c r="B15" s="3" t="s">
        <v>139</v>
      </c>
      <c r="C15" s="106">
        <f>411618+13961327</f>
        <v>14372945</v>
      </c>
      <c r="D15" s="363">
        <v>-179658</v>
      </c>
      <c r="E15" s="8">
        <v>-1224579</v>
      </c>
      <c r="F15" s="345"/>
      <c r="G15" s="104"/>
      <c r="H15" s="8"/>
      <c r="I15" s="8"/>
      <c r="J15" s="56">
        <f t="shared" ref="J15:J20" si="5">SUM(D15:I15)</f>
        <v>-1404237</v>
      </c>
      <c r="K15" s="32">
        <f t="shared" si="3"/>
        <v>12968708</v>
      </c>
      <c r="L15" s="32">
        <v>12509593</v>
      </c>
      <c r="M15" s="32">
        <f t="shared" si="2"/>
        <v>12739150.5</v>
      </c>
    </row>
    <row r="16" spans="1:13" ht="15" customHeight="1" x14ac:dyDescent="0.2">
      <c r="A16" s="69" t="s">
        <v>16</v>
      </c>
      <c r="B16" s="3" t="s">
        <v>17</v>
      </c>
      <c r="C16" s="106">
        <f>268012+10052706</f>
        <v>10320718</v>
      </c>
      <c r="D16" s="363">
        <v>16103</v>
      </c>
      <c r="E16" s="8">
        <v>93268</v>
      </c>
      <c r="F16" s="345"/>
      <c r="G16" s="104"/>
      <c r="H16" s="8"/>
      <c r="I16" s="8"/>
      <c r="J16" s="56">
        <f t="shared" si="5"/>
        <v>109371</v>
      </c>
      <c r="K16" s="32">
        <f t="shared" si="3"/>
        <v>10430089</v>
      </c>
      <c r="L16" s="32">
        <v>10207994</v>
      </c>
      <c r="M16" s="32">
        <f t="shared" si="2"/>
        <v>10319041.5</v>
      </c>
    </row>
    <row r="17" spans="1:13" ht="15" customHeight="1" x14ac:dyDescent="0.2">
      <c r="A17" s="69" t="s">
        <v>18</v>
      </c>
      <c r="B17" s="3" t="s">
        <v>140</v>
      </c>
      <c r="C17" s="106">
        <f>5244973+14467555+2642157+324060</f>
        <v>22678745</v>
      </c>
      <c r="D17" s="363"/>
      <c r="E17" s="8">
        <v>-348170</v>
      </c>
      <c r="F17" s="345"/>
      <c r="G17" s="147">
        <v>299798</v>
      </c>
      <c r="H17" s="147">
        <v>-362931</v>
      </c>
      <c r="I17" s="147">
        <f>-51583+32286</f>
        <v>-19297</v>
      </c>
      <c r="J17" s="56">
        <f t="shared" si="5"/>
        <v>-430600</v>
      </c>
      <c r="K17" s="32">
        <f t="shared" si="3"/>
        <v>22248145</v>
      </c>
      <c r="L17" s="32">
        <v>22077401</v>
      </c>
      <c r="M17" s="32">
        <f t="shared" si="2"/>
        <v>22162773</v>
      </c>
    </row>
    <row r="18" spans="1:13" ht="15" customHeight="1" x14ac:dyDescent="0.2">
      <c r="A18" s="69" t="s">
        <v>19</v>
      </c>
      <c r="B18" s="3" t="s">
        <v>129</v>
      </c>
      <c r="C18" s="106">
        <f>144458+15314077</f>
        <v>15458535</v>
      </c>
      <c r="D18" s="363">
        <v>-2694</v>
      </c>
      <c r="E18" s="8">
        <v>-131072</v>
      </c>
      <c r="F18" s="345"/>
      <c r="G18" s="104"/>
      <c r="H18" s="104"/>
      <c r="I18" s="8"/>
      <c r="J18" s="56">
        <f t="shared" si="5"/>
        <v>-133766</v>
      </c>
      <c r="K18" s="32">
        <f t="shared" si="3"/>
        <v>15324769</v>
      </c>
      <c r="L18" s="32">
        <v>14547594</v>
      </c>
      <c r="M18" s="32">
        <f t="shared" si="2"/>
        <v>14936181.5</v>
      </c>
    </row>
    <row r="19" spans="1:13" ht="15" customHeight="1" x14ac:dyDescent="0.2">
      <c r="A19" s="70" t="s">
        <v>322</v>
      </c>
      <c r="B19" s="3" t="s">
        <v>321</v>
      </c>
      <c r="C19" s="106">
        <f>394035+10310892</f>
        <v>10704927</v>
      </c>
      <c r="D19" s="363">
        <v>-79879</v>
      </c>
      <c r="E19" s="8">
        <v>-639538</v>
      </c>
      <c r="F19" s="345"/>
      <c r="G19" s="104"/>
      <c r="H19" s="8"/>
      <c r="I19" s="8"/>
      <c r="J19" s="56">
        <f t="shared" si="5"/>
        <v>-719417</v>
      </c>
      <c r="K19" s="32">
        <f>+C19+J19</f>
        <v>9985510</v>
      </c>
      <c r="L19" s="32">
        <v>10258836</v>
      </c>
      <c r="M19" s="32">
        <f>AVERAGE(K19:L19)</f>
        <v>10122173</v>
      </c>
    </row>
    <row r="20" spans="1:13" ht="14.25" customHeight="1" x14ac:dyDescent="0.2">
      <c r="A20" s="69" t="s">
        <v>21</v>
      </c>
      <c r="B20" s="97" t="s">
        <v>176</v>
      </c>
      <c r="C20" s="107">
        <f>145672+5575920</f>
        <v>5721592</v>
      </c>
      <c r="D20" s="363">
        <v>-23237</v>
      </c>
      <c r="E20" s="8">
        <v>-500314</v>
      </c>
      <c r="F20" s="345"/>
      <c r="G20" s="104"/>
      <c r="H20" s="8"/>
      <c r="I20" s="8"/>
      <c r="J20" s="56">
        <f t="shared" si="5"/>
        <v>-523551</v>
      </c>
      <c r="K20" s="32">
        <f t="shared" si="3"/>
        <v>5198041</v>
      </c>
      <c r="L20" s="32">
        <v>4684442</v>
      </c>
      <c r="M20" s="32">
        <f t="shared" si="2"/>
        <v>4941241.5</v>
      </c>
    </row>
    <row r="21" spans="1:13" ht="15" customHeight="1" x14ac:dyDescent="0.2">
      <c r="A21" s="70" t="s">
        <v>109</v>
      </c>
      <c r="B21" s="3" t="s">
        <v>141</v>
      </c>
      <c r="C21" s="106">
        <f>639622+12620714</f>
        <v>13260336</v>
      </c>
      <c r="D21" s="363">
        <v>6143</v>
      </c>
      <c r="E21" s="8">
        <v>-683965</v>
      </c>
      <c r="F21" s="345"/>
      <c r="G21" s="104"/>
      <c r="H21" s="8"/>
      <c r="I21" s="8"/>
      <c r="J21" s="56">
        <f t="shared" si="4"/>
        <v>-677822</v>
      </c>
      <c r="K21" s="32">
        <f t="shared" si="3"/>
        <v>12582514</v>
      </c>
      <c r="L21" s="32">
        <v>12208917</v>
      </c>
      <c r="M21" s="32">
        <f t="shared" si="2"/>
        <v>12395715.5</v>
      </c>
    </row>
    <row r="22" spans="1:13" ht="15" customHeight="1" x14ac:dyDescent="0.2">
      <c r="A22" s="69" t="s">
        <v>26</v>
      </c>
      <c r="B22" s="3" t="s">
        <v>62</v>
      </c>
      <c r="C22" s="106">
        <f>3164+5425851+8755798+3293618+296412</f>
        <v>17774843</v>
      </c>
      <c r="D22" s="363">
        <v>-763</v>
      </c>
      <c r="E22" s="8">
        <v>234660</v>
      </c>
      <c r="F22" s="345"/>
      <c r="G22" s="147">
        <v>386901</v>
      </c>
      <c r="H22" s="147">
        <v>-117267</v>
      </c>
      <c r="I22" s="147">
        <f>-70581+0</f>
        <v>-70581</v>
      </c>
      <c r="J22" s="56">
        <f t="shared" si="4"/>
        <v>432950</v>
      </c>
      <c r="K22" s="32">
        <f t="shared" si="3"/>
        <v>18207793</v>
      </c>
      <c r="L22" s="32">
        <v>18538503</v>
      </c>
      <c r="M22" s="32">
        <f t="shared" si="2"/>
        <v>18373148</v>
      </c>
    </row>
    <row r="23" spans="1:13" ht="15" customHeight="1" x14ac:dyDescent="0.2">
      <c r="A23" s="69" t="s">
        <v>22</v>
      </c>
      <c r="B23" s="3" t="s">
        <v>23</v>
      </c>
      <c r="C23" s="106">
        <f>313789+14855700+17210878+5897040+340416</f>
        <v>38617823</v>
      </c>
      <c r="D23" s="363">
        <v>146822</v>
      </c>
      <c r="E23" s="8">
        <v>6504545</v>
      </c>
      <c r="F23" s="345"/>
      <c r="G23" s="147">
        <v>1015382</v>
      </c>
      <c r="H23" s="147">
        <v>2477594</v>
      </c>
      <c r="I23" s="147">
        <f>422769+45879</f>
        <v>468648</v>
      </c>
      <c r="J23" s="56">
        <f t="shared" si="4"/>
        <v>10612991</v>
      </c>
      <c r="K23" s="32">
        <f t="shared" si="3"/>
        <v>49230814</v>
      </c>
      <c r="L23" s="32">
        <v>48535593</v>
      </c>
      <c r="M23" s="32">
        <f t="shared" si="2"/>
        <v>48883203.5</v>
      </c>
    </row>
    <row r="24" spans="1:13" ht="15" customHeight="1" x14ac:dyDescent="0.2">
      <c r="A24" s="69" t="s">
        <v>24</v>
      </c>
      <c r="B24" s="3" t="s">
        <v>137</v>
      </c>
      <c r="C24" s="106">
        <f>404727+8652722</f>
        <v>9057449</v>
      </c>
      <c r="D24" s="363">
        <v>-71738</v>
      </c>
      <c r="E24" s="8">
        <v>-397396</v>
      </c>
      <c r="F24" s="346">
        <v>89732</v>
      </c>
      <c r="G24" s="104"/>
      <c r="H24" s="8"/>
      <c r="I24" s="8"/>
      <c r="J24" s="56">
        <f t="shared" si="4"/>
        <v>-379402</v>
      </c>
      <c r="K24" s="32">
        <f t="shared" si="3"/>
        <v>8678047</v>
      </c>
      <c r="L24" s="32">
        <v>8465375</v>
      </c>
      <c r="M24" s="32">
        <f t="shared" si="2"/>
        <v>8571711</v>
      </c>
    </row>
    <row r="25" spans="1:13" ht="15" customHeight="1" x14ac:dyDescent="0.2">
      <c r="A25" s="69" t="s">
        <v>27</v>
      </c>
      <c r="B25" s="3" t="s">
        <v>132</v>
      </c>
      <c r="C25" s="106">
        <f>427836+19363842</f>
        <v>19791678</v>
      </c>
      <c r="D25" s="363">
        <v>11384</v>
      </c>
      <c r="E25" s="8">
        <v>1100944</v>
      </c>
      <c r="F25" s="345"/>
      <c r="G25" s="104"/>
      <c r="H25" s="104"/>
      <c r="I25" s="8"/>
      <c r="J25" s="56">
        <f t="shared" si="4"/>
        <v>1112328</v>
      </c>
      <c r="K25" s="32">
        <f t="shared" si="3"/>
        <v>20904006</v>
      </c>
      <c r="L25" s="32">
        <v>19679129</v>
      </c>
      <c r="M25" s="32">
        <f t="shared" si="2"/>
        <v>20291567.5</v>
      </c>
    </row>
    <row r="26" spans="1:13" ht="15" customHeight="1" x14ac:dyDescent="0.2">
      <c r="A26" s="69" t="s">
        <v>29</v>
      </c>
      <c r="B26" s="370" t="s">
        <v>133</v>
      </c>
      <c r="C26" s="106">
        <f>119156+12342230</f>
        <v>12461386</v>
      </c>
      <c r="D26" s="363">
        <v>122</v>
      </c>
      <c r="E26" s="8">
        <v>-938369</v>
      </c>
      <c r="F26" s="345"/>
      <c r="G26" s="104"/>
      <c r="H26" s="8"/>
      <c r="I26" s="8"/>
      <c r="J26" s="56">
        <f t="shared" si="4"/>
        <v>-938247</v>
      </c>
      <c r="K26" s="32">
        <f t="shared" si="3"/>
        <v>11523139</v>
      </c>
      <c r="L26" s="32">
        <v>11957767</v>
      </c>
      <c r="M26" s="32">
        <f t="shared" si="2"/>
        <v>11740453</v>
      </c>
    </row>
    <row r="27" spans="1:13" ht="15" customHeight="1" x14ac:dyDescent="0.2">
      <c r="A27" s="69" t="s">
        <v>31</v>
      </c>
      <c r="B27" s="3" t="s">
        <v>134</v>
      </c>
      <c r="C27" s="106">
        <f>143127+8972539</f>
        <v>9115666</v>
      </c>
      <c r="D27" s="363">
        <v>-55076</v>
      </c>
      <c r="E27" s="8">
        <v>-1782435</v>
      </c>
      <c r="F27" s="346">
        <v>19595</v>
      </c>
      <c r="G27" s="104"/>
      <c r="H27" s="8"/>
      <c r="I27" s="8"/>
      <c r="J27" s="56">
        <f>SUM(D27:I27)</f>
        <v>-1817916</v>
      </c>
      <c r="K27" s="32">
        <f>+C27+J27</f>
        <v>7297750</v>
      </c>
      <c r="L27" s="32">
        <v>7276498</v>
      </c>
      <c r="M27" s="32">
        <f t="shared" si="2"/>
        <v>7287124</v>
      </c>
    </row>
    <row r="28" spans="1:13" ht="15" customHeight="1" x14ac:dyDescent="0.2">
      <c r="A28" s="69" t="s">
        <v>33</v>
      </c>
      <c r="B28" s="3" t="s">
        <v>130</v>
      </c>
      <c r="C28" s="106">
        <f>226570+3052226</f>
        <v>3278796</v>
      </c>
      <c r="D28" s="363">
        <v>61607</v>
      </c>
      <c r="E28" s="8">
        <v>-46063</v>
      </c>
      <c r="F28" s="345"/>
      <c r="G28" s="104"/>
      <c r="H28" s="8"/>
      <c r="I28" s="8"/>
      <c r="J28" s="56">
        <f>SUM(D28:I28)</f>
        <v>15544</v>
      </c>
      <c r="K28" s="32">
        <f t="shared" si="3"/>
        <v>3294340</v>
      </c>
      <c r="L28" s="32">
        <v>2986600</v>
      </c>
      <c r="M28" s="32">
        <f t="shared" si="2"/>
        <v>3140470</v>
      </c>
    </row>
    <row r="29" spans="1:13" ht="15" customHeight="1" x14ac:dyDescent="0.2">
      <c r="A29" s="69" t="s">
        <v>35</v>
      </c>
      <c r="B29" s="3" t="s">
        <v>36</v>
      </c>
      <c r="C29" s="106">
        <f>20269+10386188</f>
        <v>10406457</v>
      </c>
      <c r="D29" s="363">
        <v>4038</v>
      </c>
      <c r="E29" s="8">
        <v>-277755</v>
      </c>
      <c r="F29" s="346"/>
      <c r="G29" s="104"/>
      <c r="H29" s="8"/>
      <c r="I29" s="8"/>
      <c r="J29" s="56">
        <f t="shared" si="4"/>
        <v>-273717</v>
      </c>
      <c r="K29" s="32">
        <f t="shared" si="3"/>
        <v>10132740</v>
      </c>
      <c r="L29" s="32">
        <v>9654039</v>
      </c>
      <c r="M29" s="32">
        <f t="shared" si="2"/>
        <v>9893389.5</v>
      </c>
    </row>
    <row r="30" spans="1:13" ht="15" customHeight="1" x14ac:dyDescent="0.2">
      <c r="A30" s="69" t="s">
        <v>37</v>
      </c>
      <c r="B30" s="3" t="s">
        <v>131</v>
      </c>
      <c r="C30" s="106">
        <f>388451+7156866</f>
        <v>7545317</v>
      </c>
      <c r="D30" s="363">
        <v>64256</v>
      </c>
      <c r="E30" s="8">
        <v>105860</v>
      </c>
      <c r="F30" s="347">
        <v>59271</v>
      </c>
      <c r="G30" s="104"/>
      <c r="H30" s="8"/>
      <c r="I30" s="8"/>
      <c r="J30" s="56">
        <f t="shared" si="4"/>
        <v>229387</v>
      </c>
      <c r="K30" s="32">
        <f t="shared" si="3"/>
        <v>7774704</v>
      </c>
      <c r="L30" s="32">
        <v>7474791.5</v>
      </c>
      <c r="M30" s="32">
        <f t="shared" si="2"/>
        <v>7624747.75</v>
      </c>
    </row>
    <row r="31" spans="1:13" ht="15" customHeight="1" x14ac:dyDescent="0.2">
      <c r="A31" s="69" t="s">
        <v>39</v>
      </c>
      <c r="B31" s="3" t="s">
        <v>135</v>
      </c>
      <c r="C31" s="106">
        <f>103142+11641196</f>
        <v>11744338</v>
      </c>
      <c r="D31" s="363">
        <v>1797</v>
      </c>
      <c r="E31" s="8">
        <v>14218</v>
      </c>
      <c r="F31" s="130"/>
      <c r="G31" s="104"/>
      <c r="H31" s="8"/>
      <c r="I31" s="8"/>
      <c r="J31" s="56">
        <f t="shared" si="4"/>
        <v>16015</v>
      </c>
      <c r="K31" s="32">
        <f t="shared" si="3"/>
        <v>11760353</v>
      </c>
      <c r="L31" s="32">
        <v>11772818</v>
      </c>
      <c r="M31" s="32">
        <f t="shared" si="2"/>
        <v>11766585.5</v>
      </c>
    </row>
    <row r="32" spans="1:13" ht="15" customHeight="1" x14ac:dyDescent="0.2">
      <c r="A32" s="69" t="s">
        <v>46</v>
      </c>
      <c r="B32" s="3" t="s">
        <v>70</v>
      </c>
      <c r="C32" s="106">
        <f>90733+13499916</f>
        <v>13590649</v>
      </c>
      <c r="D32" s="363">
        <v>23974</v>
      </c>
      <c r="E32" s="8">
        <v>367240</v>
      </c>
      <c r="F32" s="347"/>
      <c r="G32" s="104"/>
      <c r="H32" s="104"/>
      <c r="I32" s="8"/>
      <c r="J32" s="56">
        <f t="shared" si="4"/>
        <v>391214</v>
      </c>
      <c r="K32" s="32">
        <f t="shared" si="3"/>
        <v>13981863</v>
      </c>
      <c r="L32" s="32">
        <v>13101221</v>
      </c>
      <c r="M32" s="32">
        <f t="shared" si="2"/>
        <v>13541542</v>
      </c>
    </row>
    <row r="33" spans="1:13" ht="15" customHeight="1" x14ac:dyDescent="0.2">
      <c r="A33" s="69" t="s">
        <v>41</v>
      </c>
      <c r="B33" s="3" t="s">
        <v>117</v>
      </c>
      <c r="C33" s="106">
        <f>65319+10445164</f>
        <v>10510483</v>
      </c>
      <c r="D33" s="363">
        <v>9274</v>
      </c>
      <c r="E33" s="8">
        <v>-1002691</v>
      </c>
      <c r="F33" s="346">
        <v>148396</v>
      </c>
      <c r="G33" s="104"/>
      <c r="H33" s="8"/>
      <c r="I33" s="8"/>
      <c r="J33" s="56">
        <f t="shared" si="4"/>
        <v>-845021</v>
      </c>
      <c r="K33" s="32">
        <f t="shared" si="3"/>
        <v>9665462</v>
      </c>
      <c r="L33" s="32">
        <v>9050866</v>
      </c>
      <c r="M33" s="32">
        <f t="shared" si="2"/>
        <v>9358164</v>
      </c>
    </row>
    <row r="34" spans="1:13" ht="15" customHeight="1" x14ac:dyDescent="0.2">
      <c r="A34" s="69" t="s">
        <v>42</v>
      </c>
      <c r="B34" s="3" t="s">
        <v>69</v>
      </c>
      <c r="C34" s="106">
        <f>1700446+3599364+4218989+1662038</f>
        <v>11180837</v>
      </c>
      <c r="D34" s="363">
        <v>-21426</v>
      </c>
      <c r="E34" s="8">
        <v>-128954</v>
      </c>
      <c r="F34" s="347"/>
      <c r="G34" s="147">
        <v>309096</v>
      </c>
      <c r="H34" s="147">
        <v>-154973</v>
      </c>
      <c r="I34" s="147">
        <v>-18868</v>
      </c>
      <c r="J34" s="56">
        <f t="shared" si="4"/>
        <v>-15125</v>
      </c>
      <c r="K34" s="32">
        <f>+C34+J34</f>
        <v>11165712</v>
      </c>
      <c r="L34" s="32">
        <v>10615639</v>
      </c>
      <c r="M34" s="32">
        <f t="shared" si="2"/>
        <v>10890675.5</v>
      </c>
    </row>
    <row r="35" spans="1:13" ht="15" customHeight="1" x14ac:dyDescent="0.2">
      <c r="A35" s="69" t="s">
        <v>43</v>
      </c>
      <c r="B35" s="3" t="s">
        <v>44</v>
      </c>
      <c r="C35" s="106">
        <f>782061+14404102+14295601+7471137+483055</f>
        <v>37435956</v>
      </c>
      <c r="D35" s="363">
        <v>-25754</v>
      </c>
      <c r="E35" s="8">
        <v>-3564320</v>
      </c>
      <c r="F35" s="345"/>
      <c r="G35" s="147">
        <v>1181006</v>
      </c>
      <c r="H35" s="147">
        <v>-1417062</v>
      </c>
      <c r="I35" s="147">
        <f>-342184+0</f>
        <v>-342184</v>
      </c>
      <c r="J35" s="56">
        <f t="shared" si="4"/>
        <v>-4168314</v>
      </c>
      <c r="K35" s="32">
        <f t="shared" si="3"/>
        <v>33267642</v>
      </c>
      <c r="L35" s="32">
        <v>33451022</v>
      </c>
      <c r="M35" s="32">
        <f t="shared" si="2"/>
        <v>33359332</v>
      </c>
    </row>
    <row r="36" spans="1:13" ht="15" customHeight="1" x14ac:dyDescent="0.2">
      <c r="A36" s="69" t="s">
        <v>45</v>
      </c>
      <c r="B36" s="3" t="s">
        <v>136</v>
      </c>
      <c r="C36" s="106">
        <f>82629+10673538</f>
        <v>10756167</v>
      </c>
      <c r="D36" s="363">
        <v>-8237</v>
      </c>
      <c r="E36" s="8">
        <v>55416</v>
      </c>
      <c r="F36" s="345"/>
      <c r="G36" s="104"/>
      <c r="H36" s="8"/>
      <c r="I36" s="8"/>
      <c r="J36" s="56">
        <f t="shared" si="4"/>
        <v>47179</v>
      </c>
      <c r="K36" s="32">
        <f t="shared" si="3"/>
        <v>10803346</v>
      </c>
      <c r="L36" s="32">
        <v>10360223</v>
      </c>
      <c r="M36" s="32">
        <f t="shared" si="2"/>
        <v>10581784.5</v>
      </c>
    </row>
    <row r="37" spans="1:13" ht="15" customHeight="1" x14ac:dyDescent="0.2">
      <c r="A37" s="69" t="s">
        <v>47</v>
      </c>
      <c r="B37" s="3" t="s">
        <v>48</v>
      </c>
      <c r="C37" s="106">
        <f>7976065+12907129+3784821+627489</f>
        <v>25295504</v>
      </c>
      <c r="D37" s="363"/>
      <c r="E37" s="8">
        <v>552939</v>
      </c>
      <c r="F37" s="345"/>
      <c r="G37" s="147">
        <v>620685</v>
      </c>
      <c r="H37" s="147">
        <v>-590994</v>
      </c>
      <c r="I37" s="147">
        <f>-145936-63829</f>
        <v>-209765</v>
      </c>
      <c r="J37" s="56">
        <f t="shared" si="4"/>
        <v>372865</v>
      </c>
      <c r="K37" s="32">
        <f t="shared" si="3"/>
        <v>25668369</v>
      </c>
      <c r="L37" s="32">
        <v>25600800</v>
      </c>
      <c r="M37" s="32">
        <f t="shared" si="2"/>
        <v>25634584.5</v>
      </c>
    </row>
    <row r="39" spans="1:13" ht="15" customHeight="1" x14ac:dyDescent="0.2">
      <c r="B39" s="52" t="s">
        <v>49</v>
      </c>
      <c r="C39" s="11">
        <f t="shared" ref="C39:M39" si="6">SUM(C8:C38)</f>
        <v>436894200</v>
      </c>
      <c r="D39" s="11">
        <f t="shared" si="6"/>
        <v>-87998</v>
      </c>
      <c r="E39" s="11">
        <f t="shared" si="6"/>
        <v>-3738622</v>
      </c>
      <c r="F39" s="11">
        <f t="shared" si="6"/>
        <v>557469</v>
      </c>
      <c r="G39" s="11">
        <f t="shared" si="6"/>
        <v>4239792</v>
      </c>
      <c r="H39" s="11">
        <f t="shared" si="6"/>
        <v>-234280</v>
      </c>
      <c r="I39" s="11">
        <f t="shared" si="6"/>
        <v>-265744</v>
      </c>
      <c r="J39" s="58">
        <f t="shared" si="6"/>
        <v>470617</v>
      </c>
      <c r="K39" s="16">
        <f t="shared" si="6"/>
        <v>437364817</v>
      </c>
      <c r="L39" s="16">
        <f t="shared" si="6"/>
        <v>426567540.5</v>
      </c>
      <c r="M39" s="16">
        <f t="shared" si="6"/>
        <v>431966178.75</v>
      </c>
    </row>
    <row r="40" spans="1:13" ht="12" customHeight="1" x14ac:dyDescent="0.2">
      <c r="C40" s="11"/>
      <c r="K40" s="16"/>
      <c r="L40" s="16"/>
      <c r="M40" s="16"/>
    </row>
    <row r="41" spans="1:13" ht="12" customHeight="1" x14ac:dyDescent="0.2">
      <c r="A41" s="15" t="s">
        <v>306</v>
      </c>
    </row>
    <row r="42" spans="1:13" ht="12" customHeight="1" x14ac:dyDescent="0.2">
      <c r="A42" s="71" t="str">
        <f>'FY2015 Detail'!B40</f>
        <v>s:\finance\bargain\FY25 allocation\Summary of FY2025 Institutional Allocation Draft</v>
      </c>
      <c r="E42" s="148"/>
      <c r="F42" s="148"/>
      <c r="G42" s="148"/>
      <c r="H42" s="148"/>
    </row>
    <row r="43" spans="1:13" ht="12" customHeight="1" x14ac:dyDescent="0.2">
      <c r="A43" s="71"/>
      <c r="E43" s="148"/>
      <c r="F43" s="148"/>
      <c r="G43" s="148"/>
      <c r="H43" s="148"/>
    </row>
    <row r="44" spans="1:13" ht="15" customHeight="1" x14ac:dyDescent="0.2">
      <c r="C44" s="16"/>
      <c r="E44" s="16"/>
      <c r="H44" s="149"/>
      <c r="K44" s="16"/>
      <c r="L44" s="16"/>
      <c r="M44" s="32"/>
    </row>
    <row r="45" spans="1:13" ht="15" customHeight="1" x14ac:dyDescent="0.2">
      <c r="C45" s="48"/>
    </row>
    <row r="47" spans="1:13" ht="15" customHeight="1" x14ac:dyDescent="0.2">
      <c r="E47" s="150"/>
      <c r="F47" s="150"/>
      <c r="G47" s="150"/>
    </row>
    <row r="49" spans="8:8" ht="15" customHeight="1" x14ac:dyDescent="0.2">
      <c r="H49" s="150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44"/>
  <sheetViews>
    <sheetView topLeftCell="A8" zoomScale="98" zoomScaleNormal="98" workbookViewId="0">
      <selection activeCell="B20" sqref="B20"/>
    </sheetView>
  </sheetViews>
  <sheetFormatPr defaultColWidth="9.140625" defaultRowHeight="15" customHeight="1" x14ac:dyDescent="0.2"/>
  <cols>
    <col min="1" max="1" width="6.28515625" customWidth="1"/>
    <col min="2" max="2" width="32.28515625" customWidth="1"/>
    <col min="3" max="3" width="22.85546875" customWidth="1"/>
    <col min="4" max="4" width="17.42578125" customWidth="1"/>
    <col min="5" max="5" width="23.85546875" customWidth="1"/>
    <col min="6" max="6" width="10.28515625" style="16" customWidth="1"/>
    <col min="7" max="7" width="24.7109375" style="83" customWidth="1"/>
  </cols>
  <sheetData>
    <row r="1" spans="1:9" ht="15" customHeight="1" x14ac:dyDescent="0.25">
      <c r="A1" s="33" t="s">
        <v>72</v>
      </c>
      <c r="G1" s="355" t="s">
        <v>278</v>
      </c>
    </row>
    <row r="2" spans="1:9" ht="15" customHeight="1" x14ac:dyDescent="0.2">
      <c r="A2" s="4" t="s">
        <v>87</v>
      </c>
    </row>
    <row r="3" spans="1:9" ht="15" customHeight="1" x14ac:dyDescent="0.2">
      <c r="A3" s="4" t="s">
        <v>317</v>
      </c>
      <c r="I3" s="4"/>
    </row>
    <row r="4" spans="1:9" ht="15" customHeight="1" x14ac:dyDescent="0.2">
      <c r="A4" s="4" t="s">
        <v>175</v>
      </c>
      <c r="E4" s="19" t="s">
        <v>116</v>
      </c>
      <c r="G4" s="110" t="s">
        <v>88</v>
      </c>
    </row>
    <row r="5" spans="1:9" s="19" customFormat="1" ht="15" customHeight="1" x14ac:dyDescent="0.2">
      <c r="C5" s="19" t="s">
        <v>79</v>
      </c>
      <c r="D5" s="19" t="s">
        <v>74</v>
      </c>
      <c r="E5" s="19" t="s">
        <v>75</v>
      </c>
      <c r="F5" s="111" t="s">
        <v>76</v>
      </c>
      <c r="G5" s="110" t="s">
        <v>77</v>
      </c>
    </row>
    <row r="6" spans="1:9" ht="42" customHeight="1" x14ac:dyDescent="0.2">
      <c r="A6" s="112" t="s">
        <v>0</v>
      </c>
      <c r="B6" s="112" t="s">
        <v>1</v>
      </c>
      <c r="C6" s="113" t="s">
        <v>318</v>
      </c>
      <c r="D6" s="114" t="s">
        <v>119</v>
      </c>
      <c r="E6" s="113" t="s">
        <v>319</v>
      </c>
      <c r="F6" s="112" t="s">
        <v>320</v>
      </c>
      <c r="G6" s="115" t="s">
        <v>89</v>
      </c>
    </row>
    <row r="7" spans="1:9" ht="15" customHeight="1" x14ac:dyDescent="0.2">
      <c r="A7" s="116"/>
      <c r="B7" s="116"/>
      <c r="C7" s="117"/>
      <c r="D7" s="118"/>
      <c r="E7" s="118"/>
      <c r="F7" s="119"/>
    </row>
    <row r="8" spans="1:9" ht="15" customHeight="1" x14ac:dyDescent="0.2">
      <c r="A8" s="10" t="s">
        <v>2</v>
      </c>
      <c r="B8" s="3" t="s">
        <v>128</v>
      </c>
      <c r="C8" s="120">
        <v>2519910.0699999998</v>
      </c>
      <c r="D8" s="121">
        <f>'Revenue Offset'!G8</f>
        <v>0.45398034509082752</v>
      </c>
      <c r="E8" s="122">
        <f t="shared" ref="E8:E13" si="0">C8*(1-D8)</f>
        <v>1375920.4268235485</v>
      </c>
      <c r="F8" s="17">
        <f>Summary!D6</f>
        <v>1811</v>
      </c>
      <c r="G8" s="386">
        <f>E8/F8</f>
        <v>759.75727599312449</v>
      </c>
      <c r="H8" s="126"/>
      <c r="I8" s="11"/>
    </row>
    <row r="9" spans="1:9" ht="15" customHeight="1" x14ac:dyDescent="0.2">
      <c r="A9" s="10" t="s">
        <v>4</v>
      </c>
      <c r="B9" s="3" t="s">
        <v>124</v>
      </c>
      <c r="C9" s="120">
        <v>8410716.1300000008</v>
      </c>
      <c r="D9" s="121">
        <f>'Revenue Offset'!G9</f>
        <v>0.47221742787664267</v>
      </c>
      <c r="E9" s="122">
        <f>C9*(1-D9)</f>
        <v>4439029.3924908107</v>
      </c>
      <c r="F9" s="17">
        <f>Summary!D7</f>
        <v>5698</v>
      </c>
      <c r="G9" s="386">
        <f t="shared" ref="G9:G37" si="1">E9/F9</f>
        <v>779.05043743257477</v>
      </c>
      <c r="H9" s="126"/>
      <c r="I9" s="11"/>
    </row>
    <row r="10" spans="1:9" ht="15" customHeight="1" x14ac:dyDescent="0.2">
      <c r="A10" s="10" t="s">
        <v>5</v>
      </c>
      <c r="B10" s="3" t="s">
        <v>113</v>
      </c>
      <c r="C10" s="135">
        <v>9827288.6899999995</v>
      </c>
      <c r="D10" s="121">
        <f>'Revenue Offset'!G10</f>
        <v>0.56031362149763542</v>
      </c>
      <c r="E10" s="122">
        <f t="shared" si="0"/>
        <v>4320924.9746033465</v>
      </c>
      <c r="F10" s="17">
        <f>Summary!D8</f>
        <v>3739</v>
      </c>
      <c r="G10" s="386">
        <f t="shared" si="1"/>
        <v>1155.6365270402105</v>
      </c>
      <c r="H10" s="176"/>
      <c r="I10" s="11"/>
    </row>
    <row r="11" spans="1:9" ht="15" customHeight="1" x14ac:dyDescent="0.2">
      <c r="A11" s="10" t="s">
        <v>6</v>
      </c>
      <c r="B11" s="3" t="s">
        <v>7</v>
      </c>
      <c r="C11" s="135">
        <v>4206947.05</v>
      </c>
      <c r="D11" s="121">
        <f>'Revenue Offset'!G11</f>
        <v>0.44411590295335773</v>
      </c>
      <c r="E11" s="122">
        <f t="shared" si="0"/>
        <v>2338574.9622122855</v>
      </c>
      <c r="F11" s="17">
        <f>Summary!D9</f>
        <v>2511</v>
      </c>
      <c r="G11" s="386">
        <f t="shared" si="1"/>
        <v>931.33212354133229</v>
      </c>
      <c r="H11" s="176"/>
      <c r="I11" s="11"/>
    </row>
    <row r="12" spans="1:9" ht="15" customHeight="1" x14ac:dyDescent="0.2">
      <c r="A12" s="10" t="s">
        <v>8</v>
      </c>
      <c r="B12" s="3" t="s">
        <v>9</v>
      </c>
      <c r="C12" s="120">
        <v>7063825.5499999998</v>
      </c>
      <c r="D12" s="121">
        <f>'Revenue Offset'!G12</f>
        <v>0.47711530109848616</v>
      </c>
      <c r="E12" s="122">
        <f t="shared" si="0"/>
        <v>3693566.2958045709</v>
      </c>
      <c r="F12" s="17">
        <f>Summary!D10</f>
        <v>5114</v>
      </c>
      <c r="G12" s="386">
        <f t="shared" si="1"/>
        <v>722.24604923828133</v>
      </c>
      <c r="H12" s="176"/>
      <c r="I12" s="11"/>
    </row>
    <row r="13" spans="1:9" ht="15" customHeight="1" x14ac:dyDescent="0.2">
      <c r="A13" s="10" t="s">
        <v>10</v>
      </c>
      <c r="B13" s="3" t="s">
        <v>146</v>
      </c>
      <c r="C13" s="120">
        <v>8152391.4800000004</v>
      </c>
      <c r="D13" s="121">
        <f>'Revenue Offset'!G13</f>
        <v>0.44975388957952139</v>
      </c>
      <c r="E13" s="122">
        <f t="shared" si="0"/>
        <v>4485821.7024950488</v>
      </c>
      <c r="F13" s="17">
        <f>Summary!D11</f>
        <v>4050</v>
      </c>
      <c r="G13" s="386">
        <f t="shared" si="1"/>
        <v>1107.6102969123576</v>
      </c>
      <c r="H13" s="176"/>
      <c r="I13" s="11"/>
    </row>
    <row r="14" spans="1:9" ht="15" customHeight="1" x14ac:dyDescent="0.2">
      <c r="A14" s="10" t="s">
        <v>12</v>
      </c>
      <c r="B14" s="3" t="s">
        <v>13</v>
      </c>
      <c r="C14" s="120">
        <v>1499945.01</v>
      </c>
      <c r="D14" s="121">
        <f>'Revenue Offset'!G14</f>
        <v>0.34468677318100721</v>
      </c>
      <c r="E14" s="122">
        <f t="shared" ref="E14:E37" si="2">C14*(1-D14)</f>
        <v>982933.80455414637</v>
      </c>
      <c r="F14" s="17">
        <f>Summary!D12</f>
        <v>812</v>
      </c>
      <c r="G14" s="386">
        <f t="shared" si="1"/>
        <v>1210.5096115198846</v>
      </c>
      <c r="H14" s="176"/>
      <c r="I14" s="11"/>
    </row>
    <row r="15" spans="1:9" ht="15" customHeight="1" x14ac:dyDescent="0.2">
      <c r="A15" s="10" t="s">
        <v>14</v>
      </c>
      <c r="B15" s="3" t="s">
        <v>139</v>
      </c>
      <c r="C15" s="120">
        <v>5084391.4800000004</v>
      </c>
      <c r="D15" s="121">
        <f>'Revenue Offset'!G15</f>
        <v>0.38899820613316899</v>
      </c>
      <c r="E15" s="122">
        <f t="shared" si="2"/>
        <v>3106572.3150012325</v>
      </c>
      <c r="F15" s="17">
        <f>Summary!D13</f>
        <v>2546</v>
      </c>
      <c r="G15" s="386">
        <f t="shared" si="1"/>
        <v>1220.177657109675</v>
      </c>
      <c r="H15" s="176"/>
      <c r="I15" s="11"/>
    </row>
    <row r="16" spans="1:9" ht="15" customHeight="1" x14ac:dyDescent="0.2">
      <c r="A16" s="10" t="s">
        <v>16</v>
      </c>
      <c r="B16" s="3" t="s">
        <v>17</v>
      </c>
      <c r="C16" s="120">
        <v>3162443.33</v>
      </c>
      <c r="D16" s="121">
        <f>'Revenue Offset'!G16</f>
        <v>0.41118330929356911</v>
      </c>
      <c r="E16" s="122">
        <f t="shared" si="2"/>
        <v>1862099.4161172255</v>
      </c>
      <c r="F16" s="17">
        <f>Summary!D14</f>
        <v>2353</v>
      </c>
      <c r="G16" s="386">
        <f t="shared" si="1"/>
        <v>791.37246753813236</v>
      </c>
      <c r="H16" s="176"/>
      <c r="I16" s="11"/>
    </row>
    <row r="17" spans="1:9" ht="15" customHeight="1" x14ac:dyDescent="0.2">
      <c r="A17" s="10" t="s">
        <v>18</v>
      </c>
      <c r="B17" s="3" t="s">
        <v>140</v>
      </c>
      <c r="C17" s="120">
        <v>23877739.469999999</v>
      </c>
      <c r="D17" s="121">
        <f>'Revenue Offset'!G17</f>
        <v>0.57193745104640104</v>
      </c>
      <c r="E17" s="122">
        <f t="shared" si="2"/>
        <v>10221166.020778157</v>
      </c>
      <c r="F17" s="17">
        <f>Summary!D15</f>
        <v>4839</v>
      </c>
      <c r="G17" s="386">
        <f t="shared" si="1"/>
        <v>2112.2475761062528</v>
      </c>
      <c r="H17" s="176"/>
      <c r="I17" s="11"/>
    </row>
    <row r="18" spans="1:9" ht="14.25" customHeight="1" x14ac:dyDescent="0.2">
      <c r="A18" s="10" t="s">
        <v>19</v>
      </c>
      <c r="B18" s="3" t="s">
        <v>129</v>
      </c>
      <c r="C18" s="135">
        <v>8124329.2599999998</v>
      </c>
      <c r="D18" s="121">
        <f>'Revenue Offset'!G18</f>
        <v>0.46755227274314237</v>
      </c>
      <c r="E18" s="122">
        <f t="shared" si="2"/>
        <v>4325780.6499733878</v>
      </c>
      <c r="F18" s="17">
        <f>Summary!D16</f>
        <v>3876</v>
      </c>
      <c r="G18" s="386">
        <f t="shared" si="1"/>
        <v>1116.0424793532993</v>
      </c>
      <c r="H18" s="176"/>
      <c r="I18" s="11"/>
    </row>
    <row r="19" spans="1:9" ht="15" customHeight="1" x14ac:dyDescent="0.2">
      <c r="A19" s="34" t="s">
        <v>118</v>
      </c>
      <c r="B19" s="3" t="s">
        <v>321</v>
      </c>
      <c r="C19" s="135">
        <v>2270380.04</v>
      </c>
      <c r="D19" s="121">
        <f>'Revenue Offset'!G19</f>
        <v>0.40726711857110459</v>
      </c>
      <c r="E19" s="122">
        <f>C19*(1-D19)</f>
        <v>1345728.9030478511</v>
      </c>
      <c r="F19" s="17">
        <f>Summary!D17</f>
        <v>2448</v>
      </c>
      <c r="G19" s="386">
        <f>E19/F19</f>
        <v>549.7258590881745</v>
      </c>
      <c r="H19" s="176"/>
      <c r="I19" s="11"/>
    </row>
    <row r="20" spans="1:9" ht="15" customHeight="1" x14ac:dyDescent="0.2">
      <c r="A20" s="10" t="s">
        <v>21</v>
      </c>
      <c r="B20" s="97" t="s">
        <v>176</v>
      </c>
      <c r="C20" s="120">
        <v>2067972.55</v>
      </c>
      <c r="D20" s="121">
        <f>'Revenue Offset'!G20</f>
        <v>0.40426638873825016</v>
      </c>
      <c r="E20" s="122">
        <f t="shared" si="2"/>
        <v>1231960.7552016696</v>
      </c>
      <c r="F20" s="17">
        <f>Summary!D18</f>
        <v>1099</v>
      </c>
      <c r="G20" s="386">
        <f t="shared" si="1"/>
        <v>1120.9833987276338</v>
      </c>
      <c r="H20" s="176"/>
      <c r="I20" s="11"/>
    </row>
    <row r="21" spans="1:9" ht="15" customHeight="1" x14ac:dyDescent="0.2">
      <c r="A21" s="34" t="s">
        <v>109</v>
      </c>
      <c r="B21" s="3" t="s">
        <v>141</v>
      </c>
      <c r="C21" s="120">
        <v>4703383.46</v>
      </c>
      <c r="D21" s="121">
        <f>'Revenue Offset'!G21</f>
        <v>0.4421581726992746</v>
      </c>
      <c r="E21" s="122">
        <f t="shared" si="2"/>
        <v>2623744.0238224082</v>
      </c>
      <c r="F21" s="17">
        <f>Summary!D19</f>
        <v>3171</v>
      </c>
      <c r="G21" s="386">
        <f t="shared" si="1"/>
        <v>827.41848748735674</v>
      </c>
      <c r="H21" s="176"/>
      <c r="I21" s="11"/>
    </row>
    <row r="22" spans="1:9" ht="15" customHeight="1" x14ac:dyDescent="0.2">
      <c r="A22" s="10" t="s">
        <v>26</v>
      </c>
      <c r="B22" s="3" t="s">
        <v>62</v>
      </c>
      <c r="C22" s="120">
        <v>12926047.59</v>
      </c>
      <c r="D22" s="121">
        <f>'Revenue Offset'!G22</f>
        <v>0.58417486522125794</v>
      </c>
      <c r="E22" s="122">
        <f t="shared" si="2"/>
        <v>5374975.4812681843</v>
      </c>
      <c r="F22" s="17">
        <f>Summary!D20</f>
        <v>4228</v>
      </c>
      <c r="G22" s="386">
        <f t="shared" si="1"/>
        <v>1271.2808612271012</v>
      </c>
      <c r="H22" s="176"/>
      <c r="I22" s="11"/>
    </row>
    <row r="23" spans="1:9" ht="15" customHeight="1" x14ac:dyDescent="0.2">
      <c r="A23" s="10" t="s">
        <v>22</v>
      </c>
      <c r="B23" s="3" t="s">
        <v>23</v>
      </c>
      <c r="C23" s="120">
        <v>35069652.359999999</v>
      </c>
      <c r="D23" s="121">
        <f>'Revenue Offset'!G23</f>
        <v>0.67183209606841821</v>
      </c>
      <c r="E23" s="122">
        <f t="shared" si="2"/>
        <v>11508734.306590451</v>
      </c>
      <c r="F23" s="17">
        <f>Summary!D21</f>
        <v>13052</v>
      </c>
      <c r="G23" s="386">
        <f t="shared" si="1"/>
        <v>881.76021349911514</v>
      </c>
      <c r="H23" s="176"/>
      <c r="I23" s="11"/>
    </row>
    <row r="24" spans="1:9" ht="15" customHeight="1" x14ac:dyDescent="0.2">
      <c r="A24" s="10" t="s">
        <v>24</v>
      </c>
      <c r="B24" s="3" t="s">
        <v>137</v>
      </c>
      <c r="C24" s="120">
        <v>2674952</v>
      </c>
      <c r="D24" s="121">
        <f>'Revenue Offset'!G24</f>
        <v>0.42364244040512927</v>
      </c>
      <c r="E24" s="122">
        <f t="shared" si="2"/>
        <v>1541728.8067534184</v>
      </c>
      <c r="F24" s="17">
        <f>Summary!D22</f>
        <v>1918</v>
      </c>
      <c r="G24" s="386">
        <f t="shared" si="1"/>
        <v>803.82106712899815</v>
      </c>
      <c r="H24" s="176"/>
      <c r="I24" s="11"/>
    </row>
    <row r="25" spans="1:9" ht="15" customHeight="1" x14ac:dyDescent="0.2">
      <c r="A25" s="10" t="s">
        <v>27</v>
      </c>
      <c r="B25" s="3" t="s">
        <v>132</v>
      </c>
      <c r="C25" s="120">
        <v>13711982.220000001</v>
      </c>
      <c r="D25" s="121">
        <f>'Revenue Offset'!G25</f>
        <v>0.5229903225087249</v>
      </c>
      <c r="E25" s="122">
        <f t="shared" si="2"/>
        <v>6540748.2165282983</v>
      </c>
      <c r="F25" s="17">
        <f>Summary!D23</f>
        <v>6083</v>
      </c>
      <c r="G25" s="386">
        <f t="shared" si="1"/>
        <v>1075.2504054789247</v>
      </c>
      <c r="H25" s="176"/>
      <c r="I25" s="11"/>
    </row>
    <row r="26" spans="1:9" ht="15" customHeight="1" x14ac:dyDescent="0.2">
      <c r="A26" s="10" t="s">
        <v>29</v>
      </c>
      <c r="B26" s="3" t="s">
        <v>133</v>
      </c>
      <c r="C26" s="120">
        <v>7557102.2400000002</v>
      </c>
      <c r="D26" s="121">
        <f>'Revenue Offset'!G26</f>
        <v>0.49192410676014631</v>
      </c>
      <c r="E26" s="122">
        <f t="shared" si="2"/>
        <v>3839581.4708928992</v>
      </c>
      <c r="F26" s="17">
        <f>Summary!D24</f>
        <v>2893</v>
      </c>
      <c r="G26" s="386">
        <f t="shared" si="1"/>
        <v>1327.1971900770477</v>
      </c>
      <c r="H26" s="176"/>
      <c r="I26" s="11"/>
    </row>
    <row r="27" spans="1:9" ht="15" customHeight="1" x14ac:dyDescent="0.2">
      <c r="A27" s="10" t="s">
        <v>31</v>
      </c>
      <c r="B27" s="3" t="s">
        <v>134</v>
      </c>
      <c r="C27" s="120">
        <v>3515279.37</v>
      </c>
      <c r="D27" s="121">
        <f>'Revenue Offset'!G27</f>
        <v>0.40235534362779629</v>
      </c>
      <c r="E27" s="122">
        <f t="shared" si="2"/>
        <v>2100887.9311359469</v>
      </c>
      <c r="F27" s="17">
        <f>Summary!D25</f>
        <v>1450</v>
      </c>
      <c r="G27" s="386">
        <f t="shared" si="1"/>
        <v>1448.8882283696184</v>
      </c>
      <c r="H27" s="176"/>
      <c r="I27" s="11"/>
    </row>
    <row r="28" spans="1:9" ht="15" customHeight="1" x14ac:dyDescent="0.2">
      <c r="A28" s="10" t="s">
        <v>33</v>
      </c>
      <c r="B28" s="3" t="s">
        <v>130</v>
      </c>
      <c r="C28" s="120">
        <v>1012317.83</v>
      </c>
      <c r="D28" s="121">
        <f>'Revenue Offset'!G28</f>
        <v>0.38591862092929891</v>
      </c>
      <c r="E28" s="122">
        <f t="shared" si="2"/>
        <v>621645.52910425956</v>
      </c>
      <c r="F28" s="17">
        <f>Summary!D26</f>
        <v>815</v>
      </c>
      <c r="G28" s="386">
        <f t="shared" si="1"/>
        <v>762.75525043467428</v>
      </c>
      <c r="H28" s="176"/>
      <c r="I28" s="11"/>
    </row>
    <row r="29" spans="1:9" ht="15" customHeight="1" x14ac:dyDescent="0.2">
      <c r="A29" s="10" t="s">
        <v>35</v>
      </c>
      <c r="B29" s="3" t="s">
        <v>36</v>
      </c>
      <c r="C29" s="120">
        <v>2526758.41</v>
      </c>
      <c r="D29" s="121">
        <f>'Revenue Offset'!G29</f>
        <v>0.43081340701792564</v>
      </c>
      <c r="E29" s="122">
        <f>C29*(1-D29)</f>
        <v>1438197.0106767034</v>
      </c>
      <c r="F29" s="17">
        <f>Summary!D27</f>
        <v>2140</v>
      </c>
      <c r="G29" s="386">
        <f t="shared" si="1"/>
        <v>672.05467788631006</v>
      </c>
      <c r="H29" s="176"/>
      <c r="I29" s="11"/>
    </row>
    <row r="30" spans="1:9" ht="15" customHeight="1" x14ac:dyDescent="0.2">
      <c r="A30" s="10" t="s">
        <v>37</v>
      </c>
      <c r="B30" s="3" t="s">
        <v>131</v>
      </c>
      <c r="C30" s="120">
        <v>3055922.6</v>
      </c>
      <c r="D30" s="121">
        <f>'Revenue Offset'!G30</f>
        <v>0.45877280682764138</v>
      </c>
      <c r="E30" s="122">
        <f>C30*(1-D30)</f>
        <v>1653948.4113499767</v>
      </c>
      <c r="F30" s="17">
        <f>Summary!D28</f>
        <v>1978</v>
      </c>
      <c r="G30" s="386">
        <f t="shared" si="1"/>
        <v>836.17209876136337</v>
      </c>
      <c r="H30" s="176"/>
      <c r="I30" s="11"/>
    </row>
    <row r="31" spans="1:9" ht="15" customHeight="1" x14ac:dyDescent="0.2">
      <c r="A31" s="10" t="s">
        <v>39</v>
      </c>
      <c r="B31" s="3" t="s">
        <v>135</v>
      </c>
      <c r="C31" s="120">
        <v>5704360.0800000001</v>
      </c>
      <c r="D31" s="121">
        <f>'Revenue Offset'!G31</f>
        <v>0.50183645346221983</v>
      </c>
      <c r="E31" s="122">
        <f t="shared" si="2"/>
        <v>2841704.2481813356</v>
      </c>
      <c r="F31" s="17">
        <f>Summary!D29</f>
        <v>2981</v>
      </c>
      <c r="G31" s="386">
        <f t="shared" si="1"/>
        <v>953.2721396113169</v>
      </c>
      <c r="H31" s="176"/>
      <c r="I31" s="11"/>
    </row>
    <row r="32" spans="1:9" ht="15" customHeight="1" x14ac:dyDescent="0.2">
      <c r="A32" s="10" t="s">
        <v>46</v>
      </c>
      <c r="B32" s="3" t="s">
        <v>70</v>
      </c>
      <c r="C32" s="120">
        <v>4912550.3499999996</v>
      </c>
      <c r="D32" s="121">
        <f>'Revenue Offset'!G32</f>
        <v>0.46708850488255266</v>
      </c>
      <c r="E32" s="122">
        <f t="shared" si="2"/>
        <v>2617954.5518582393</v>
      </c>
      <c r="F32" s="17">
        <f>Summary!D30</f>
        <v>3447</v>
      </c>
      <c r="G32" s="386">
        <f t="shared" si="1"/>
        <v>759.48783053618774</v>
      </c>
      <c r="H32" s="176"/>
      <c r="I32" s="11"/>
    </row>
    <row r="33" spans="1:9" ht="15" customHeight="1" x14ac:dyDescent="0.2">
      <c r="A33" s="10" t="s">
        <v>41</v>
      </c>
      <c r="B33" s="3" t="s">
        <v>117</v>
      </c>
      <c r="C33" s="120">
        <v>4713927.91</v>
      </c>
      <c r="D33" s="121">
        <f>'Revenue Offset'!G33</f>
        <v>0.40545200858866942</v>
      </c>
      <c r="E33" s="122">
        <f>C33*(1-D33)</f>
        <v>2802656.3705483112</v>
      </c>
      <c r="F33" s="17">
        <f>Summary!D31</f>
        <v>1835</v>
      </c>
      <c r="G33" s="386">
        <f>E33/F33</f>
        <v>1527.3331719609325</v>
      </c>
      <c r="H33" s="176"/>
      <c r="I33" s="11"/>
    </row>
    <row r="34" spans="1:9" ht="15" customHeight="1" x14ac:dyDescent="0.2">
      <c r="A34" s="10" t="s">
        <v>42</v>
      </c>
      <c r="B34" s="3" t="s">
        <v>69</v>
      </c>
      <c r="C34" s="120">
        <v>6065875.8799999999</v>
      </c>
      <c r="D34" s="121">
        <f>'Revenue Offset'!G34</f>
        <v>0.51753777556905833</v>
      </c>
      <c r="E34" s="122">
        <f t="shared" si="2"/>
        <v>2926555.9701867956</v>
      </c>
      <c r="F34" s="17">
        <f>Summary!D32</f>
        <v>3240</v>
      </c>
      <c r="G34" s="386">
        <f t="shared" si="1"/>
        <v>903.25801548975176</v>
      </c>
      <c r="H34" s="176"/>
      <c r="I34" s="11"/>
    </row>
    <row r="35" spans="1:9" ht="15" customHeight="1" x14ac:dyDescent="0.2">
      <c r="A35" s="10" t="s">
        <v>43</v>
      </c>
      <c r="B35" s="3" t="s">
        <v>44</v>
      </c>
      <c r="C35" s="120">
        <v>22167004.93</v>
      </c>
      <c r="D35" s="121">
        <f>'Revenue Offset'!G35</f>
        <v>0.5508920857625127</v>
      </c>
      <c r="E35" s="122">
        <f t="shared" si="2"/>
        <v>9955377.349004399</v>
      </c>
      <c r="F35" s="17">
        <f>Summary!D33</f>
        <v>7228</v>
      </c>
      <c r="G35" s="386">
        <f t="shared" si="1"/>
        <v>1377.3349957117321</v>
      </c>
      <c r="H35" s="176"/>
      <c r="I35" s="11"/>
    </row>
    <row r="36" spans="1:9" ht="15" customHeight="1" x14ac:dyDescent="0.2">
      <c r="A36" s="10" t="s">
        <v>45</v>
      </c>
      <c r="B36" s="3" t="s">
        <v>136</v>
      </c>
      <c r="C36" s="120">
        <v>3645760.05</v>
      </c>
      <c r="D36" s="121">
        <f>'Revenue Offset'!G36</f>
        <v>0.46067411255480761</v>
      </c>
      <c r="E36" s="122">
        <f t="shared" si="2"/>
        <v>1966252.7743784788</v>
      </c>
      <c r="F36" s="17">
        <f>Summary!D34</f>
        <v>2464</v>
      </c>
      <c r="G36" s="386">
        <f t="shared" si="1"/>
        <v>797.99219739386308</v>
      </c>
      <c r="H36" s="176"/>
      <c r="I36" s="11"/>
    </row>
    <row r="37" spans="1:9" ht="15" customHeight="1" x14ac:dyDescent="0.2">
      <c r="A37" s="10" t="s">
        <v>47</v>
      </c>
      <c r="B37" s="3" t="s">
        <v>48</v>
      </c>
      <c r="C37" s="120">
        <v>13800150.789999999</v>
      </c>
      <c r="D37" s="121">
        <f>'Revenue Offset'!G37</f>
        <v>0.59287550685049228</v>
      </c>
      <c r="E37" s="122">
        <f t="shared" si="2"/>
        <v>5618379.3957655281</v>
      </c>
      <c r="F37" s="17">
        <f>Summary!D35</f>
        <v>5678</v>
      </c>
      <c r="G37" s="386">
        <f t="shared" si="1"/>
        <v>989.49971746486938</v>
      </c>
      <c r="H37" s="176"/>
      <c r="I37" s="11"/>
    </row>
    <row r="38" spans="1:9" ht="15" customHeight="1" x14ac:dyDescent="0.2">
      <c r="G38" s="176"/>
      <c r="H38" s="126"/>
    </row>
    <row r="39" spans="1:9" ht="15" customHeight="1" x14ac:dyDescent="0.2">
      <c r="B39" t="s">
        <v>49</v>
      </c>
      <c r="C39" s="16">
        <f>SUM(C8:C38)</f>
        <v>234031308.18000001</v>
      </c>
      <c r="D39" s="123">
        <f>'Revenue Offset'!G39</f>
        <v>0.518126889099226</v>
      </c>
      <c r="E39" s="16">
        <f>SUM(E8:E38)</f>
        <v>109703151.46714893</v>
      </c>
      <c r="F39" s="16">
        <f>SUM(F8:F38)</f>
        <v>105497</v>
      </c>
      <c r="G39" s="176">
        <f>+E39/F39</f>
        <v>1039.8698680260948</v>
      </c>
      <c r="H39" s="126"/>
    </row>
    <row r="40" spans="1:9" ht="12" customHeight="1" x14ac:dyDescent="0.2">
      <c r="C40" s="124"/>
    </row>
    <row r="41" spans="1:9" ht="15" customHeight="1" x14ac:dyDescent="0.2">
      <c r="A41" s="15" t="s">
        <v>306</v>
      </c>
      <c r="E41" s="125"/>
    </row>
    <row r="42" spans="1:9" ht="15" customHeight="1" x14ac:dyDescent="0.2">
      <c r="A42" s="15" t="str">
        <f>'FY2015 Detail'!B40</f>
        <v>s:\finance\bargain\FY25 allocation\Summary of FY2025 Institutional Allocation Draft</v>
      </c>
    </row>
    <row r="43" spans="1:9" ht="15" customHeight="1" x14ac:dyDescent="0.2">
      <c r="A43" s="15"/>
    </row>
    <row r="44" spans="1:9" ht="15" customHeight="1" x14ac:dyDescent="0.2">
      <c r="C44" s="11"/>
      <c r="D44" s="6"/>
      <c r="E44" s="11"/>
      <c r="F44" s="11"/>
    </row>
  </sheetData>
  <phoneticPr fontId="11" type="noConversion"/>
  <pageMargins left="0.75" right="0.4" top="0.64" bottom="0.28000000000000003" header="0.5" footer="0.24"/>
  <pageSetup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47"/>
  <sheetViews>
    <sheetView zoomScale="80" zoomScaleNormal="80" workbookViewId="0">
      <selection activeCell="I1" sqref="I1:K1"/>
    </sheetView>
  </sheetViews>
  <sheetFormatPr defaultColWidth="9.140625" defaultRowHeight="12.75" x14ac:dyDescent="0.2"/>
  <cols>
    <col min="1" max="1" width="7.7109375" customWidth="1"/>
    <col min="2" max="2" width="30.7109375" customWidth="1"/>
    <col min="3" max="3" width="8.5703125" style="11" customWidth="1"/>
    <col min="4" max="4" width="12.7109375" style="11" customWidth="1"/>
    <col min="5" max="5" width="9.28515625" style="11" customWidth="1"/>
    <col min="6" max="6" width="12.7109375" style="11" bestFit="1" customWidth="1"/>
    <col min="7" max="7" width="11.42578125" style="11" customWidth="1"/>
    <col min="8" max="9" width="12" style="11" customWidth="1"/>
    <col min="10" max="10" width="16.140625" style="11" customWidth="1"/>
    <col min="11" max="11" width="12.28515625" style="11" customWidth="1"/>
    <col min="12" max="12" width="10.5703125" style="4" customWidth="1"/>
    <col min="13" max="13" width="14" style="126" customWidth="1"/>
    <col min="14" max="14" width="7.7109375" customWidth="1"/>
    <col min="15" max="15" width="30.7109375" customWidth="1"/>
    <col min="16" max="16" width="12.28515625" style="16" customWidth="1"/>
    <col min="17" max="18" width="16.42578125" style="4" customWidth="1"/>
    <col min="19" max="19" width="16.28515625" bestFit="1" customWidth="1"/>
    <col min="20" max="20" width="3.42578125" customWidth="1"/>
  </cols>
  <sheetData>
    <row r="1" spans="1:19" ht="15.75" x14ac:dyDescent="0.25">
      <c r="A1" s="33" t="s">
        <v>72</v>
      </c>
      <c r="H1" s="5"/>
      <c r="M1" s="4"/>
      <c r="N1" s="33" t="s">
        <v>72</v>
      </c>
      <c r="S1" s="4" t="s">
        <v>279</v>
      </c>
    </row>
    <row r="2" spans="1:19" x14ac:dyDescent="0.2">
      <c r="A2" s="4" t="s">
        <v>126</v>
      </c>
      <c r="H2" s="5"/>
      <c r="N2" s="4" t="s">
        <v>126</v>
      </c>
      <c r="R2" s="133"/>
    </row>
    <row r="3" spans="1:19" x14ac:dyDescent="0.2">
      <c r="A3" s="4" t="s">
        <v>329</v>
      </c>
      <c r="G3" s="176"/>
      <c r="K3" s="4" t="s">
        <v>279</v>
      </c>
      <c r="N3" s="4" t="s">
        <v>329</v>
      </c>
    </row>
    <row r="4" spans="1:19" s="127" customFormat="1" ht="13.5" x14ac:dyDescent="0.25">
      <c r="A4" s="214" t="s">
        <v>160</v>
      </c>
      <c r="N4" s="214" t="s">
        <v>161</v>
      </c>
    </row>
    <row r="5" spans="1:19" s="215" customFormat="1" ht="12.75" customHeight="1" x14ac:dyDescent="0.2">
      <c r="C5" s="5"/>
      <c r="D5" s="5"/>
      <c r="E5" s="5"/>
      <c r="F5" s="29" t="s">
        <v>97</v>
      </c>
      <c r="G5" s="5"/>
      <c r="H5" s="5"/>
      <c r="I5" s="5"/>
      <c r="J5" s="29" t="s">
        <v>162</v>
      </c>
      <c r="K5" s="29" t="s">
        <v>163</v>
      </c>
      <c r="L5" s="19"/>
      <c r="M5" s="111" t="s">
        <v>164</v>
      </c>
      <c r="P5" s="111" t="s">
        <v>98</v>
      </c>
      <c r="Q5" s="19" t="s">
        <v>165</v>
      </c>
      <c r="R5" s="19"/>
    </row>
    <row r="6" spans="1:19" s="19" customFormat="1" x14ac:dyDescent="0.2">
      <c r="C6" s="29" t="s">
        <v>79</v>
      </c>
      <c r="D6" s="29" t="s">
        <v>74</v>
      </c>
      <c r="E6" s="29" t="s">
        <v>75</v>
      </c>
      <c r="F6" s="29" t="s">
        <v>76</v>
      </c>
      <c r="G6" s="29" t="s">
        <v>77</v>
      </c>
      <c r="H6" s="29" t="s">
        <v>78</v>
      </c>
      <c r="I6" s="29" t="s">
        <v>81</v>
      </c>
      <c r="J6" s="29" t="s">
        <v>82</v>
      </c>
      <c r="K6" s="19" t="s">
        <v>111</v>
      </c>
      <c r="L6" s="19" t="s">
        <v>123</v>
      </c>
      <c r="M6" s="19" t="s">
        <v>99</v>
      </c>
      <c r="P6" s="19" t="s">
        <v>166</v>
      </c>
      <c r="Q6" s="19" t="s">
        <v>167</v>
      </c>
      <c r="R6" s="19" t="s">
        <v>168</v>
      </c>
    </row>
    <row r="7" spans="1:19" s="128" customFormat="1" ht="76.5" x14ac:dyDescent="0.2">
      <c r="A7" s="216" t="s">
        <v>0</v>
      </c>
      <c r="B7" s="217" t="s">
        <v>1</v>
      </c>
      <c r="C7" s="218" t="s">
        <v>320</v>
      </c>
      <c r="D7" s="219" t="s">
        <v>169</v>
      </c>
      <c r="E7" s="219" t="s">
        <v>100</v>
      </c>
      <c r="F7" s="219" t="s">
        <v>101</v>
      </c>
      <c r="G7" s="357" t="s">
        <v>328</v>
      </c>
      <c r="H7" s="220" t="s">
        <v>170</v>
      </c>
      <c r="I7" s="220" t="s">
        <v>171</v>
      </c>
      <c r="J7" s="220" t="s">
        <v>172</v>
      </c>
      <c r="K7" s="197" t="s">
        <v>173</v>
      </c>
      <c r="L7" s="221" t="s">
        <v>119</v>
      </c>
      <c r="M7" s="197" t="s">
        <v>102</v>
      </c>
      <c r="N7" s="216" t="s">
        <v>0</v>
      </c>
      <c r="O7" s="217" t="s">
        <v>1</v>
      </c>
      <c r="P7" s="222" t="s">
        <v>103</v>
      </c>
      <c r="Q7" s="197" t="s">
        <v>312</v>
      </c>
      <c r="R7" s="197" t="s">
        <v>302</v>
      </c>
      <c r="S7" s="216" t="s">
        <v>174</v>
      </c>
    </row>
    <row r="8" spans="1:19" s="128" customFormat="1" x14ac:dyDescent="0.2">
      <c r="A8"/>
      <c r="B8" s="223"/>
      <c r="C8" s="224"/>
      <c r="D8" s="225"/>
      <c r="E8" s="225"/>
      <c r="F8" s="225"/>
      <c r="G8" s="358"/>
      <c r="H8" s="226"/>
      <c r="I8" s="226"/>
      <c r="J8" s="226"/>
      <c r="K8" s="227"/>
      <c r="L8" s="129"/>
      <c r="M8" s="227"/>
      <c r="N8"/>
      <c r="O8" s="223"/>
      <c r="P8" s="228"/>
      <c r="Q8" s="227"/>
      <c r="R8" s="129"/>
    </row>
    <row r="9" spans="1:19" x14ac:dyDescent="0.2">
      <c r="A9" s="229" t="s">
        <v>2</v>
      </c>
      <c r="B9" s="201" t="s">
        <v>128</v>
      </c>
      <c r="C9" s="230">
        <f>Summary!D6</f>
        <v>1811</v>
      </c>
      <c r="D9" s="231">
        <v>2121676</v>
      </c>
      <c r="E9" s="231">
        <v>2459</v>
      </c>
      <c r="F9" s="231">
        <f>+C9*E9</f>
        <v>4453249</v>
      </c>
      <c r="G9" s="359">
        <f>'Weighted differ concurrent'!L6</f>
        <v>3870.05</v>
      </c>
      <c r="H9" s="232">
        <v>1885448</v>
      </c>
      <c r="I9" s="232">
        <v>646</v>
      </c>
      <c r="J9" s="232">
        <f t="shared" ref="J9:J38" si="0">+G9*I9</f>
        <v>2500052.3000000003</v>
      </c>
      <c r="K9" s="233">
        <f t="shared" ref="K9:K38" si="1">+H9+J9+D9+F9</f>
        <v>10960425.300000001</v>
      </c>
      <c r="L9" s="234">
        <f>'Revenue Offset'!G8</f>
        <v>0.45398034509082752</v>
      </c>
      <c r="M9" s="235">
        <f t="shared" ref="M9:M38" si="2">K9*(1-L9)</f>
        <v>5984607.6399637638</v>
      </c>
      <c r="N9" s="229" t="s">
        <v>2</v>
      </c>
      <c r="O9" s="201" t="s">
        <v>128</v>
      </c>
      <c r="P9" s="236"/>
      <c r="Q9" s="235">
        <f t="shared" ref="Q9:Q15" si="3">+M9+P9</f>
        <v>5984607.6399637638</v>
      </c>
      <c r="R9" s="235">
        <v>5618094.8276735544</v>
      </c>
      <c r="S9" s="237">
        <f t="shared" ref="S9:S38" si="4">AVERAGE(Q9:R9)</f>
        <v>5801351.2338186596</v>
      </c>
    </row>
    <row r="10" spans="1:19" x14ac:dyDescent="0.2">
      <c r="A10" s="229" t="s">
        <v>4</v>
      </c>
      <c r="B10" s="201" t="s">
        <v>124</v>
      </c>
      <c r="C10" s="230">
        <f>Summary!D7</f>
        <v>5698</v>
      </c>
      <c r="D10" s="231">
        <v>2121676</v>
      </c>
      <c r="E10" s="231">
        <v>2459</v>
      </c>
      <c r="F10" s="231">
        <f>+C10*E10</f>
        <v>14011382</v>
      </c>
      <c r="G10" s="359">
        <f>'Weighted differ concurrent'!L7+'Weighted differ concurrent'!L8</f>
        <v>12794.65</v>
      </c>
      <c r="H10" s="232">
        <v>1885448</v>
      </c>
      <c r="I10" s="232">
        <v>646</v>
      </c>
      <c r="J10" s="232">
        <f t="shared" si="0"/>
        <v>8265343.8999999994</v>
      </c>
      <c r="K10" s="233">
        <f>+H10+J10+D10+F10</f>
        <v>26283849.899999999</v>
      </c>
      <c r="L10" s="234">
        <f>'Revenue Offset'!G9</f>
        <v>0.47221742787664267</v>
      </c>
      <c r="M10" s="235">
        <f>K10*(1-L10)</f>
        <v>13872157.905526247</v>
      </c>
      <c r="N10" s="229" t="s">
        <v>4</v>
      </c>
      <c r="O10" s="201" t="s">
        <v>124</v>
      </c>
      <c r="P10" s="236">
        <f>200000*2</f>
        <v>400000</v>
      </c>
      <c r="Q10" s="235">
        <f t="shared" si="3"/>
        <v>14272157.905526247</v>
      </c>
      <c r="R10" s="235">
        <v>13338637.405003237</v>
      </c>
      <c r="S10" s="237">
        <f t="shared" si="4"/>
        <v>13805397.655264743</v>
      </c>
    </row>
    <row r="11" spans="1:19" ht="15" customHeight="1" x14ac:dyDescent="0.2">
      <c r="A11" s="229" t="s">
        <v>5</v>
      </c>
      <c r="B11" s="201" t="s">
        <v>113</v>
      </c>
      <c r="C11" s="230">
        <f>Summary!D8</f>
        <v>3739</v>
      </c>
      <c r="D11" s="231">
        <v>7144263</v>
      </c>
      <c r="E11" s="231">
        <v>2133</v>
      </c>
      <c r="F11" s="231">
        <f t="shared" ref="F11:F38" si="5">+C11*E11</f>
        <v>7975287</v>
      </c>
      <c r="G11" s="359">
        <f>'Weighted differ concurrent'!L29+'Weighted differ concurrent'!L40</f>
        <v>6591.5</v>
      </c>
      <c r="H11" s="232">
        <v>2613000</v>
      </c>
      <c r="I11" s="232">
        <v>1451</v>
      </c>
      <c r="J11" s="232">
        <f t="shared" si="0"/>
        <v>9564266.5</v>
      </c>
      <c r="K11" s="233">
        <f t="shared" si="1"/>
        <v>27296816.5</v>
      </c>
      <c r="L11" s="234">
        <f>'Revenue Offset'!G10</f>
        <v>0.56031362149763542</v>
      </c>
      <c r="M11" s="235">
        <f t="shared" si="2"/>
        <v>12002038.391528592</v>
      </c>
      <c r="N11" s="229" t="s">
        <v>5</v>
      </c>
      <c r="O11" s="201" t="s">
        <v>113</v>
      </c>
      <c r="P11" s="236">
        <v>200000</v>
      </c>
      <c r="Q11" s="235">
        <f t="shared" si="3"/>
        <v>12202038.391528592</v>
      </c>
      <c r="R11" s="235">
        <v>11206783.962528566</v>
      </c>
      <c r="S11" s="237">
        <f t="shared" si="4"/>
        <v>11704411.177028578</v>
      </c>
    </row>
    <row r="12" spans="1:19" x14ac:dyDescent="0.2">
      <c r="A12" s="229" t="s">
        <v>6</v>
      </c>
      <c r="B12" s="201" t="s">
        <v>7</v>
      </c>
      <c r="C12" s="230">
        <f>Summary!D9</f>
        <v>2511</v>
      </c>
      <c r="D12" s="231">
        <v>2121676</v>
      </c>
      <c r="E12" s="231">
        <v>2459</v>
      </c>
      <c r="F12" s="231">
        <f t="shared" si="5"/>
        <v>6174549</v>
      </c>
      <c r="G12" s="359">
        <f>'Weighted differ concurrent'!L9</f>
        <v>5274.85</v>
      </c>
      <c r="H12" s="232">
        <v>1885448</v>
      </c>
      <c r="I12" s="232">
        <v>646</v>
      </c>
      <c r="J12" s="232">
        <f t="shared" si="0"/>
        <v>3407553.1</v>
      </c>
      <c r="K12" s="233">
        <f t="shared" si="1"/>
        <v>13589226.1</v>
      </c>
      <c r="L12" s="234">
        <f>'Revenue Offset'!G11</f>
        <v>0.44411590295335773</v>
      </c>
      <c r="M12" s="235">
        <f t="shared" si="2"/>
        <v>7554034.6801611641</v>
      </c>
      <c r="N12" s="229" t="s">
        <v>6</v>
      </c>
      <c r="O12" s="201" t="s">
        <v>7</v>
      </c>
      <c r="P12" s="236">
        <f>318*500</f>
        <v>159000</v>
      </c>
      <c r="Q12" s="235">
        <f t="shared" si="3"/>
        <v>7713034.6801611641</v>
      </c>
      <c r="R12" s="235">
        <v>7268983.5934372442</v>
      </c>
      <c r="S12" s="237">
        <f t="shared" si="4"/>
        <v>7491009.1367992042</v>
      </c>
    </row>
    <row r="13" spans="1:19" x14ac:dyDescent="0.2">
      <c r="A13" s="229" t="s">
        <v>8</v>
      </c>
      <c r="B13" s="201" t="s">
        <v>9</v>
      </c>
      <c r="C13" s="230">
        <f>Summary!D10</f>
        <v>5114</v>
      </c>
      <c r="D13" s="231">
        <v>2121676</v>
      </c>
      <c r="E13" s="231">
        <v>2459</v>
      </c>
      <c r="F13" s="231">
        <f t="shared" si="5"/>
        <v>12575326</v>
      </c>
      <c r="G13" s="359">
        <f>'Weighted differ concurrent'!L10</f>
        <v>11974.3</v>
      </c>
      <c r="H13" s="232">
        <v>1885448</v>
      </c>
      <c r="I13" s="232">
        <v>646</v>
      </c>
      <c r="J13" s="232">
        <f t="shared" si="0"/>
        <v>7735397.7999999998</v>
      </c>
      <c r="K13" s="233">
        <f t="shared" si="1"/>
        <v>24317847.800000001</v>
      </c>
      <c r="L13" s="234">
        <f>'Revenue Offset'!G12</f>
        <v>0.47711530109848616</v>
      </c>
      <c r="M13" s="235">
        <f t="shared" si="2"/>
        <v>12715430.524835842</v>
      </c>
      <c r="N13" s="229" t="s">
        <v>8</v>
      </c>
      <c r="O13" s="201" t="s">
        <v>9</v>
      </c>
      <c r="P13" s="236"/>
      <c r="Q13" s="235">
        <f t="shared" si="3"/>
        <v>12715430.524835842</v>
      </c>
      <c r="R13" s="235">
        <v>11471596.261890097</v>
      </c>
      <c r="S13" s="237">
        <f t="shared" si="4"/>
        <v>12093513.393362969</v>
      </c>
    </row>
    <row r="14" spans="1:19" x14ac:dyDescent="0.2">
      <c r="A14" s="229" t="s">
        <v>10</v>
      </c>
      <c r="B14" s="3" t="s">
        <v>146</v>
      </c>
      <c r="C14" s="230">
        <f>Summary!D11</f>
        <v>4050</v>
      </c>
      <c r="D14" s="231">
        <v>2121676</v>
      </c>
      <c r="E14" s="231">
        <v>2459</v>
      </c>
      <c r="F14" s="231">
        <f t="shared" si="5"/>
        <v>9958950</v>
      </c>
      <c r="G14" s="359">
        <f>'Weighted differ concurrent'!L11+'Weighted differ concurrent'!L14</f>
        <v>9124.7000000000007</v>
      </c>
      <c r="H14" s="232">
        <v>1885448</v>
      </c>
      <c r="I14" s="232">
        <v>646</v>
      </c>
      <c r="J14" s="232">
        <f t="shared" si="0"/>
        <v>5894556.2000000002</v>
      </c>
      <c r="K14" s="233">
        <f>+H14+J14+D14+F14</f>
        <v>19860630.199999999</v>
      </c>
      <c r="L14" s="234">
        <f>'Revenue Offset'!G13</f>
        <v>0.44975388957952139</v>
      </c>
      <c r="M14" s="235">
        <f t="shared" si="2"/>
        <v>10928234.51804949</v>
      </c>
      <c r="N14" s="229" t="s">
        <v>10</v>
      </c>
      <c r="O14" s="3" t="s">
        <v>146</v>
      </c>
      <c r="P14" s="236">
        <v>200000</v>
      </c>
      <c r="Q14" s="235">
        <f t="shared" si="3"/>
        <v>11128234.51804949</v>
      </c>
      <c r="R14" s="235">
        <v>10681869.664471049</v>
      </c>
      <c r="S14" s="237">
        <f t="shared" si="4"/>
        <v>10905052.091260269</v>
      </c>
    </row>
    <row r="15" spans="1:19" x14ac:dyDescent="0.2">
      <c r="A15" s="229" t="s">
        <v>12</v>
      </c>
      <c r="B15" s="201" t="s">
        <v>13</v>
      </c>
      <c r="C15" s="230">
        <f>Summary!D12</f>
        <v>812</v>
      </c>
      <c r="D15" s="231">
        <v>2121676</v>
      </c>
      <c r="E15" s="231">
        <v>2459</v>
      </c>
      <c r="F15" s="231">
        <f t="shared" si="5"/>
        <v>1996708</v>
      </c>
      <c r="G15" s="359">
        <f>'Weighted differ concurrent'!L12</f>
        <v>1827.4</v>
      </c>
      <c r="H15" s="232">
        <v>1885448</v>
      </c>
      <c r="I15" s="232">
        <v>646</v>
      </c>
      <c r="J15" s="232">
        <f t="shared" si="0"/>
        <v>1180500.4000000001</v>
      </c>
      <c r="K15" s="233">
        <f t="shared" si="1"/>
        <v>7184332.4000000004</v>
      </c>
      <c r="L15" s="234">
        <f>'Revenue Offset'!G14</f>
        <v>0.34468677318100721</v>
      </c>
      <c r="M15" s="235">
        <f t="shared" si="2"/>
        <v>4707988.0475842385</v>
      </c>
      <c r="N15" s="229" t="s">
        <v>12</v>
      </c>
      <c r="O15" s="201" t="s">
        <v>13</v>
      </c>
      <c r="P15" s="236"/>
      <c r="Q15" s="235">
        <f t="shared" si="3"/>
        <v>4707988.0475842385</v>
      </c>
      <c r="R15" s="235">
        <v>4592168.5431406712</v>
      </c>
      <c r="S15" s="237">
        <f t="shared" si="4"/>
        <v>4650078.2953624548</v>
      </c>
    </row>
    <row r="16" spans="1:19" x14ac:dyDescent="0.2">
      <c r="A16" s="229" t="s">
        <v>14</v>
      </c>
      <c r="B16" s="201" t="s">
        <v>139</v>
      </c>
      <c r="C16" s="230">
        <f>Summary!D13</f>
        <v>2546</v>
      </c>
      <c r="D16" s="231">
        <v>2121676</v>
      </c>
      <c r="E16" s="231">
        <v>2459</v>
      </c>
      <c r="F16" s="231">
        <f t="shared" si="5"/>
        <v>6260614</v>
      </c>
      <c r="G16" s="359">
        <f>'Weighted differ concurrent'!L13</f>
        <v>6430.6</v>
      </c>
      <c r="H16" s="232">
        <v>1885448</v>
      </c>
      <c r="I16" s="232">
        <v>646</v>
      </c>
      <c r="J16" s="232">
        <f t="shared" si="0"/>
        <v>4154167.6</v>
      </c>
      <c r="K16" s="233">
        <f t="shared" si="1"/>
        <v>14421905.6</v>
      </c>
      <c r="L16" s="234">
        <f>'Revenue Offset'!G15</f>
        <v>0.38899820613316899</v>
      </c>
      <c r="M16" s="235">
        <f t="shared" si="2"/>
        <v>8811810.1925780959</v>
      </c>
      <c r="N16" s="229" t="s">
        <v>14</v>
      </c>
      <c r="O16" s="201" t="s">
        <v>139</v>
      </c>
      <c r="P16" s="236">
        <v>200000</v>
      </c>
      <c r="Q16" s="235">
        <f t="shared" ref="Q16:Q38" si="6">+M16+P16</f>
        <v>9011810.1925780959</v>
      </c>
      <c r="R16" s="235">
        <v>8555127.8903933857</v>
      </c>
      <c r="S16" s="237">
        <f t="shared" si="4"/>
        <v>8783469.0414857417</v>
      </c>
    </row>
    <row r="17" spans="1:19" x14ac:dyDescent="0.2">
      <c r="A17" s="229" t="s">
        <v>16</v>
      </c>
      <c r="B17" s="201" t="s">
        <v>17</v>
      </c>
      <c r="C17" s="230">
        <f>Summary!D14</f>
        <v>2353</v>
      </c>
      <c r="D17" s="231">
        <v>2121676</v>
      </c>
      <c r="E17" s="231">
        <v>2459</v>
      </c>
      <c r="F17" s="231">
        <f t="shared" si="5"/>
        <v>5786027</v>
      </c>
      <c r="G17" s="359">
        <f>'Weighted differ concurrent'!L15</f>
        <v>5362.85</v>
      </c>
      <c r="H17" s="232">
        <v>1885448</v>
      </c>
      <c r="I17" s="232">
        <v>646</v>
      </c>
      <c r="J17" s="232">
        <f t="shared" si="0"/>
        <v>3464401.1</v>
      </c>
      <c r="K17" s="233">
        <f t="shared" si="1"/>
        <v>13257552.1</v>
      </c>
      <c r="L17" s="234">
        <f>'Revenue Offset'!G16</f>
        <v>0.41118330929356911</v>
      </c>
      <c r="M17" s="235">
        <f t="shared" si="2"/>
        <v>7806267.9543900937</v>
      </c>
      <c r="N17" s="229" t="s">
        <v>16</v>
      </c>
      <c r="O17" s="201" t="s">
        <v>17</v>
      </c>
      <c r="P17" s="236"/>
      <c r="Q17" s="235">
        <f t="shared" si="6"/>
        <v>7806267.9543900937</v>
      </c>
      <c r="R17" s="235">
        <v>7557575.1217158129</v>
      </c>
      <c r="S17" s="237">
        <f t="shared" si="4"/>
        <v>7681921.5380529538</v>
      </c>
    </row>
    <row r="18" spans="1:19" x14ac:dyDescent="0.2">
      <c r="A18" s="229" t="s">
        <v>18</v>
      </c>
      <c r="B18" s="201" t="s">
        <v>140</v>
      </c>
      <c r="C18" s="230">
        <f>Summary!D15</f>
        <v>4839</v>
      </c>
      <c r="D18" s="231">
        <v>7144263</v>
      </c>
      <c r="E18" s="231">
        <v>2133</v>
      </c>
      <c r="F18" s="231">
        <f t="shared" si="5"/>
        <v>10321587</v>
      </c>
      <c r="G18" s="359">
        <f>'Weighted differ concurrent'!L41</f>
        <v>9555.7999999999993</v>
      </c>
      <c r="H18" s="232">
        <v>2613000</v>
      </c>
      <c r="I18" s="232">
        <v>1451</v>
      </c>
      <c r="J18" s="232">
        <f t="shared" si="0"/>
        <v>13865465.799999999</v>
      </c>
      <c r="K18" s="233">
        <f t="shared" si="1"/>
        <v>33944315.799999997</v>
      </c>
      <c r="L18" s="234">
        <f>'Revenue Offset'!G17</f>
        <v>0.57193745104640104</v>
      </c>
      <c r="M18" s="235">
        <f t="shared" si="2"/>
        <v>14530290.343833921</v>
      </c>
      <c r="N18" s="229" t="s">
        <v>18</v>
      </c>
      <c r="O18" s="201" t="s">
        <v>140</v>
      </c>
      <c r="P18" s="236"/>
      <c r="Q18" s="235">
        <f t="shared" si="6"/>
        <v>14530290.343833921</v>
      </c>
      <c r="R18" s="235">
        <v>13535758.382067541</v>
      </c>
      <c r="S18" s="237">
        <f t="shared" si="4"/>
        <v>14033024.362950731</v>
      </c>
    </row>
    <row r="19" spans="1:19" x14ac:dyDescent="0.2">
      <c r="A19" s="229" t="s">
        <v>19</v>
      </c>
      <c r="B19" s="201" t="s">
        <v>129</v>
      </c>
      <c r="C19" s="230">
        <f>Summary!D16</f>
        <v>3876</v>
      </c>
      <c r="D19" s="231">
        <v>2121676</v>
      </c>
      <c r="E19" s="231">
        <v>2459</v>
      </c>
      <c r="F19" s="231">
        <f t="shared" si="5"/>
        <v>9531084</v>
      </c>
      <c r="G19" s="359">
        <f>'Weighted differ concurrent'!L16</f>
        <v>10175.450000000001</v>
      </c>
      <c r="H19" s="232">
        <v>1885448</v>
      </c>
      <c r="I19" s="232">
        <v>646</v>
      </c>
      <c r="J19" s="232">
        <f t="shared" si="0"/>
        <v>6573340.7000000002</v>
      </c>
      <c r="K19" s="233">
        <f t="shared" si="1"/>
        <v>20111548.699999999</v>
      </c>
      <c r="L19" s="234">
        <f>'Revenue Offset'!G18</f>
        <v>0.46755227274314237</v>
      </c>
      <c r="M19" s="235">
        <f t="shared" si="2"/>
        <v>10708348.396930609</v>
      </c>
      <c r="N19" s="229" t="s">
        <v>19</v>
      </c>
      <c r="O19" s="201" t="s">
        <v>129</v>
      </c>
      <c r="P19" s="236"/>
      <c r="Q19" s="235">
        <f t="shared" si="6"/>
        <v>10708348.396930609</v>
      </c>
      <c r="R19" s="235">
        <v>9868783.5001107194</v>
      </c>
      <c r="S19" s="237">
        <f t="shared" si="4"/>
        <v>10288565.948520664</v>
      </c>
    </row>
    <row r="20" spans="1:19" ht="14.25" customHeight="1" x14ac:dyDescent="0.2">
      <c r="A20" s="207" t="s">
        <v>118</v>
      </c>
      <c r="B20" s="201" t="s">
        <v>298</v>
      </c>
      <c r="C20" s="230">
        <f>Summary!D17</f>
        <v>2448</v>
      </c>
      <c r="D20" s="231">
        <v>2121676</v>
      </c>
      <c r="E20" s="231">
        <v>2459</v>
      </c>
      <c r="F20" s="231">
        <f>+C20*E20</f>
        <v>6019632</v>
      </c>
      <c r="G20" s="359">
        <f>'Weighted differ concurrent'!L17</f>
        <v>3798.75</v>
      </c>
      <c r="H20" s="232">
        <v>1885448</v>
      </c>
      <c r="I20" s="232">
        <v>646</v>
      </c>
      <c r="J20" s="232">
        <f>+G20*I20</f>
        <v>2453992.5</v>
      </c>
      <c r="K20" s="233">
        <f>+H20+J20+D20+F20</f>
        <v>12480748.5</v>
      </c>
      <c r="L20" s="234">
        <f>'Revenue Offset'!G19</f>
        <v>0.40726711857110459</v>
      </c>
      <c r="M20" s="235">
        <f>K20*(1-L20)</f>
        <v>7397750.0207943646</v>
      </c>
      <c r="N20" s="207" t="s">
        <v>118</v>
      </c>
      <c r="O20" s="201" t="s">
        <v>63</v>
      </c>
      <c r="P20" s="16">
        <f>(200000*3)+(205*500)+(153*500)</f>
        <v>779000</v>
      </c>
      <c r="Q20" s="235">
        <f>+M20+P20</f>
        <v>8176750.0207943646</v>
      </c>
      <c r="R20" s="235">
        <v>8321004.9673783081</v>
      </c>
      <c r="S20" s="237">
        <f>AVERAGE(Q20:R20)</f>
        <v>8248877.4940863363</v>
      </c>
    </row>
    <row r="21" spans="1:19" x14ac:dyDescent="0.2">
      <c r="A21" s="229" t="s">
        <v>21</v>
      </c>
      <c r="B21" s="206" t="s">
        <v>176</v>
      </c>
      <c r="C21" s="230">
        <f>Summary!D18</f>
        <v>1099</v>
      </c>
      <c r="D21" s="231">
        <v>2121676</v>
      </c>
      <c r="E21" s="231">
        <v>2459</v>
      </c>
      <c r="F21" s="231">
        <f t="shared" si="5"/>
        <v>2702441</v>
      </c>
      <c r="G21" s="359">
        <f>'Weighted differ concurrent'!L23</f>
        <v>2604.15</v>
      </c>
      <c r="H21" s="232">
        <v>1885448</v>
      </c>
      <c r="I21" s="232">
        <v>646</v>
      </c>
      <c r="J21" s="232">
        <f t="shared" si="0"/>
        <v>1682280.9000000001</v>
      </c>
      <c r="K21" s="233">
        <f t="shared" si="1"/>
        <v>8391845.9000000004</v>
      </c>
      <c r="L21" s="234">
        <f>'Revenue Offset'!G20</f>
        <v>0.40426638873825016</v>
      </c>
      <c r="M21" s="235">
        <f t="shared" si="2"/>
        <v>4999304.6631591097</v>
      </c>
      <c r="N21" s="229" t="s">
        <v>21</v>
      </c>
      <c r="O21" s="206" t="s">
        <v>71</v>
      </c>
      <c r="P21" s="236">
        <f>374*500</f>
        <v>187000</v>
      </c>
      <c r="Q21" s="235">
        <f t="shared" si="6"/>
        <v>5186304.6631591097</v>
      </c>
      <c r="R21" s="235">
        <v>5010882.9044931</v>
      </c>
      <c r="S21" s="237">
        <f t="shared" si="4"/>
        <v>5098593.7838261053</v>
      </c>
    </row>
    <row r="22" spans="1:19" x14ac:dyDescent="0.2">
      <c r="A22" s="207" t="s">
        <v>109</v>
      </c>
      <c r="B22" s="201" t="s">
        <v>141</v>
      </c>
      <c r="C22" s="230">
        <f>Summary!D19</f>
        <v>3171</v>
      </c>
      <c r="D22" s="231">
        <v>2121676</v>
      </c>
      <c r="E22" s="231">
        <v>2459</v>
      </c>
      <c r="F22" s="231">
        <f>+C22*E22</f>
        <v>7797489</v>
      </c>
      <c r="G22" s="359">
        <f>'Weighted differ concurrent'!L24</f>
        <v>6494.5</v>
      </c>
      <c r="H22" s="232">
        <v>1885448</v>
      </c>
      <c r="I22" s="232">
        <v>646</v>
      </c>
      <c r="J22" s="232">
        <f t="shared" si="0"/>
        <v>4195447</v>
      </c>
      <c r="K22" s="233">
        <f t="shared" si="1"/>
        <v>16000060</v>
      </c>
      <c r="L22" s="234">
        <f>'Revenue Offset'!G21</f>
        <v>0.4421581726992746</v>
      </c>
      <c r="M22" s="235">
        <f t="shared" si="2"/>
        <v>8925502.7073212452</v>
      </c>
      <c r="N22" s="207" t="s">
        <v>109</v>
      </c>
      <c r="O22" s="201" t="s">
        <v>141</v>
      </c>
      <c r="P22" s="236">
        <f>(200000*2)+(259*500)</f>
        <v>529500</v>
      </c>
      <c r="Q22" s="235">
        <f>+M22+P22</f>
        <v>9455002.7073212452</v>
      </c>
      <c r="R22" s="235">
        <v>8927932.9945048522</v>
      </c>
      <c r="S22" s="237">
        <f t="shared" si="4"/>
        <v>9191467.8509130478</v>
      </c>
    </row>
    <row r="23" spans="1:19" x14ac:dyDescent="0.2">
      <c r="A23" s="229" t="s">
        <v>26</v>
      </c>
      <c r="B23" s="201" t="s">
        <v>62</v>
      </c>
      <c r="C23" s="230">
        <f>Summary!D20</f>
        <v>4228</v>
      </c>
      <c r="D23" s="231">
        <v>7144263</v>
      </c>
      <c r="E23" s="231">
        <v>2133</v>
      </c>
      <c r="F23" s="231">
        <f>+C23*E23</f>
        <v>9018324</v>
      </c>
      <c r="G23" s="359">
        <f>'Weighted differ concurrent'!L43</f>
        <v>6370</v>
      </c>
      <c r="H23" s="232">
        <v>2613000</v>
      </c>
      <c r="I23" s="232">
        <v>1451</v>
      </c>
      <c r="J23" s="232">
        <f t="shared" si="0"/>
        <v>9242870</v>
      </c>
      <c r="K23" s="233">
        <f t="shared" si="1"/>
        <v>28018457</v>
      </c>
      <c r="L23" s="234">
        <f>'Revenue Offset'!G22</f>
        <v>0.58417486522125794</v>
      </c>
      <c r="M23" s="235">
        <f t="shared" si="2"/>
        <v>11650778.658317389</v>
      </c>
      <c r="N23" s="229" t="s">
        <v>26</v>
      </c>
      <c r="O23" s="201" t="s">
        <v>62</v>
      </c>
      <c r="P23" s="236"/>
      <c r="Q23" s="235">
        <f t="shared" si="6"/>
        <v>11650778.658317389</v>
      </c>
      <c r="R23" s="235">
        <v>10816818.393252423</v>
      </c>
      <c r="S23" s="237">
        <f t="shared" si="4"/>
        <v>11233798.525784906</v>
      </c>
    </row>
    <row r="24" spans="1:19" x14ac:dyDescent="0.2">
      <c r="A24" s="229" t="s">
        <v>22</v>
      </c>
      <c r="B24" s="201" t="s">
        <v>23</v>
      </c>
      <c r="C24" s="230">
        <f>Summary!D21</f>
        <v>13052</v>
      </c>
      <c r="D24" s="231">
        <v>7144263</v>
      </c>
      <c r="E24" s="231">
        <v>2133</v>
      </c>
      <c r="F24" s="231">
        <f>+C24*E24</f>
        <v>27839916</v>
      </c>
      <c r="G24" s="359">
        <f>'Weighted differ concurrent'!L42</f>
        <v>18365.599999999999</v>
      </c>
      <c r="H24" s="232">
        <v>2613000</v>
      </c>
      <c r="I24" s="232">
        <v>1451</v>
      </c>
      <c r="J24" s="232">
        <f t="shared" si="0"/>
        <v>26648485.599999998</v>
      </c>
      <c r="K24" s="233">
        <f t="shared" si="1"/>
        <v>64245664.599999994</v>
      </c>
      <c r="L24" s="234">
        <f>'Revenue Offset'!G23</f>
        <v>0.67183209606841821</v>
      </c>
      <c r="M24" s="235">
        <f t="shared" si="2"/>
        <v>21083365.088473424</v>
      </c>
      <c r="N24" s="229" t="s">
        <v>22</v>
      </c>
      <c r="O24" s="201" t="s">
        <v>23</v>
      </c>
      <c r="P24" s="236"/>
      <c r="Q24" s="235">
        <f t="shared" si="6"/>
        <v>21083365.088473424</v>
      </c>
      <c r="R24" s="235">
        <v>19414318.279327221</v>
      </c>
      <c r="S24" s="237">
        <f t="shared" si="4"/>
        <v>20248841.683900323</v>
      </c>
    </row>
    <row r="25" spans="1:19" x14ac:dyDescent="0.2">
      <c r="A25" s="229" t="s">
        <v>24</v>
      </c>
      <c r="B25" s="201" t="s">
        <v>137</v>
      </c>
      <c r="C25" s="230">
        <f>Summary!D22</f>
        <v>1918</v>
      </c>
      <c r="D25" s="231">
        <v>2121676</v>
      </c>
      <c r="E25" s="231">
        <v>2459</v>
      </c>
      <c r="F25" s="231">
        <f t="shared" si="5"/>
        <v>4716362</v>
      </c>
      <c r="G25" s="359">
        <f>'Weighted differ concurrent'!L25</f>
        <v>4677.8999999999996</v>
      </c>
      <c r="H25" s="232">
        <v>1885448</v>
      </c>
      <c r="I25" s="232">
        <v>646</v>
      </c>
      <c r="J25" s="232">
        <f t="shared" si="0"/>
        <v>3021923.4</v>
      </c>
      <c r="K25" s="233">
        <f t="shared" si="1"/>
        <v>11745409.4</v>
      </c>
      <c r="L25" s="234">
        <f>'Revenue Offset'!G24</f>
        <v>0.42364244040512927</v>
      </c>
      <c r="M25" s="235">
        <f t="shared" si="2"/>
        <v>6769555.4982266547</v>
      </c>
      <c r="N25" s="229" t="s">
        <v>24</v>
      </c>
      <c r="O25" s="201" t="s">
        <v>137</v>
      </c>
      <c r="P25" s="236">
        <f>(200000)+((103+87+248)*500)</f>
        <v>419000</v>
      </c>
      <c r="Q25" s="235">
        <f t="shared" si="6"/>
        <v>7188555.4982266547</v>
      </c>
      <c r="R25" s="235">
        <v>6862296.1923952783</v>
      </c>
      <c r="S25" s="237">
        <f t="shared" si="4"/>
        <v>7025425.8453109665</v>
      </c>
    </row>
    <row r="26" spans="1:19" x14ac:dyDescent="0.2">
      <c r="A26" s="229" t="s">
        <v>27</v>
      </c>
      <c r="B26" s="201" t="s">
        <v>132</v>
      </c>
      <c r="C26" s="230">
        <f>Summary!D23</f>
        <v>6083</v>
      </c>
      <c r="D26" s="231">
        <v>2121676</v>
      </c>
      <c r="E26" s="231">
        <v>2459</v>
      </c>
      <c r="F26" s="231">
        <f t="shared" si="5"/>
        <v>14958097</v>
      </c>
      <c r="G26" s="359">
        <f>'Weighted differ concurrent'!L26</f>
        <v>14798.95</v>
      </c>
      <c r="H26" s="232">
        <v>1885448</v>
      </c>
      <c r="I26" s="232">
        <v>646</v>
      </c>
      <c r="J26" s="232">
        <f t="shared" si="0"/>
        <v>9560121.7000000011</v>
      </c>
      <c r="K26" s="233">
        <f t="shared" si="1"/>
        <v>28525342.700000003</v>
      </c>
      <c r="L26" s="234">
        <f>'Revenue Offset'!G25</f>
        <v>0.5229903225087249</v>
      </c>
      <c r="M26" s="235">
        <f t="shared" si="2"/>
        <v>13606864.521655099</v>
      </c>
      <c r="N26" s="229" t="s">
        <v>27</v>
      </c>
      <c r="O26" s="201" t="s">
        <v>132</v>
      </c>
      <c r="P26" s="236"/>
      <c r="Q26" s="235">
        <f t="shared" si="6"/>
        <v>13606864.521655099</v>
      </c>
      <c r="R26" s="235">
        <v>12356071.243699018</v>
      </c>
      <c r="S26" s="237">
        <f t="shared" si="4"/>
        <v>12981467.88267706</v>
      </c>
    </row>
    <row r="27" spans="1:19" ht="14.25" customHeight="1" x14ac:dyDescent="0.2">
      <c r="A27" s="229" t="s">
        <v>29</v>
      </c>
      <c r="B27" s="201" t="s">
        <v>133</v>
      </c>
      <c r="C27" s="230">
        <f>Summary!D24</f>
        <v>2893</v>
      </c>
      <c r="D27" s="231">
        <v>2121676</v>
      </c>
      <c r="E27" s="231">
        <v>2459</v>
      </c>
      <c r="F27" s="231">
        <f t="shared" si="5"/>
        <v>7113887</v>
      </c>
      <c r="G27" s="359">
        <f>'Weighted differ concurrent'!L27</f>
        <v>7693.35</v>
      </c>
      <c r="H27" s="232">
        <v>1885448</v>
      </c>
      <c r="I27" s="232">
        <v>646</v>
      </c>
      <c r="J27" s="232">
        <f t="shared" si="0"/>
        <v>4969904.1000000006</v>
      </c>
      <c r="K27" s="233">
        <f t="shared" si="1"/>
        <v>16090915.100000001</v>
      </c>
      <c r="L27" s="234">
        <f>'Revenue Offset'!G26</f>
        <v>0.49192410676014631</v>
      </c>
      <c r="M27" s="235">
        <f t="shared" si="2"/>
        <v>8175406.0624791505</v>
      </c>
      <c r="N27" s="229" t="s">
        <v>29</v>
      </c>
      <c r="O27" s="201" t="s">
        <v>133</v>
      </c>
      <c r="P27" s="236"/>
      <c r="Q27" s="235">
        <f t="shared" si="6"/>
        <v>8175406.0624791505</v>
      </c>
      <c r="R27" s="235">
        <v>8389666.5541228186</v>
      </c>
      <c r="S27" s="237">
        <f t="shared" si="4"/>
        <v>8282536.308300985</v>
      </c>
    </row>
    <row r="28" spans="1:19" x14ac:dyDescent="0.2">
      <c r="A28" s="229" t="s">
        <v>31</v>
      </c>
      <c r="B28" s="201" t="s">
        <v>134</v>
      </c>
      <c r="C28" s="230">
        <f>Summary!D25</f>
        <v>1450</v>
      </c>
      <c r="D28" s="231">
        <v>2121676</v>
      </c>
      <c r="E28" s="231">
        <v>2459</v>
      </c>
      <c r="F28" s="231">
        <f t="shared" si="5"/>
        <v>3565550</v>
      </c>
      <c r="G28" s="359">
        <f>'Weighted differ concurrent'!L28</f>
        <v>3385.85</v>
      </c>
      <c r="H28" s="232">
        <v>1885448</v>
      </c>
      <c r="I28" s="232">
        <v>646</v>
      </c>
      <c r="J28" s="232">
        <f t="shared" si="0"/>
        <v>2187259.1</v>
      </c>
      <c r="K28" s="233">
        <f t="shared" si="1"/>
        <v>9759933.0999999996</v>
      </c>
      <c r="L28" s="234">
        <f>'Revenue Offset'!G27</f>
        <v>0.40235534362779629</v>
      </c>
      <c r="M28" s="235">
        <f t="shared" si="2"/>
        <v>5832971.8637651969</v>
      </c>
      <c r="N28" s="229" t="s">
        <v>31</v>
      </c>
      <c r="O28" s="201" t="s">
        <v>134</v>
      </c>
      <c r="P28" s="236">
        <v>200000</v>
      </c>
      <c r="Q28" s="235">
        <f t="shared" si="6"/>
        <v>6032971.8637651969</v>
      </c>
      <c r="R28" s="235">
        <v>5832935.9964806074</v>
      </c>
      <c r="S28" s="237">
        <f t="shared" si="4"/>
        <v>5932953.9301229026</v>
      </c>
    </row>
    <row r="29" spans="1:19" x14ac:dyDescent="0.2">
      <c r="A29" s="229" t="s">
        <v>33</v>
      </c>
      <c r="B29" s="201" t="s">
        <v>130</v>
      </c>
      <c r="C29" s="230">
        <f>Summary!D26</f>
        <v>815</v>
      </c>
      <c r="D29" s="231">
        <v>2121676</v>
      </c>
      <c r="E29" s="231">
        <v>2459</v>
      </c>
      <c r="F29" s="231">
        <f t="shared" si="5"/>
        <v>2004085</v>
      </c>
      <c r="G29" s="359">
        <f>'Weighted differ concurrent'!L30</f>
        <v>2323.1</v>
      </c>
      <c r="H29" s="232">
        <v>1885448</v>
      </c>
      <c r="I29" s="232">
        <v>646</v>
      </c>
      <c r="J29" s="232">
        <f t="shared" si="0"/>
        <v>1500722.5999999999</v>
      </c>
      <c r="K29" s="233">
        <f t="shared" si="1"/>
        <v>7511931.5999999996</v>
      </c>
      <c r="L29" s="234">
        <f>'Revenue Offset'!G28</f>
        <v>0.38591862092929891</v>
      </c>
      <c r="M29" s="235">
        <f t="shared" si="2"/>
        <v>4612937.3164127786</v>
      </c>
      <c r="N29" s="229" t="s">
        <v>33</v>
      </c>
      <c r="O29" s="201" t="s">
        <v>130</v>
      </c>
      <c r="P29" s="236"/>
      <c r="Q29" s="235">
        <f t="shared" si="6"/>
        <v>4612937.3164127786</v>
      </c>
      <c r="R29" s="235">
        <v>4450886.480729945</v>
      </c>
      <c r="S29" s="237">
        <f t="shared" si="4"/>
        <v>4531911.8985713618</v>
      </c>
    </row>
    <row r="30" spans="1:19" x14ac:dyDescent="0.2">
      <c r="A30" s="229" t="s">
        <v>35</v>
      </c>
      <c r="B30" s="201" t="s">
        <v>36</v>
      </c>
      <c r="C30" s="230">
        <f>Summary!D27</f>
        <v>2140</v>
      </c>
      <c r="D30" s="231">
        <v>2121676</v>
      </c>
      <c r="E30" s="231">
        <v>2459</v>
      </c>
      <c r="F30" s="231">
        <f t="shared" si="5"/>
        <v>5262260</v>
      </c>
      <c r="G30" s="359">
        <f>'Weighted differ concurrent'!L31</f>
        <v>3763.75</v>
      </c>
      <c r="H30" s="232">
        <v>1885448</v>
      </c>
      <c r="I30" s="232">
        <v>646</v>
      </c>
      <c r="J30" s="232">
        <f t="shared" si="0"/>
        <v>2431382.5</v>
      </c>
      <c r="K30" s="233">
        <f t="shared" si="1"/>
        <v>11700766.5</v>
      </c>
      <c r="L30" s="234">
        <f>'Revenue Offset'!G29</f>
        <v>0.43081340701792564</v>
      </c>
      <c r="M30" s="235">
        <f t="shared" si="2"/>
        <v>6659919.4194137901</v>
      </c>
      <c r="N30" s="229" t="s">
        <v>35</v>
      </c>
      <c r="O30" s="201" t="s">
        <v>36</v>
      </c>
      <c r="P30" s="236">
        <v>200000</v>
      </c>
      <c r="Q30" s="235">
        <f t="shared" si="6"/>
        <v>6859919.4194137901</v>
      </c>
      <c r="R30" s="235">
        <v>6425643.6940709641</v>
      </c>
      <c r="S30" s="237">
        <f t="shared" si="4"/>
        <v>6642781.5567423776</v>
      </c>
    </row>
    <row r="31" spans="1:19" x14ac:dyDescent="0.2">
      <c r="A31" s="229" t="s">
        <v>37</v>
      </c>
      <c r="B31" s="201" t="s">
        <v>131</v>
      </c>
      <c r="C31" s="230">
        <f>Summary!D28</f>
        <v>1978</v>
      </c>
      <c r="D31" s="231">
        <v>2121676</v>
      </c>
      <c r="E31" s="231">
        <v>2459</v>
      </c>
      <c r="F31" s="231">
        <f t="shared" si="5"/>
        <v>4863902</v>
      </c>
      <c r="G31" s="359">
        <f>'Weighted differ concurrent'!L32</f>
        <v>4324.7</v>
      </c>
      <c r="H31" s="232">
        <v>1885448</v>
      </c>
      <c r="I31" s="232">
        <v>646</v>
      </c>
      <c r="J31" s="232">
        <f t="shared" si="0"/>
        <v>2793756.1999999997</v>
      </c>
      <c r="K31" s="233">
        <f t="shared" si="1"/>
        <v>11664782.199999999</v>
      </c>
      <c r="L31" s="234">
        <f>'Revenue Offset'!G30</f>
        <v>0.45877280682764138</v>
      </c>
      <c r="M31" s="235">
        <f t="shared" si="2"/>
        <v>6313297.3290728908</v>
      </c>
      <c r="N31" s="229" t="s">
        <v>37</v>
      </c>
      <c r="O31" s="201" t="s">
        <v>131</v>
      </c>
      <c r="P31" s="236">
        <f>200000+(83*500)</f>
        <v>241500</v>
      </c>
      <c r="Q31" s="235">
        <f t="shared" si="6"/>
        <v>6554797.3290728908</v>
      </c>
      <c r="R31" s="235">
        <v>6031717.97381703</v>
      </c>
      <c r="S31" s="237">
        <f t="shared" si="4"/>
        <v>6293257.6514449604</v>
      </c>
    </row>
    <row r="32" spans="1:19" x14ac:dyDescent="0.2">
      <c r="A32" s="229" t="s">
        <v>39</v>
      </c>
      <c r="B32" s="201" t="s">
        <v>135</v>
      </c>
      <c r="C32" s="230">
        <f>Summary!D29</f>
        <v>2981</v>
      </c>
      <c r="D32" s="231">
        <v>2121676</v>
      </c>
      <c r="E32" s="231">
        <v>2459</v>
      </c>
      <c r="F32" s="231">
        <f t="shared" si="5"/>
        <v>7330279</v>
      </c>
      <c r="G32" s="359">
        <f>'Weighted differ concurrent'!L33</f>
        <v>6478.55</v>
      </c>
      <c r="H32" s="232">
        <v>1885448</v>
      </c>
      <c r="I32" s="232">
        <v>646</v>
      </c>
      <c r="J32" s="232">
        <f t="shared" si="0"/>
        <v>4185143.3000000003</v>
      </c>
      <c r="K32" s="233">
        <f t="shared" si="1"/>
        <v>15522546.300000001</v>
      </c>
      <c r="L32" s="234">
        <f>'Revenue Offset'!G31</f>
        <v>0.50183645346221983</v>
      </c>
      <c r="M32" s="235">
        <f t="shared" si="2"/>
        <v>7732766.7161048977</v>
      </c>
      <c r="N32" s="229" t="s">
        <v>39</v>
      </c>
      <c r="O32" s="201" t="s">
        <v>135</v>
      </c>
      <c r="P32" s="236"/>
      <c r="Q32" s="235">
        <f t="shared" si="6"/>
        <v>7732766.7161048977</v>
      </c>
      <c r="R32" s="235">
        <v>7323617.5925774127</v>
      </c>
      <c r="S32" s="237">
        <f t="shared" si="4"/>
        <v>7528192.1543411557</v>
      </c>
    </row>
    <row r="33" spans="1:19" x14ac:dyDescent="0.2">
      <c r="A33" s="229" t="s">
        <v>46</v>
      </c>
      <c r="B33" s="201" t="s">
        <v>70</v>
      </c>
      <c r="C33" s="230">
        <f>Summary!D30</f>
        <v>3447</v>
      </c>
      <c r="D33" s="231">
        <v>2121676</v>
      </c>
      <c r="E33" s="231">
        <v>2459</v>
      </c>
      <c r="F33" s="231">
        <f t="shared" si="5"/>
        <v>8476173</v>
      </c>
      <c r="G33" s="359">
        <f>'Weighted differ concurrent'!L35</f>
        <v>8526.4</v>
      </c>
      <c r="H33" s="232">
        <v>1885448</v>
      </c>
      <c r="I33" s="232">
        <v>646</v>
      </c>
      <c r="J33" s="232">
        <f t="shared" si="0"/>
        <v>5508054.3999999994</v>
      </c>
      <c r="K33" s="233">
        <f t="shared" si="1"/>
        <v>17991351.399999999</v>
      </c>
      <c r="L33" s="234">
        <f>'Revenue Offset'!G32</f>
        <v>0.46708850488255266</v>
      </c>
      <c r="M33" s="235">
        <f t="shared" si="2"/>
        <v>9587797.9737573788</v>
      </c>
      <c r="N33" s="229" t="s">
        <v>46</v>
      </c>
      <c r="O33" s="201" t="s">
        <v>70</v>
      </c>
      <c r="P33" s="236"/>
      <c r="Q33" s="235">
        <f t="shared" si="6"/>
        <v>9587797.9737573788</v>
      </c>
      <c r="R33" s="235">
        <v>8887170.9756049067</v>
      </c>
      <c r="S33" s="237">
        <f t="shared" si="4"/>
        <v>9237484.4746811427</v>
      </c>
    </row>
    <row r="34" spans="1:19" x14ac:dyDescent="0.2">
      <c r="A34" s="229" t="s">
        <v>41</v>
      </c>
      <c r="B34" s="201" t="s">
        <v>117</v>
      </c>
      <c r="C34" s="230">
        <f>Summary!D31</f>
        <v>1835</v>
      </c>
      <c r="D34" s="231">
        <v>2121676</v>
      </c>
      <c r="E34" s="231">
        <v>2459</v>
      </c>
      <c r="F34" s="231">
        <f t="shared" si="5"/>
        <v>4512265</v>
      </c>
      <c r="G34" s="359">
        <f>'Weighted differ concurrent'!L36</f>
        <v>4470.2</v>
      </c>
      <c r="H34" s="232">
        <v>1885448</v>
      </c>
      <c r="I34" s="232">
        <v>646</v>
      </c>
      <c r="J34" s="232">
        <f t="shared" si="0"/>
        <v>2887749.1999999997</v>
      </c>
      <c r="K34" s="233">
        <f t="shared" si="1"/>
        <v>11407138.199999999</v>
      </c>
      <c r="L34" s="234">
        <f>'Revenue Offset'!G33</f>
        <v>0.40545200858866942</v>
      </c>
      <c r="M34" s="235">
        <f t="shared" si="2"/>
        <v>6782091.1045614602</v>
      </c>
      <c r="N34" s="229" t="s">
        <v>41</v>
      </c>
      <c r="O34" s="201" t="s">
        <v>117</v>
      </c>
      <c r="P34" s="236">
        <f>285*500</f>
        <v>142500</v>
      </c>
      <c r="Q34" s="235">
        <f t="shared" si="6"/>
        <v>6924591.1045614602</v>
      </c>
      <c r="R34" s="235">
        <v>6374000.0208474547</v>
      </c>
      <c r="S34" s="237">
        <f t="shared" si="4"/>
        <v>6649295.562704457</v>
      </c>
    </row>
    <row r="35" spans="1:19" x14ac:dyDescent="0.2">
      <c r="A35" s="229" t="s">
        <v>42</v>
      </c>
      <c r="B35" s="201" t="s">
        <v>69</v>
      </c>
      <c r="C35" s="230">
        <f>Summary!D32</f>
        <v>3240</v>
      </c>
      <c r="D35" s="231">
        <v>7144263</v>
      </c>
      <c r="E35" s="231">
        <v>2133</v>
      </c>
      <c r="F35" s="231">
        <f t="shared" si="5"/>
        <v>6910920</v>
      </c>
      <c r="G35" s="359">
        <f>'Weighted differ concurrent'!L45</f>
        <v>7352.45</v>
      </c>
      <c r="H35" s="232">
        <v>2613000</v>
      </c>
      <c r="I35" s="232">
        <v>1451</v>
      </c>
      <c r="J35" s="232">
        <f t="shared" si="0"/>
        <v>10668404.949999999</v>
      </c>
      <c r="K35" s="233">
        <f t="shared" si="1"/>
        <v>27336587.949999999</v>
      </c>
      <c r="L35" s="234">
        <f>'Revenue Offset'!G34</f>
        <v>0.51753777556905833</v>
      </c>
      <c r="M35" s="235">
        <f t="shared" si="2"/>
        <v>13188871.030709075</v>
      </c>
      <c r="N35" s="229" t="s">
        <v>42</v>
      </c>
      <c r="O35" s="201" t="s">
        <v>69</v>
      </c>
      <c r="P35" s="236"/>
      <c r="Q35" s="235">
        <f t="shared" si="6"/>
        <v>13188871.030709075</v>
      </c>
      <c r="R35" s="235">
        <v>11839957.768036332</v>
      </c>
      <c r="S35" s="237">
        <f t="shared" si="4"/>
        <v>12514414.399372704</v>
      </c>
    </row>
    <row r="36" spans="1:19" x14ac:dyDescent="0.2">
      <c r="A36" s="229" t="s">
        <v>43</v>
      </c>
      <c r="B36" s="201" t="s">
        <v>44</v>
      </c>
      <c r="C36" s="230">
        <f>Summary!D33</f>
        <v>7228</v>
      </c>
      <c r="D36" s="231">
        <v>7144263</v>
      </c>
      <c r="E36" s="231">
        <v>2133</v>
      </c>
      <c r="F36" s="231">
        <f>+C36*E36</f>
        <v>15417324</v>
      </c>
      <c r="G36" s="359">
        <f>'Weighted differ concurrent'!L44</f>
        <v>12494.1</v>
      </c>
      <c r="H36" s="232">
        <v>2613000</v>
      </c>
      <c r="I36" s="232">
        <v>1451</v>
      </c>
      <c r="J36" s="232">
        <f t="shared" si="0"/>
        <v>18128939.100000001</v>
      </c>
      <c r="K36" s="233">
        <f t="shared" si="1"/>
        <v>43303526.100000001</v>
      </c>
      <c r="L36" s="234">
        <f>'Revenue Offset'!G35</f>
        <v>0.5508920857625127</v>
      </c>
      <c r="M36" s="235">
        <f t="shared" si="2"/>
        <v>19447956.285899594</v>
      </c>
      <c r="N36" s="229" t="s">
        <v>43</v>
      </c>
      <c r="O36" s="201" t="s">
        <v>44</v>
      </c>
      <c r="P36" s="236"/>
      <c r="Q36" s="235">
        <f>+M36+P36</f>
        <v>19447956.285899594</v>
      </c>
      <c r="R36" s="235">
        <v>17875236.515923649</v>
      </c>
      <c r="S36" s="237">
        <f t="shared" si="4"/>
        <v>18661596.400911622</v>
      </c>
    </row>
    <row r="37" spans="1:19" x14ac:dyDescent="0.2">
      <c r="A37" s="229" t="s">
        <v>45</v>
      </c>
      <c r="B37" s="201" t="s">
        <v>136</v>
      </c>
      <c r="C37" s="230">
        <f>Summary!D34</f>
        <v>2464</v>
      </c>
      <c r="D37" s="231">
        <v>2121676</v>
      </c>
      <c r="E37" s="231">
        <v>2459</v>
      </c>
      <c r="F37" s="231">
        <f t="shared" si="5"/>
        <v>6058976</v>
      </c>
      <c r="G37" s="359">
        <f>'Weighted differ concurrent'!L34</f>
        <v>5242.3500000000004</v>
      </c>
      <c r="H37" s="232">
        <v>1885448</v>
      </c>
      <c r="I37" s="232">
        <v>646</v>
      </c>
      <c r="J37" s="232">
        <f t="shared" si="0"/>
        <v>3386558.1</v>
      </c>
      <c r="K37" s="233">
        <f t="shared" si="1"/>
        <v>13452658.1</v>
      </c>
      <c r="L37" s="234">
        <f>'Revenue Offset'!G36</f>
        <v>0.46067411255480761</v>
      </c>
      <c r="M37" s="235">
        <f t="shared" si="2"/>
        <v>7255366.7682792554</v>
      </c>
      <c r="N37" s="229" t="s">
        <v>45</v>
      </c>
      <c r="O37" s="201" t="s">
        <v>136</v>
      </c>
      <c r="P37" s="236"/>
      <c r="Q37" s="235">
        <f t="shared" si="6"/>
        <v>7255366.7682792554</v>
      </c>
      <c r="R37" s="235">
        <v>6591543.2674771445</v>
      </c>
      <c r="S37" s="237">
        <f t="shared" si="4"/>
        <v>6923455.0178781999</v>
      </c>
    </row>
    <row r="38" spans="1:19" x14ac:dyDescent="0.2">
      <c r="A38" s="229" t="s">
        <v>47</v>
      </c>
      <c r="B38" s="201" t="s">
        <v>48</v>
      </c>
      <c r="C38" s="230">
        <f>Summary!D35</f>
        <v>5678</v>
      </c>
      <c r="D38" s="231">
        <v>7144263</v>
      </c>
      <c r="E38" s="231">
        <v>2133</v>
      </c>
      <c r="F38" s="231">
        <f t="shared" si="5"/>
        <v>12111174</v>
      </c>
      <c r="G38" s="359">
        <f>'Weighted differ concurrent'!L46</f>
        <v>7362.7</v>
      </c>
      <c r="H38" s="232">
        <v>2613000</v>
      </c>
      <c r="I38" s="232">
        <v>1451</v>
      </c>
      <c r="J38" s="232">
        <f t="shared" si="0"/>
        <v>10683277.699999999</v>
      </c>
      <c r="K38" s="233">
        <f t="shared" si="1"/>
        <v>32551714.699999999</v>
      </c>
      <c r="L38" s="234">
        <f>'Revenue Offset'!G37</f>
        <v>0.59287550685049228</v>
      </c>
      <c r="M38" s="235">
        <f t="shared" si="2"/>
        <v>13252600.34838488</v>
      </c>
      <c r="N38" s="229" t="s">
        <v>47</v>
      </c>
      <c r="O38" s="201" t="s">
        <v>48</v>
      </c>
      <c r="P38" s="236">
        <v>200000</v>
      </c>
      <c r="Q38" s="235">
        <f t="shared" si="6"/>
        <v>13452600.34838488</v>
      </c>
      <c r="R38" s="235">
        <v>12636068.041938502</v>
      </c>
      <c r="S38" s="237">
        <f t="shared" si="4"/>
        <v>13044334.195161691</v>
      </c>
    </row>
    <row r="39" spans="1:19" x14ac:dyDescent="0.2">
      <c r="B39" s="103"/>
      <c r="K39" s="5"/>
      <c r="L39" s="102"/>
      <c r="M39" s="5"/>
      <c r="O39" s="103"/>
      <c r="P39" s="5"/>
      <c r="Q39" s="165"/>
      <c r="R39" s="165"/>
    </row>
    <row r="40" spans="1:19" x14ac:dyDescent="0.2">
      <c r="B40" t="s">
        <v>49</v>
      </c>
      <c r="C40" s="11">
        <f>SUM(C9:C39)</f>
        <v>105497</v>
      </c>
      <c r="D40" s="11">
        <f>SUM(D9:D39)</f>
        <v>98808389</v>
      </c>
      <c r="F40" s="11">
        <f>SUM(F9:F39)</f>
        <v>245723819</v>
      </c>
      <c r="G40" s="11">
        <f>SUM(G9:G39)</f>
        <v>213509.50000000006</v>
      </c>
      <c r="H40" s="11">
        <f>SUM(H9:H39)</f>
        <v>61656304</v>
      </c>
      <c r="J40" s="11">
        <f>SUM(J9:J39)</f>
        <v>192741317.74999997</v>
      </c>
      <c r="K40" s="11">
        <f>SUM(K9:K39)</f>
        <v>598929829.75</v>
      </c>
      <c r="L40" s="82">
        <f>'Revenue Offset'!G39</f>
        <v>0.518126889099226</v>
      </c>
      <c r="M40" s="11">
        <f t="shared" ref="M40:S40" si="7">SUM(M9:M39)</f>
        <v>292896311.9721697</v>
      </c>
      <c r="O40" t="s">
        <v>49</v>
      </c>
      <c r="P40" s="11">
        <f t="shared" si="7"/>
        <v>4057500</v>
      </c>
      <c r="Q40" s="11">
        <f t="shared" si="7"/>
        <v>296953811.9721697</v>
      </c>
      <c r="R40" s="11">
        <f t="shared" si="7"/>
        <v>278063149.00910878</v>
      </c>
      <c r="S40" s="11">
        <f t="shared" si="7"/>
        <v>287508480.49063927</v>
      </c>
    </row>
    <row r="41" spans="1:19" x14ac:dyDescent="0.2">
      <c r="B41" s="103"/>
      <c r="L41" s="131"/>
      <c r="O41" s="103"/>
      <c r="Q41" s="131"/>
      <c r="R41" s="131"/>
    </row>
    <row r="42" spans="1:19" x14ac:dyDescent="0.2">
      <c r="A42" s="15" t="s">
        <v>306</v>
      </c>
      <c r="B42" s="132"/>
      <c r="M42" s="133"/>
      <c r="N42" s="15"/>
      <c r="O42" s="132"/>
    </row>
    <row r="43" spans="1:19" x14ac:dyDescent="0.2">
      <c r="A43" s="15"/>
      <c r="B43" s="132"/>
      <c r="N43" s="15"/>
      <c r="O43" s="132"/>
    </row>
    <row r="44" spans="1:19" x14ac:dyDescent="0.2">
      <c r="A44" s="15"/>
      <c r="B44" s="132"/>
      <c r="N44" s="15"/>
      <c r="O44" s="132"/>
    </row>
    <row r="45" spans="1:19" x14ac:dyDescent="0.2">
      <c r="J45" s="158"/>
    </row>
    <row r="46" spans="1:19" x14ac:dyDescent="0.2">
      <c r="E46" s="158"/>
      <c r="I46" s="158"/>
      <c r="L46" s="238"/>
      <c r="M46" s="160"/>
      <c r="P46" s="159"/>
    </row>
    <row r="47" spans="1:19" x14ac:dyDescent="0.2">
      <c r="E47" s="158"/>
      <c r="I47" s="158"/>
      <c r="L47" s="238"/>
      <c r="M47" s="160"/>
      <c r="P47" s="159"/>
    </row>
  </sheetData>
  <pageMargins left="0.7" right="0.7" top="0.75" bottom="0.75" header="0.3" footer="0.3"/>
  <pageSetup scale="84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T52"/>
  <sheetViews>
    <sheetView topLeftCell="A16" zoomScaleNormal="100" workbookViewId="0">
      <selection activeCell="A52" sqref="A52"/>
    </sheetView>
  </sheetViews>
  <sheetFormatPr defaultColWidth="9.140625" defaultRowHeight="12.75" x14ac:dyDescent="0.2"/>
  <cols>
    <col min="1" max="1" width="46.28515625" style="247" bestFit="1" customWidth="1"/>
    <col min="2" max="2" width="10" style="247" customWidth="1"/>
    <col min="3" max="3" width="11.85546875" style="247" customWidth="1"/>
    <col min="4" max="4" width="11.28515625" style="247" customWidth="1"/>
    <col min="5" max="6" width="10" style="247" customWidth="1"/>
    <col min="7" max="7" width="11.85546875" style="247" customWidth="1"/>
    <col min="8" max="8" width="11.28515625" style="247" customWidth="1"/>
    <col min="9" max="9" width="8" style="247" customWidth="1"/>
    <col min="10" max="10" width="17.28515625" style="247" customWidth="1"/>
    <col min="11" max="11" width="11.5703125" style="247" customWidth="1"/>
    <col min="12" max="12" width="11.28515625" style="247" customWidth="1"/>
    <col min="13" max="13" width="11.5703125" style="247" customWidth="1"/>
    <col min="14" max="14" width="1.5703125" style="247" customWidth="1"/>
    <col min="15" max="15" width="11.42578125" style="247" customWidth="1"/>
    <col min="16" max="16384" width="9.140625" style="247"/>
  </cols>
  <sheetData>
    <row r="1" spans="1:16" x14ac:dyDescent="0.2">
      <c r="A1" s="432" t="s">
        <v>251</v>
      </c>
      <c r="B1" s="432"/>
      <c r="C1" s="432"/>
      <c r="D1" s="432"/>
      <c r="E1" s="432"/>
      <c r="F1" s="432"/>
      <c r="G1" s="432"/>
      <c r="H1" s="432"/>
      <c r="I1" s="432"/>
      <c r="J1" s="246"/>
      <c r="K1" s="349" t="s">
        <v>280</v>
      </c>
      <c r="L1" s="246" t="s">
        <v>205</v>
      </c>
      <c r="M1" s="246" t="s">
        <v>212</v>
      </c>
    </row>
    <row r="2" spans="1:16" x14ac:dyDescent="0.2">
      <c r="A2" s="245" t="s">
        <v>228</v>
      </c>
      <c r="B2" s="245"/>
      <c r="C2" s="245"/>
      <c r="D2" s="245"/>
      <c r="E2" s="245"/>
      <c r="F2" s="245"/>
      <c r="G2" s="245"/>
      <c r="H2" s="245"/>
      <c r="I2" s="245"/>
      <c r="J2" s="247" t="s">
        <v>229</v>
      </c>
      <c r="L2" s="248">
        <v>0.1</v>
      </c>
      <c r="M2" s="248">
        <v>0.1</v>
      </c>
    </row>
    <row r="3" spans="1:16" x14ac:dyDescent="0.2">
      <c r="A3" s="433" t="s">
        <v>303</v>
      </c>
      <c r="B3" s="433"/>
      <c r="C3" s="433"/>
      <c r="D3" s="433"/>
      <c r="E3" s="433"/>
      <c r="F3" s="433"/>
      <c r="G3" s="433"/>
      <c r="H3" s="433"/>
      <c r="I3" s="433"/>
      <c r="J3" s="247" t="s">
        <v>230</v>
      </c>
      <c r="L3" s="248">
        <v>0.75</v>
      </c>
      <c r="M3" s="248">
        <v>0.75</v>
      </c>
    </row>
    <row r="4" spans="1:16" ht="15.6" customHeight="1" thickBot="1" x14ac:dyDescent="0.25">
      <c r="B4" s="249" t="s">
        <v>79</v>
      </c>
      <c r="C4" s="249" t="s">
        <v>74</v>
      </c>
      <c r="D4" s="249" t="s">
        <v>75</v>
      </c>
      <c r="E4" s="249" t="s">
        <v>76</v>
      </c>
      <c r="F4" s="249" t="s">
        <v>77</v>
      </c>
      <c r="G4" s="249" t="s">
        <v>78</v>
      </c>
      <c r="H4" s="249" t="s">
        <v>231</v>
      </c>
      <c r="I4" s="250"/>
      <c r="J4" s="249" t="s">
        <v>232</v>
      </c>
      <c r="K4" s="249" t="s">
        <v>111</v>
      </c>
      <c r="L4" s="249" t="s">
        <v>233</v>
      </c>
      <c r="M4" s="249" t="s">
        <v>234</v>
      </c>
    </row>
    <row r="5" spans="1:16" s="260" customFormat="1" ht="77.25" thickBot="1" x14ac:dyDescent="0.25">
      <c r="A5" s="251" t="s">
        <v>205</v>
      </c>
      <c r="B5" s="252" t="s">
        <v>235</v>
      </c>
      <c r="C5" s="253" t="s">
        <v>236</v>
      </c>
      <c r="D5" s="254" t="s">
        <v>237</v>
      </c>
      <c r="E5" s="254" t="s">
        <v>238</v>
      </c>
      <c r="F5" s="254" t="s">
        <v>239</v>
      </c>
      <c r="G5" s="255" t="s">
        <v>240</v>
      </c>
      <c r="H5" s="254" t="s">
        <v>241</v>
      </c>
      <c r="I5" s="256" t="s">
        <v>242</v>
      </c>
      <c r="J5" s="257" t="s">
        <v>243</v>
      </c>
      <c r="K5" s="258" t="s">
        <v>244</v>
      </c>
      <c r="L5" s="257" t="s">
        <v>245</v>
      </c>
      <c r="M5" s="259" t="s">
        <v>246</v>
      </c>
    </row>
    <row r="6" spans="1:16" s="271" customFormat="1" ht="12.75" customHeight="1" x14ac:dyDescent="0.2">
      <c r="A6" s="261" t="s">
        <v>187</v>
      </c>
      <c r="B6" s="262">
        <v>3857</v>
      </c>
      <c r="C6" s="263">
        <v>487</v>
      </c>
      <c r="D6" s="264">
        <v>442</v>
      </c>
      <c r="E6" s="264">
        <v>592</v>
      </c>
      <c r="F6" s="296">
        <v>376</v>
      </c>
      <c r="G6" s="420">
        <v>62</v>
      </c>
      <c r="H6" s="265">
        <f>SUM(D6:F6)-G6</f>
        <v>1348</v>
      </c>
      <c r="I6" s="266">
        <f t="shared" ref="I6:I16" si="0">H6/H$48</f>
        <v>9.1828740760925096E-3</v>
      </c>
      <c r="J6" s="267">
        <f t="shared" ref="J6:J36" si="1">H6*$L$2</f>
        <v>134.80000000000001</v>
      </c>
      <c r="K6" s="268">
        <f>C6*L3</f>
        <v>365.25</v>
      </c>
      <c r="L6" s="269">
        <f t="shared" ref="L6:L36" si="2">(B6-C6)+J6+K6</f>
        <v>3870.05</v>
      </c>
      <c r="M6" s="270">
        <f t="shared" ref="M6:M36" si="3">(L6+-B6)/B6</f>
        <v>3.3834586466165886E-3</v>
      </c>
    </row>
    <row r="7" spans="1:16" s="271" customFormat="1" x14ac:dyDescent="0.2">
      <c r="A7" s="272" t="s">
        <v>188</v>
      </c>
      <c r="B7" s="262">
        <v>10432</v>
      </c>
      <c r="C7" s="263">
        <v>2575</v>
      </c>
      <c r="D7" s="264">
        <v>1661</v>
      </c>
      <c r="E7" s="264">
        <v>2287</v>
      </c>
      <c r="F7" s="273">
        <v>3185</v>
      </c>
      <c r="G7" s="421">
        <v>820</v>
      </c>
      <c r="H7" s="275">
        <f>SUM(D7:F7)-G7</f>
        <v>6313</v>
      </c>
      <c r="I7" s="270">
        <f t="shared" si="0"/>
        <v>4.3005551960216631E-2</v>
      </c>
      <c r="J7" s="276">
        <f t="shared" si="1"/>
        <v>631.30000000000007</v>
      </c>
      <c r="K7" s="277">
        <f t="shared" ref="K7:K36" si="4">C7*$L$3</f>
        <v>1931.25</v>
      </c>
      <c r="L7" s="278">
        <f t="shared" si="2"/>
        <v>10419.549999999999</v>
      </c>
      <c r="M7" s="270">
        <f t="shared" si="3"/>
        <v>-1.193443251533812E-3</v>
      </c>
      <c r="P7" s="290"/>
    </row>
    <row r="8" spans="1:16" s="271" customFormat="1" x14ac:dyDescent="0.2">
      <c r="A8" s="272" t="s">
        <v>189</v>
      </c>
      <c r="B8" s="262">
        <v>2197</v>
      </c>
      <c r="C8" s="263">
        <v>50</v>
      </c>
      <c r="D8" s="264">
        <v>452</v>
      </c>
      <c r="E8" s="264">
        <v>757</v>
      </c>
      <c r="F8" s="273">
        <v>722</v>
      </c>
      <c r="G8" s="421">
        <v>25</v>
      </c>
      <c r="H8" s="275">
        <f t="shared" ref="H8:H35" si="5">SUM(D8:F8)-G8</f>
        <v>1906</v>
      </c>
      <c r="I8" s="270">
        <f t="shared" si="0"/>
        <v>1.2984093463673831E-2</v>
      </c>
      <c r="J8" s="276">
        <f t="shared" si="1"/>
        <v>190.60000000000002</v>
      </c>
      <c r="K8" s="277">
        <f t="shared" si="4"/>
        <v>37.5</v>
      </c>
      <c r="L8" s="278">
        <f t="shared" si="2"/>
        <v>2375.1</v>
      </c>
      <c r="M8" s="270">
        <f t="shared" si="3"/>
        <v>8.1065088757396403E-2</v>
      </c>
    </row>
    <row r="9" spans="1:16" s="271" customFormat="1" x14ac:dyDescent="0.2">
      <c r="A9" s="272" t="s">
        <v>7</v>
      </c>
      <c r="B9" s="262">
        <v>5827</v>
      </c>
      <c r="C9" s="263">
        <v>2961</v>
      </c>
      <c r="D9" s="264">
        <v>732</v>
      </c>
      <c r="E9" s="264">
        <v>954</v>
      </c>
      <c r="F9" s="273">
        <v>635</v>
      </c>
      <c r="G9" s="421">
        <v>440</v>
      </c>
      <c r="H9" s="275">
        <f t="shared" si="5"/>
        <v>1881</v>
      </c>
      <c r="I9" s="270">
        <f t="shared" si="0"/>
        <v>1.2813787935556388E-2</v>
      </c>
      <c r="J9" s="276">
        <f t="shared" si="1"/>
        <v>188.10000000000002</v>
      </c>
      <c r="K9" s="277">
        <f t="shared" si="4"/>
        <v>2220.75</v>
      </c>
      <c r="L9" s="278">
        <f t="shared" si="2"/>
        <v>5274.85</v>
      </c>
      <c r="M9" s="270">
        <f t="shared" si="3"/>
        <v>-9.475716492191516E-2</v>
      </c>
    </row>
    <row r="10" spans="1:16" s="271" customFormat="1" x14ac:dyDescent="0.2">
      <c r="A10" s="272" t="s">
        <v>9</v>
      </c>
      <c r="B10" s="262">
        <v>11030</v>
      </c>
      <c r="C10" s="263">
        <v>584</v>
      </c>
      <c r="D10" s="264">
        <v>2541</v>
      </c>
      <c r="E10" s="264">
        <v>3672</v>
      </c>
      <c r="F10" s="273">
        <v>4969</v>
      </c>
      <c r="G10" s="421">
        <v>279</v>
      </c>
      <c r="H10" s="275">
        <f t="shared" si="5"/>
        <v>10903</v>
      </c>
      <c r="I10" s="270">
        <f t="shared" si="0"/>
        <v>7.4273646922579109E-2</v>
      </c>
      <c r="J10" s="276">
        <f t="shared" si="1"/>
        <v>1090.3</v>
      </c>
      <c r="K10" s="277">
        <f t="shared" si="4"/>
        <v>438</v>
      </c>
      <c r="L10" s="278">
        <f t="shared" si="2"/>
        <v>11974.3</v>
      </c>
      <c r="M10" s="270">
        <f t="shared" si="3"/>
        <v>8.5611967361740635E-2</v>
      </c>
      <c r="P10" s="290"/>
    </row>
    <row r="11" spans="1:16" s="271" customFormat="1" x14ac:dyDescent="0.2">
      <c r="A11" s="272" t="s">
        <v>190</v>
      </c>
      <c r="B11" s="262">
        <v>3660</v>
      </c>
      <c r="C11" s="263">
        <v>171</v>
      </c>
      <c r="D11" s="264">
        <v>702</v>
      </c>
      <c r="E11" s="264">
        <v>1000</v>
      </c>
      <c r="F11" s="273">
        <v>1162</v>
      </c>
      <c r="G11" s="421">
        <v>82</v>
      </c>
      <c r="H11" s="275">
        <f t="shared" si="5"/>
        <v>2782</v>
      </c>
      <c r="I11" s="270">
        <f t="shared" si="0"/>
        <v>1.8951599168909022E-2</v>
      </c>
      <c r="J11" s="276">
        <f t="shared" si="1"/>
        <v>278.2</v>
      </c>
      <c r="K11" s="277">
        <f t="shared" si="4"/>
        <v>128.25</v>
      </c>
      <c r="L11" s="278">
        <f t="shared" si="2"/>
        <v>3895.45</v>
      </c>
      <c r="M11" s="270">
        <f t="shared" si="3"/>
        <v>6.4330601092896122E-2</v>
      </c>
    </row>
    <row r="12" spans="1:16" s="271" customFormat="1" x14ac:dyDescent="0.2">
      <c r="A12" s="272" t="s">
        <v>219</v>
      </c>
      <c r="B12" s="262">
        <v>2029</v>
      </c>
      <c r="C12" s="263">
        <v>1214</v>
      </c>
      <c r="D12" s="264">
        <v>288</v>
      </c>
      <c r="E12" s="264">
        <v>449</v>
      </c>
      <c r="F12" s="273">
        <v>480</v>
      </c>
      <c r="G12" s="421">
        <v>198</v>
      </c>
      <c r="H12" s="275">
        <f t="shared" si="5"/>
        <v>1019</v>
      </c>
      <c r="I12" s="270">
        <f t="shared" si="0"/>
        <v>6.9416533260669641E-3</v>
      </c>
      <c r="J12" s="276">
        <f t="shared" si="1"/>
        <v>101.9</v>
      </c>
      <c r="K12" s="277">
        <f t="shared" si="4"/>
        <v>910.5</v>
      </c>
      <c r="L12" s="278">
        <f t="shared" si="2"/>
        <v>1827.4</v>
      </c>
      <c r="M12" s="270">
        <f t="shared" si="3"/>
        <v>-9.9359290290783595E-2</v>
      </c>
    </row>
    <row r="13" spans="1:16" s="271" customFormat="1" x14ac:dyDescent="0.2">
      <c r="A13" s="272" t="s">
        <v>139</v>
      </c>
      <c r="B13" s="262">
        <v>5994</v>
      </c>
      <c r="C13" s="263">
        <v>622</v>
      </c>
      <c r="D13" s="264">
        <v>1555</v>
      </c>
      <c r="E13" s="264">
        <v>1646</v>
      </c>
      <c r="F13" s="273">
        <v>2834</v>
      </c>
      <c r="G13" s="421">
        <v>114</v>
      </c>
      <c r="H13" s="275">
        <f t="shared" si="5"/>
        <v>5921</v>
      </c>
      <c r="I13" s="270">
        <f t="shared" si="0"/>
        <v>4.0335161279335126E-2</v>
      </c>
      <c r="J13" s="276">
        <f t="shared" si="1"/>
        <v>592.1</v>
      </c>
      <c r="K13" s="277">
        <f t="shared" si="4"/>
        <v>466.5</v>
      </c>
      <c r="L13" s="278">
        <f t="shared" si="2"/>
        <v>6430.6</v>
      </c>
      <c r="M13" s="270">
        <f t="shared" si="3"/>
        <v>7.283950617283956E-2</v>
      </c>
    </row>
    <row r="14" spans="1:16" s="271" customFormat="1" x14ac:dyDescent="0.2">
      <c r="A14" s="272" t="s">
        <v>191</v>
      </c>
      <c r="B14" s="262">
        <v>4990</v>
      </c>
      <c r="C14" s="263">
        <v>603</v>
      </c>
      <c r="D14" s="264">
        <v>954</v>
      </c>
      <c r="E14" s="264">
        <v>1217</v>
      </c>
      <c r="F14" s="273">
        <v>2041</v>
      </c>
      <c r="G14" s="421">
        <v>312</v>
      </c>
      <c r="H14" s="275">
        <f t="shared" si="5"/>
        <v>3900</v>
      </c>
      <c r="I14" s="270">
        <f t="shared" si="0"/>
        <v>2.6567662386321061E-2</v>
      </c>
      <c r="J14" s="276">
        <f t="shared" si="1"/>
        <v>390</v>
      </c>
      <c r="K14" s="277">
        <f t="shared" si="4"/>
        <v>452.25</v>
      </c>
      <c r="L14" s="278">
        <f t="shared" si="2"/>
        <v>5229.25</v>
      </c>
      <c r="M14" s="270">
        <f t="shared" si="3"/>
        <v>4.7945891783567132E-2</v>
      </c>
    </row>
    <row r="15" spans="1:16" s="271" customFormat="1" x14ac:dyDescent="0.2">
      <c r="A15" s="272" t="s">
        <v>17</v>
      </c>
      <c r="B15" s="262">
        <v>5361</v>
      </c>
      <c r="C15" s="263">
        <v>909</v>
      </c>
      <c r="D15" s="264">
        <v>641</v>
      </c>
      <c r="E15" s="264">
        <v>1067</v>
      </c>
      <c r="F15" s="273">
        <v>720</v>
      </c>
      <c r="G15" s="421">
        <v>137</v>
      </c>
      <c r="H15" s="275">
        <f t="shared" si="5"/>
        <v>2291</v>
      </c>
      <c r="I15" s="270">
        <f t="shared" si="0"/>
        <v>1.5606798596682448E-2</v>
      </c>
      <c r="J15" s="276">
        <f t="shared" si="1"/>
        <v>229.10000000000002</v>
      </c>
      <c r="K15" s="277">
        <f t="shared" si="4"/>
        <v>681.75</v>
      </c>
      <c r="L15" s="278">
        <f t="shared" si="2"/>
        <v>5362.85</v>
      </c>
      <c r="M15" s="270">
        <f t="shared" si="3"/>
        <v>3.4508487222539895E-4</v>
      </c>
    </row>
    <row r="16" spans="1:16" s="271" customFormat="1" x14ac:dyDescent="0.2">
      <c r="A16" s="272" t="s">
        <v>192</v>
      </c>
      <c r="B16" s="262">
        <v>9203</v>
      </c>
      <c r="C16" s="263">
        <v>711</v>
      </c>
      <c r="D16" s="264">
        <v>2859</v>
      </c>
      <c r="E16" s="264">
        <v>3740</v>
      </c>
      <c r="F16" s="273">
        <v>5487</v>
      </c>
      <c r="G16" s="421">
        <v>584</v>
      </c>
      <c r="H16" s="275">
        <f t="shared" si="5"/>
        <v>11502</v>
      </c>
      <c r="I16" s="270">
        <f t="shared" si="0"/>
        <v>7.8354167376273029E-2</v>
      </c>
      <c r="J16" s="276">
        <f t="shared" si="1"/>
        <v>1150.2</v>
      </c>
      <c r="K16" s="277">
        <f t="shared" si="4"/>
        <v>533.25</v>
      </c>
      <c r="L16" s="278">
        <f t="shared" si="2"/>
        <v>10175.450000000001</v>
      </c>
      <c r="M16" s="270">
        <f t="shared" si="3"/>
        <v>0.10566663044659358</v>
      </c>
    </row>
    <row r="17" spans="1:15" s="271" customFormat="1" x14ac:dyDescent="0.2">
      <c r="A17" s="424" t="s">
        <v>321</v>
      </c>
      <c r="B17" s="425">
        <v>3729</v>
      </c>
      <c r="C17" s="426">
        <v>641</v>
      </c>
      <c r="D17" s="427">
        <v>561</v>
      </c>
      <c r="E17" s="427">
        <v>1143</v>
      </c>
      <c r="F17" s="427">
        <v>759</v>
      </c>
      <c r="G17" s="428">
        <v>163</v>
      </c>
      <c r="H17" s="275">
        <f t="shared" ref="H17:H22" si="6">SUM(D17:F17)-G17</f>
        <v>2300</v>
      </c>
      <c r="I17" s="429">
        <f t="shared" ref="I17" si="7">SUM(I18:I22)</f>
        <v>0</v>
      </c>
      <c r="J17" s="276">
        <f t="shared" ref="J17:J22" si="8">H17*$L$2</f>
        <v>230</v>
      </c>
      <c r="K17" s="277">
        <f t="shared" ref="K17:K22" si="9">C17*$L$3</f>
        <v>480.75</v>
      </c>
      <c r="L17" s="278">
        <f t="shared" ref="L17:L22" si="10">(B17-C17)+J17+K17</f>
        <v>3798.75</v>
      </c>
      <c r="M17" s="270">
        <f t="shared" ref="M17" si="11">(L17+-B17)/B17</f>
        <v>1.8704746580852777E-2</v>
      </c>
    </row>
    <row r="18" spans="1:15" s="271" customFormat="1" hidden="1" x14ac:dyDescent="0.2">
      <c r="A18" s="280" t="s">
        <v>222</v>
      </c>
      <c r="B18" s="262"/>
      <c r="C18" s="263"/>
      <c r="D18" s="264"/>
      <c r="E18" s="264"/>
      <c r="F18" s="273"/>
      <c r="G18" s="274"/>
      <c r="H18" s="275">
        <f t="shared" si="6"/>
        <v>0</v>
      </c>
      <c r="I18" s="270">
        <f t="shared" ref="I18:I27" si="12">H18/H$48</f>
        <v>0</v>
      </c>
      <c r="J18" s="276">
        <f t="shared" si="8"/>
        <v>0</v>
      </c>
      <c r="K18" s="277">
        <f t="shared" si="9"/>
        <v>0</v>
      </c>
      <c r="L18" s="278">
        <f t="shared" si="10"/>
        <v>0</v>
      </c>
      <c r="M18" s="270"/>
    </row>
    <row r="19" spans="1:15" s="271" customFormat="1" hidden="1" x14ac:dyDescent="0.2">
      <c r="A19" s="280" t="s">
        <v>223</v>
      </c>
      <c r="B19" s="262"/>
      <c r="C19" s="263"/>
      <c r="D19" s="264"/>
      <c r="E19" s="264"/>
      <c r="F19" s="273"/>
      <c r="G19" s="274"/>
      <c r="H19" s="275">
        <f t="shared" si="6"/>
        <v>0</v>
      </c>
      <c r="I19" s="270">
        <f t="shared" si="12"/>
        <v>0</v>
      </c>
      <c r="J19" s="276">
        <f t="shared" si="8"/>
        <v>0</v>
      </c>
      <c r="K19" s="277">
        <f t="shared" si="9"/>
        <v>0</v>
      </c>
      <c r="L19" s="278">
        <f t="shared" si="10"/>
        <v>0</v>
      </c>
      <c r="M19" s="270"/>
    </row>
    <row r="20" spans="1:15" s="271" customFormat="1" hidden="1" x14ac:dyDescent="0.2">
      <c r="A20" s="280" t="s">
        <v>224</v>
      </c>
      <c r="B20" s="262"/>
      <c r="C20" s="263"/>
      <c r="D20" s="264"/>
      <c r="E20" s="264"/>
      <c r="F20" s="273"/>
      <c r="G20" s="274"/>
      <c r="H20" s="275">
        <f t="shared" si="6"/>
        <v>0</v>
      </c>
      <c r="I20" s="270">
        <f t="shared" si="12"/>
        <v>0</v>
      </c>
      <c r="J20" s="276">
        <f t="shared" si="8"/>
        <v>0</v>
      </c>
      <c r="K20" s="277">
        <f t="shared" si="9"/>
        <v>0</v>
      </c>
      <c r="L20" s="278">
        <f t="shared" si="10"/>
        <v>0</v>
      </c>
      <c r="M20" s="270"/>
    </row>
    <row r="21" spans="1:15" s="271" customFormat="1" hidden="1" x14ac:dyDescent="0.2">
      <c r="A21" s="280" t="s">
        <v>225</v>
      </c>
      <c r="B21" s="262"/>
      <c r="C21" s="263"/>
      <c r="D21" s="264"/>
      <c r="E21" s="264"/>
      <c r="F21" s="273"/>
      <c r="G21" s="274"/>
      <c r="H21" s="275">
        <f t="shared" si="6"/>
        <v>0</v>
      </c>
      <c r="I21" s="270">
        <f t="shared" si="12"/>
        <v>0</v>
      </c>
      <c r="J21" s="276">
        <f t="shared" si="8"/>
        <v>0</v>
      </c>
      <c r="K21" s="277">
        <f t="shared" si="9"/>
        <v>0</v>
      </c>
      <c r="L21" s="278">
        <f t="shared" si="10"/>
        <v>0</v>
      </c>
      <c r="M21" s="270"/>
    </row>
    <row r="22" spans="1:15" s="271" customFormat="1" hidden="1" x14ac:dyDescent="0.2">
      <c r="A22" s="280" t="s">
        <v>226</v>
      </c>
      <c r="B22" s="262"/>
      <c r="C22" s="263"/>
      <c r="D22" s="264"/>
      <c r="E22" s="264"/>
      <c r="F22" s="273"/>
      <c r="G22" s="274"/>
      <c r="H22" s="275">
        <f t="shared" si="6"/>
        <v>0</v>
      </c>
      <c r="I22" s="270">
        <f t="shared" si="12"/>
        <v>0</v>
      </c>
      <c r="J22" s="276">
        <f t="shared" si="8"/>
        <v>0</v>
      </c>
      <c r="K22" s="277">
        <f t="shared" si="9"/>
        <v>0</v>
      </c>
      <c r="L22" s="278">
        <f t="shared" si="10"/>
        <v>0</v>
      </c>
      <c r="M22" s="270"/>
    </row>
    <row r="23" spans="1:15" s="271" customFormat="1" x14ac:dyDescent="0.2">
      <c r="A23" s="272" t="s">
        <v>193</v>
      </c>
      <c r="B23" s="262">
        <v>2598</v>
      </c>
      <c r="C23" s="263">
        <v>501</v>
      </c>
      <c r="D23" s="264">
        <v>430</v>
      </c>
      <c r="E23" s="264">
        <v>591</v>
      </c>
      <c r="F23" s="273">
        <v>371</v>
      </c>
      <c r="G23" s="421">
        <v>78</v>
      </c>
      <c r="H23" s="275">
        <f t="shared" si="5"/>
        <v>1314</v>
      </c>
      <c r="I23" s="270">
        <f t="shared" si="12"/>
        <v>8.9512585578527884E-3</v>
      </c>
      <c r="J23" s="276">
        <f t="shared" si="1"/>
        <v>131.4</v>
      </c>
      <c r="K23" s="277">
        <f t="shared" si="4"/>
        <v>375.75</v>
      </c>
      <c r="L23" s="278">
        <f t="shared" si="2"/>
        <v>2604.15</v>
      </c>
      <c r="M23" s="270">
        <f t="shared" si="3"/>
        <v>2.3672055427252084E-3</v>
      </c>
    </row>
    <row r="24" spans="1:15" s="271" customFormat="1" x14ac:dyDescent="0.2">
      <c r="A24" s="272" t="s">
        <v>194</v>
      </c>
      <c r="B24" s="262">
        <v>6556</v>
      </c>
      <c r="C24" s="263">
        <v>1866</v>
      </c>
      <c r="D24" s="264">
        <v>1067</v>
      </c>
      <c r="E24" s="264">
        <v>1811</v>
      </c>
      <c r="F24" s="273">
        <v>1445</v>
      </c>
      <c r="G24" s="421">
        <v>273</v>
      </c>
      <c r="H24" s="275">
        <f t="shared" si="5"/>
        <v>4050</v>
      </c>
      <c r="I24" s="270">
        <f t="shared" si="12"/>
        <v>2.7589495555025715E-2</v>
      </c>
      <c r="J24" s="276">
        <f t="shared" si="1"/>
        <v>405</v>
      </c>
      <c r="K24" s="277">
        <f t="shared" si="4"/>
        <v>1399.5</v>
      </c>
      <c r="L24" s="278">
        <f t="shared" si="2"/>
        <v>6494.5</v>
      </c>
      <c r="M24" s="270">
        <f t="shared" si="3"/>
        <v>-9.3807199511897494E-3</v>
      </c>
    </row>
    <row r="25" spans="1:15" s="271" customFormat="1" x14ac:dyDescent="0.2">
      <c r="A25" s="272" t="s">
        <v>221</v>
      </c>
      <c r="B25" s="262">
        <v>4653</v>
      </c>
      <c r="C25" s="263">
        <v>842</v>
      </c>
      <c r="D25" s="264">
        <v>949</v>
      </c>
      <c r="E25" s="264">
        <v>683</v>
      </c>
      <c r="F25" s="273">
        <v>974</v>
      </c>
      <c r="G25" s="421">
        <v>252</v>
      </c>
      <c r="H25" s="275">
        <f t="shared" si="5"/>
        <v>2354</v>
      </c>
      <c r="I25" s="270">
        <f t="shared" si="12"/>
        <v>1.6035968527538403E-2</v>
      </c>
      <c r="J25" s="276">
        <f t="shared" si="1"/>
        <v>235.4</v>
      </c>
      <c r="K25" s="277">
        <f t="shared" si="4"/>
        <v>631.5</v>
      </c>
      <c r="L25" s="278">
        <f t="shared" si="2"/>
        <v>4677.8999999999996</v>
      </c>
      <c r="M25" s="270">
        <f t="shared" si="3"/>
        <v>5.351386202449954E-3</v>
      </c>
    </row>
    <row r="26" spans="1:15" s="271" customFormat="1" x14ac:dyDescent="0.2">
      <c r="A26" s="272" t="s">
        <v>132</v>
      </c>
      <c r="B26" s="262">
        <v>13959</v>
      </c>
      <c r="C26" s="263">
        <v>1523</v>
      </c>
      <c r="D26" s="264">
        <v>2956</v>
      </c>
      <c r="E26" s="264">
        <v>3680</v>
      </c>
      <c r="F26" s="273">
        <v>6171</v>
      </c>
      <c r="G26" s="421">
        <v>600</v>
      </c>
      <c r="H26" s="275">
        <f t="shared" si="5"/>
        <v>12207</v>
      </c>
      <c r="I26" s="270">
        <f t="shared" si="12"/>
        <v>8.3156783269184922E-2</v>
      </c>
      <c r="J26" s="276">
        <f t="shared" si="1"/>
        <v>1220.7</v>
      </c>
      <c r="K26" s="277">
        <f t="shared" si="4"/>
        <v>1142.25</v>
      </c>
      <c r="L26" s="278">
        <f t="shared" si="2"/>
        <v>14798.95</v>
      </c>
      <c r="M26" s="270">
        <f>(L26+-B26)/B26</f>
        <v>6.0172648470520861E-2</v>
      </c>
    </row>
    <row r="27" spans="1:15" s="271" customFormat="1" x14ac:dyDescent="0.2">
      <c r="A27" s="279" t="s">
        <v>133</v>
      </c>
      <c r="B27" s="262">
        <v>7121</v>
      </c>
      <c r="C27" s="263">
        <v>681</v>
      </c>
      <c r="D27" s="264">
        <v>1574</v>
      </c>
      <c r="E27" s="264">
        <v>2175</v>
      </c>
      <c r="F27" s="273">
        <v>3890</v>
      </c>
      <c r="G27" s="421">
        <v>213</v>
      </c>
      <c r="H27" s="275">
        <f t="shared" si="5"/>
        <v>7426</v>
      </c>
      <c r="I27" s="270">
        <f t="shared" si="12"/>
        <v>5.0587554072005179E-2</v>
      </c>
      <c r="J27" s="276">
        <f t="shared" si="1"/>
        <v>742.6</v>
      </c>
      <c r="K27" s="277">
        <f t="shared" si="4"/>
        <v>510.75</v>
      </c>
      <c r="L27" s="278">
        <f t="shared" si="2"/>
        <v>7693.35</v>
      </c>
      <c r="M27" s="270">
        <f t="shared" si="3"/>
        <v>8.0374947338856959E-2</v>
      </c>
    </row>
    <row r="28" spans="1:15" s="271" customFormat="1" x14ac:dyDescent="0.2">
      <c r="A28" s="272" t="s">
        <v>227</v>
      </c>
      <c r="B28" s="262">
        <v>3275</v>
      </c>
      <c r="C28" s="263">
        <v>313</v>
      </c>
      <c r="D28" s="264">
        <v>567</v>
      </c>
      <c r="E28" s="264">
        <v>768</v>
      </c>
      <c r="F28" s="273">
        <v>616</v>
      </c>
      <c r="G28" s="421">
        <v>60</v>
      </c>
      <c r="H28" s="275">
        <f t="shared" si="5"/>
        <v>1891</v>
      </c>
      <c r="I28" s="270">
        <f t="shared" ref="I28:I36" si="13">H28/H$48</f>
        <v>1.2881910146803364E-2</v>
      </c>
      <c r="J28" s="276">
        <f t="shared" si="1"/>
        <v>189.10000000000002</v>
      </c>
      <c r="K28" s="277">
        <f t="shared" si="4"/>
        <v>234.75</v>
      </c>
      <c r="L28" s="278">
        <f t="shared" si="2"/>
        <v>3385.85</v>
      </c>
      <c r="M28" s="270">
        <f t="shared" si="3"/>
        <v>3.3847328244274784E-2</v>
      </c>
    </row>
    <row r="29" spans="1:15" s="271" customFormat="1" x14ac:dyDescent="0.2">
      <c r="A29" s="272" t="s">
        <v>201</v>
      </c>
      <c r="B29" s="262">
        <v>1297</v>
      </c>
      <c r="C29" s="263">
        <v>0</v>
      </c>
      <c r="D29" s="264">
        <v>215</v>
      </c>
      <c r="E29" s="264">
        <v>341</v>
      </c>
      <c r="F29" s="273">
        <v>236</v>
      </c>
      <c r="G29" s="421">
        <v>0</v>
      </c>
      <c r="H29" s="275">
        <f t="shared" si="5"/>
        <v>792</v>
      </c>
      <c r="I29" s="270">
        <f t="shared" si="13"/>
        <v>5.3952791307605849E-3</v>
      </c>
      <c r="J29" s="276">
        <f t="shared" si="1"/>
        <v>79.2</v>
      </c>
      <c r="K29" s="277">
        <f t="shared" si="4"/>
        <v>0</v>
      </c>
      <c r="L29" s="278">
        <f t="shared" si="2"/>
        <v>1376.2</v>
      </c>
      <c r="M29" s="270">
        <f t="shared" si="3"/>
        <v>6.1063993831919849E-2</v>
      </c>
      <c r="O29" s="290"/>
    </row>
    <row r="30" spans="1:15" s="271" customFormat="1" x14ac:dyDescent="0.2">
      <c r="A30" s="272" t="s">
        <v>202</v>
      </c>
      <c r="B30" s="262">
        <v>2555</v>
      </c>
      <c r="C30" s="263">
        <v>1264</v>
      </c>
      <c r="D30" s="264">
        <v>357</v>
      </c>
      <c r="E30" s="264">
        <v>415</v>
      </c>
      <c r="F30" s="273">
        <v>331</v>
      </c>
      <c r="G30" s="421">
        <v>262</v>
      </c>
      <c r="H30" s="275">
        <f t="shared" si="5"/>
        <v>841</v>
      </c>
      <c r="I30" s="270">
        <f t="shared" si="13"/>
        <v>5.7290779658707722E-3</v>
      </c>
      <c r="J30" s="276">
        <f t="shared" si="1"/>
        <v>84.100000000000009</v>
      </c>
      <c r="K30" s="277">
        <f t="shared" si="4"/>
        <v>948</v>
      </c>
      <c r="L30" s="278">
        <f t="shared" si="2"/>
        <v>2323.1</v>
      </c>
      <c r="M30" s="270">
        <f t="shared" si="3"/>
        <v>-9.0763209393346408E-2</v>
      </c>
    </row>
    <row r="31" spans="1:15" s="271" customFormat="1" x14ac:dyDescent="0.2">
      <c r="A31" s="272" t="s">
        <v>36</v>
      </c>
      <c r="B31" s="262">
        <v>3525</v>
      </c>
      <c r="C31" s="263">
        <v>119</v>
      </c>
      <c r="D31" s="264">
        <v>789</v>
      </c>
      <c r="E31" s="264">
        <v>1215</v>
      </c>
      <c r="F31" s="273">
        <v>706</v>
      </c>
      <c r="G31" s="421">
        <v>25</v>
      </c>
      <c r="H31" s="275">
        <f t="shared" si="5"/>
        <v>2685</v>
      </c>
      <c r="I31" s="270">
        <f t="shared" si="13"/>
        <v>1.8290813719813344E-2</v>
      </c>
      <c r="J31" s="276">
        <f t="shared" si="1"/>
        <v>268.5</v>
      </c>
      <c r="K31" s="277">
        <f t="shared" si="4"/>
        <v>89.25</v>
      </c>
      <c r="L31" s="278">
        <f t="shared" si="2"/>
        <v>3763.75</v>
      </c>
      <c r="M31" s="270">
        <f t="shared" si="3"/>
        <v>6.773049645390071E-2</v>
      </c>
    </row>
    <row r="32" spans="1:15" s="271" customFormat="1" x14ac:dyDescent="0.2">
      <c r="A32" s="272" t="s">
        <v>131</v>
      </c>
      <c r="B32" s="262">
        <v>4325</v>
      </c>
      <c r="C32" s="263">
        <v>1192</v>
      </c>
      <c r="D32" s="264">
        <v>946</v>
      </c>
      <c r="E32" s="264">
        <v>1177</v>
      </c>
      <c r="F32" s="273">
        <v>1120</v>
      </c>
      <c r="G32" s="421">
        <v>266</v>
      </c>
      <c r="H32" s="275">
        <f t="shared" si="5"/>
        <v>2977</v>
      </c>
      <c r="I32" s="270">
        <f t="shared" si="13"/>
        <v>2.0279982288225074E-2</v>
      </c>
      <c r="J32" s="276">
        <f t="shared" si="1"/>
        <v>297.7</v>
      </c>
      <c r="K32" s="277">
        <f t="shared" si="4"/>
        <v>894</v>
      </c>
      <c r="L32" s="278">
        <f t="shared" si="2"/>
        <v>4324.7</v>
      </c>
      <c r="M32" s="270">
        <f t="shared" si="3"/>
        <v>-6.9364161849753037E-5</v>
      </c>
    </row>
    <row r="33" spans="1:20" s="271" customFormat="1" x14ac:dyDescent="0.2">
      <c r="A33" s="272" t="s">
        <v>203</v>
      </c>
      <c r="B33" s="262">
        <v>6080</v>
      </c>
      <c r="C33" s="263">
        <v>387</v>
      </c>
      <c r="D33" s="264">
        <v>1269</v>
      </c>
      <c r="E33" s="264">
        <v>1890</v>
      </c>
      <c r="F33" s="273">
        <v>1929</v>
      </c>
      <c r="G33" s="421">
        <v>135</v>
      </c>
      <c r="H33" s="275">
        <f t="shared" si="5"/>
        <v>4953</v>
      </c>
      <c r="I33" s="270">
        <f t="shared" si="13"/>
        <v>3.3740931230627748E-2</v>
      </c>
      <c r="J33" s="276">
        <f t="shared" si="1"/>
        <v>495.3</v>
      </c>
      <c r="K33" s="277">
        <f t="shared" si="4"/>
        <v>290.25</v>
      </c>
      <c r="L33" s="278">
        <f t="shared" si="2"/>
        <v>6478.55</v>
      </c>
      <c r="M33" s="270">
        <f t="shared" si="3"/>
        <v>6.5550986842105294E-2</v>
      </c>
    </row>
    <row r="34" spans="1:20" s="271" customFormat="1" ht="12.75" customHeight="1" x14ac:dyDescent="0.2">
      <c r="A34" s="261" t="s">
        <v>204</v>
      </c>
      <c r="B34" s="262">
        <v>4846</v>
      </c>
      <c r="C34" s="263">
        <v>107</v>
      </c>
      <c r="D34" s="264">
        <v>1132</v>
      </c>
      <c r="E34" s="264">
        <v>1715</v>
      </c>
      <c r="F34" s="273">
        <v>1413</v>
      </c>
      <c r="G34" s="421">
        <v>29</v>
      </c>
      <c r="H34" s="275">
        <f t="shared" si="5"/>
        <v>4231</v>
      </c>
      <c r="I34" s="270">
        <f t="shared" si="13"/>
        <v>2.8822507578596002E-2</v>
      </c>
      <c r="J34" s="276">
        <f t="shared" si="1"/>
        <v>423.1</v>
      </c>
      <c r="K34" s="277">
        <f t="shared" si="4"/>
        <v>80.25</v>
      </c>
      <c r="L34" s="278">
        <f t="shared" si="2"/>
        <v>5242.3500000000004</v>
      </c>
      <c r="M34" s="270">
        <f t="shared" si="3"/>
        <v>8.1789104416013281E-2</v>
      </c>
    </row>
    <row r="35" spans="1:20" s="271" customFormat="1" x14ac:dyDescent="0.2">
      <c r="A35" s="272" t="s">
        <v>70</v>
      </c>
      <c r="B35" s="262">
        <v>7655</v>
      </c>
      <c r="C35" s="263">
        <v>690</v>
      </c>
      <c r="D35" s="264">
        <v>2559</v>
      </c>
      <c r="E35" s="264">
        <v>3301</v>
      </c>
      <c r="F35" s="273">
        <v>5086</v>
      </c>
      <c r="G35" s="421">
        <v>507</v>
      </c>
      <c r="H35" s="275">
        <f t="shared" si="5"/>
        <v>10439</v>
      </c>
      <c r="I35" s="270">
        <f t="shared" si="13"/>
        <v>7.111277632071937E-2</v>
      </c>
      <c r="J35" s="276">
        <f t="shared" si="1"/>
        <v>1043.9000000000001</v>
      </c>
      <c r="K35" s="277">
        <f t="shared" si="4"/>
        <v>517.5</v>
      </c>
      <c r="L35" s="278">
        <f t="shared" si="2"/>
        <v>8526.4</v>
      </c>
      <c r="M35" s="270">
        <f t="shared" si="3"/>
        <v>0.11383409536250812</v>
      </c>
    </row>
    <row r="36" spans="1:20" s="271" customFormat="1" ht="13.5" thickBot="1" x14ac:dyDescent="0.25">
      <c r="A36" s="281" t="s">
        <v>117</v>
      </c>
      <c r="B36" s="262">
        <v>4238</v>
      </c>
      <c r="C36" s="263">
        <v>248</v>
      </c>
      <c r="D36" s="264">
        <v>946</v>
      </c>
      <c r="E36" s="264">
        <v>1159</v>
      </c>
      <c r="F36" s="273">
        <v>947</v>
      </c>
      <c r="G36" s="421">
        <v>110</v>
      </c>
      <c r="H36" s="275">
        <f>SUM(D36:F36)-G36</f>
        <v>2942</v>
      </c>
      <c r="I36" s="282">
        <f t="shared" si="13"/>
        <v>2.0041554548860654E-2</v>
      </c>
      <c r="J36" s="276">
        <f t="shared" si="1"/>
        <v>294.2</v>
      </c>
      <c r="K36" s="283">
        <f t="shared" si="4"/>
        <v>186</v>
      </c>
      <c r="L36" s="278">
        <f t="shared" si="2"/>
        <v>4470.2</v>
      </c>
      <c r="M36" s="270">
        <f t="shared" si="3"/>
        <v>5.4789995280792786E-2</v>
      </c>
    </row>
    <row r="37" spans="1:20" s="289" customFormat="1" ht="13.5" thickBot="1" x14ac:dyDescent="0.25">
      <c r="A37" s="284" t="s">
        <v>247</v>
      </c>
      <c r="B37" s="285">
        <f>SUM(B6:B36)</f>
        <v>140992</v>
      </c>
      <c r="C37" s="286">
        <f t="shared" ref="C37:H37" si="14">SUM(C6:C36)</f>
        <v>21261</v>
      </c>
      <c r="D37" s="287">
        <f t="shared" si="14"/>
        <v>29144</v>
      </c>
      <c r="E37" s="287">
        <f t="shared" si="14"/>
        <v>39445</v>
      </c>
      <c r="F37" s="287">
        <f t="shared" si="14"/>
        <v>48605</v>
      </c>
      <c r="G37" s="286">
        <f t="shared" si="14"/>
        <v>6026</v>
      </c>
      <c r="H37" s="287">
        <f t="shared" si="14"/>
        <v>111168</v>
      </c>
      <c r="I37" s="288">
        <f>SUM(I6:I17,I23:I36)</f>
        <v>0.74163288940358985</v>
      </c>
      <c r="J37" s="285">
        <f t="shared" ref="J37:L37" si="15">SUM(J6:J36)</f>
        <v>11116.800000000001</v>
      </c>
      <c r="K37" s="286">
        <f t="shared" si="15"/>
        <v>15945.75</v>
      </c>
      <c r="L37" s="285">
        <f t="shared" si="15"/>
        <v>146793.54999999999</v>
      </c>
      <c r="M37" s="270">
        <f>(L37+-B37)/B37</f>
        <v>4.1148079323649486E-2</v>
      </c>
      <c r="N37" s="271"/>
      <c r="O37" s="271"/>
      <c r="P37" s="271"/>
      <c r="Q37" s="271"/>
      <c r="R37" s="271"/>
      <c r="S37" s="271"/>
      <c r="T37" s="271"/>
    </row>
    <row r="38" spans="1:20" s="271" customFormat="1" ht="13.5" thickBot="1" x14ac:dyDescent="0.25">
      <c r="A38" s="289"/>
      <c r="B38" s="290"/>
      <c r="C38" s="290"/>
      <c r="D38" s="290"/>
      <c r="E38" s="290"/>
      <c r="F38" s="290"/>
      <c r="G38" s="290"/>
      <c r="I38" s="291"/>
      <c r="M38" s="291"/>
    </row>
    <row r="39" spans="1:20" s="271" customFormat="1" ht="13.5" thickBot="1" x14ac:dyDescent="0.25">
      <c r="A39" s="292" t="s">
        <v>212</v>
      </c>
      <c r="B39" s="293"/>
      <c r="C39" s="293"/>
      <c r="D39" s="293"/>
      <c r="E39" s="293"/>
      <c r="F39" s="294"/>
      <c r="G39" s="294"/>
      <c r="I39" s="291"/>
      <c r="M39" s="291"/>
    </row>
    <row r="40" spans="1:20" s="271" customFormat="1" x14ac:dyDescent="0.2">
      <c r="A40" s="295" t="s">
        <v>206</v>
      </c>
      <c r="B40" s="262">
        <v>5062</v>
      </c>
      <c r="C40" s="263">
        <v>488</v>
      </c>
      <c r="D40" s="264">
        <v>626</v>
      </c>
      <c r="E40" s="264">
        <v>1348</v>
      </c>
      <c r="F40" s="296">
        <v>831</v>
      </c>
      <c r="G40" s="420">
        <v>52</v>
      </c>
      <c r="H40" s="297">
        <f t="shared" ref="H40:H46" si="16">SUM(D40:F40)-G40</f>
        <v>2753</v>
      </c>
      <c r="I40" s="266">
        <f t="shared" ref="I40:I46" si="17">H40/H$48</f>
        <v>1.875404475629279E-2</v>
      </c>
      <c r="J40" s="276">
        <f t="shared" ref="J40:J46" si="18">H40*$M$2</f>
        <v>275.3</v>
      </c>
      <c r="K40" s="283">
        <f t="shared" ref="K40:K46" si="19">C40*$L$3</f>
        <v>366</v>
      </c>
      <c r="L40" s="278">
        <f t="shared" ref="L40:L46" si="20">(B40-C40)+J40+K40</f>
        <v>5215.3</v>
      </c>
      <c r="M40" s="270">
        <f t="shared" ref="M40:M48" si="21">(L40+-B40)/B40</f>
        <v>3.0284472540497862E-2</v>
      </c>
    </row>
    <row r="41" spans="1:20" s="271" customFormat="1" x14ac:dyDescent="0.2">
      <c r="A41" s="272" t="s">
        <v>140</v>
      </c>
      <c r="B41" s="262">
        <v>8510</v>
      </c>
      <c r="C41" s="263">
        <v>0</v>
      </c>
      <c r="D41" s="264">
        <v>2259</v>
      </c>
      <c r="E41" s="264">
        <v>3589</v>
      </c>
      <c r="F41" s="273">
        <v>4610</v>
      </c>
      <c r="G41" s="421">
        <v>0</v>
      </c>
      <c r="H41" s="275">
        <f t="shared" si="16"/>
        <v>10458</v>
      </c>
      <c r="I41" s="270">
        <f t="shared" si="17"/>
        <v>7.1242208522088624E-2</v>
      </c>
      <c r="J41" s="276">
        <f t="shared" si="18"/>
        <v>1045.8</v>
      </c>
      <c r="K41" s="283">
        <f t="shared" si="19"/>
        <v>0</v>
      </c>
      <c r="L41" s="278">
        <f t="shared" si="20"/>
        <v>9555.7999999999993</v>
      </c>
      <c r="M41" s="270">
        <f t="shared" si="21"/>
        <v>0.12289071680376019</v>
      </c>
    </row>
    <row r="42" spans="1:20" s="271" customFormat="1" x14ac:dyDescent="0.2">
      <c r="A42" s="272" t="s">
        <v>207</v>
      </c>
      <c r="B42" s="262">
        <v>18040</v>
      </c>
      <c r="C42" s="263">
        <v>1974</v>
      </c>
      <c r="D42" s="264">
        <v>2150</v>
      </c>
      <c r="E42" s="264">
        <v>3194</v>
      </c>
      <c r="F42" s="273">
        <v>3372</v>
      </c>
      <c r="G42" s="421">
        <v>525</v>
      </c>
      <c r="H42" s="275">
        <f t="shared" si="16"/>
        <v>8191</v>
      </c>
      <c r="I42" s="270">
        <f t="shared" si="17"/>
        <v>5.5798903232398923E-2</v>
      </c>
      <c r="J42" s="276">
        <f t="shared" si="18"/>
        <v>819.1</v>
      </c>
      <c r="K42" s="277">
        <f t="shared" si="19"/>
        <v>1480.5</v>
      </c>
      <c r="L42" s="278">
        <f t="shared" si="20"/>
        <v>18365.599999999999</v>
      </c>
      <c r="M42" s="270">
        <f t="shared" si="21"/>
        <v>1.8048780487804797E-2</v>
      </c>
    </row>
    <row r="43" spans="1:20" s="271" customFormat="1" x14ac:dyDescent="0.2">
      <c r="A43" s="272" t="s">
        <v>208</v>
      </c>
      <c r="B43" s="262">
        <v>6072</v>
      </c>
      <c r="C43" s="263">
        <v>12</v>
      </c>
      <c r="D43" s="264">
        <v>762</v>
      </c>
      <c r="E43" s="264">
        <v>1295</v>
      </c>
      <c r="F43" s="273">
        <v>957</v>
      </c>
      <c r="G43" s="421">
        <v>4</v>
      </c>
      <c r="H43" s="275">
        <f t="shared" si="16"/>
        <v>3010</v>
      </c>
      <c r="I43" s="270">
        <f t="shared" si="17"/>
        <v>2.05047855853401E-2</v>
      </c>
      <c r="J43" s="276">
        <f t="shared" si="18"/>
        <v>301</v>
      </c>
      <c r="K43" s="277">
        <f t="shared" si="19"/>
        <v>9</v>
      </c>
      <c r="L43" s="278">
        <f t="shared" si="20"/>
        <v>6370</v>
      </c>
      <c r="M43" s="270">
        <f t="shared" si="21"/>
        <v>4.9077733860342553E-2</v>
      </c>
    </row>
    <row r="44" spans="1:20" s="271" customFormat="1" x14ac:dyDescent="0.2">
      <c r="A44" s="272" t="s">
        <v>209</v>
      </c>
      <c r="B44" s="262">
        <v>12713</v>
      </c>
      <c r="C44" s="263">
        <v>3226</v>
      </c>
      <c r="D44" s="264">
        <v>1718</v>
      </c>
      <c r="E44" s="264">
        <v>2223</v>
      </c>
      <c r="F44" s="273">
        <v>2475</v>
      </c>
      <c r="G44" s="421">
        <v>540</v>
      </c>
      <c r="H44" s="275">
        <f t="shared" si="16"/>
        <v>5876</v>
      </c>
      <c r="I44" s="270">
        <f t="shared" si="17"/>
        <v>4.0028611328723727E-2</v>
      </c>
      <c r="J44" s="276">
        <f t="shared" si="18"/>
        <v>587.6</v>
      </c>
      <c r="K44" s="277">
        <f t="shared" si="19"/>
        <v>2419.5</v>
      </c>
      <c r="L44" s="278">
        <f t="shared" si="20"/>
        <v>12494.1</v>
      </c>
      <c r="M44" s="270">
        <f t="shared" si="21"/>
        <v>-1.7218595138834236E-2</v>
      </c>
    </row>
    <row r="45" spans="1:20" s="271" customFormat="1" x14ac:dyDescent="0.2">
      <c r="A45" s="272" t="s">
        <v>210</v>
      </c>
      <c r="B45" s="262">
        <v>8521</v>
      </c>
      <c r="C45" s="263">
        <v>5479</v>
      </c>
      <c r="D45" s="264">
        <v>850</v>
      </c>
      <c r="E45" s="264">
        <v>892</v>
      </c>
      <c r="F45" s="273">
        <v>1173</v>
      </c>
      <c r="G45" s="421">
        <v>903</v>
      </c>
      <c r="H45" s="275">
        <f t="shared" si="16"/>
        <v>2012</v>
      </c>
      <c r="I45" s="270">
        <f t="shared" si="17"/>
        <v>1.3706188902891788E-2</v>
      </c>
      <c r="J45" s="276">
        <f t="shared" si="18"/>
        <v>201.20000000000002</v>
      </c>
      <c r="K45" s="277">
        <f t="shared" si="19"/>
        <v>4109.25</v>
      </c>
      <c r="L45" s="278">
        <f t="shared" si="20"/>
        <v>7352.45</v>
      </c>
      <c r="M45" s="270">
        <f t="shared" si="21"/>
        <v>-0.13713765989907289</v>
      </c>
    </row>
    <row r="46" spans="1:20" s="271" customFormat="1" ht="13.5" thickBot="1" x14ac:dyDescent="0.25">
      <c r="A46" s="281" t="s">
        <v>211</v>
      </c>
      <c r="B46" s="262">
        <v>7030</v>
      </c>
      <c r="C46" s="263"/>
      <c r="D46" s="264">
        <v>782</v>
      </c>
      <c r="E46" s="264">
        <v>1486</v>
      </c>
      <c r="F46" s="273">
        <v>1059</v>
      </c>
      <c r="G46" s="421">
        <v>0</v>
      </c>
      <c r="H46" s="275">
        <f t="shared" si="16"/>
        <v>3327</v>
      </c>
      <c r="I46" s="298">
        <f t="shared" si="17"/>
        <v>2.2664259681869272E-2</v>
      </c>
      <c r="J46" s="276">
        <f t="shared" si="18"/>
        <v>332.70000000000005</v>
      </c>
      <c r="K46" s="283">
        <f t="shared" si="19"/>
        <v>0</v>
      </c>
      <c r="L46" s="278">
        <f t="shared" si="20"/>
        <v>7362.7</v>
      </c>
      <c r="M46" s="270">
        <f t="shared" si="21"/>
        <v>4.7325746799430982E-2</v>
      </c>
    </row>
    <row r="47" spans="1:20" s="289" customFormat="1" ht="13.5" thickBot="1" x14ac:dyDescent="0.25">
      <c r="A47" s="284" t="s">
        <v>248</v>
      </c>
      <c r="B47" s="285">
        <f t="shared" ref="B47:K47" si="22">SUM(B40:B46)</f>
        <v>65948</v>
      </c>
      <c r="C47" s="286">
        <f t="shared" si="22"/>
        <v>11179</v>
      </c>
      <c r="D47" s="287">
        <f t="shared" si="22"/>
        <v>9147</v>
      </c>
      <c r="E47" s="287">
        <f t="shared" si="22"/>
        <v>14027</v>
      </c>
      <c r="F47" s="287">
        <f t="shared" si="22"/>
        <v>14477</v>
      </c>
      <c r="G47" s="286">
        <f t="shared" si="22"/>
        <v>2024</v>
      </c>
      <c r="H47" s="287">
        <f t="shared" si="22"/>
        <v>35627</v>
      </c>
      <c r="I47" s="288">
        <f t="shared" si="22"/>
        <v>0.24269900200960526</v>
      </c>
      <c r="J47" s="285">
        <f t="shared" si="22"/>
        <v>3562.7</v>
      </c>
      <c r="K47" s="286">
        <f t="shared" si="22"/>
        <v>8384.25</v>
      </c>
      <c r="L47" s="299">
        <f>SUM(L40:L46)</f>
        <v>66715.95</v>
      </c>
      <c r="M47" s="270">
        <f t="shared" si="21"/>
        <v>1.1644780736337677E-2</v>
      </c>
    </row>
    <row r="48" spans="1:20" s="289" customFormat="1" ht="13.5" thickBot="1" x14ac:dyDescent="0.25">
      <c r="A48" s="300" t="s">
        <v>249</v>
      </c>
      <c r="B48" s="301">
        <f t="shared" ref="B48:L48" si="23">B37+B47</f>
        <v>206940</v>
      </c>
      <c r="C48" s="302">
        <f t="shared" si="23"/>
        <v>32440</v>
      </c>
      <c r="D48" s="303">
        <f t="shared" si="23"/>
        <v>38291</v>
      </c>
      <c r="E48" s="303">
        <f t="shared" si="23"/>
        <v>53472</v>
      </c>
      <c r="F48" s="303">
        <f t="shared" si="23"/>
        <v>63082</v>
      </c>
      <c r="G48" s="302">
        <f>G37+G47</f>
        <v>8050</v>
      </c>
      <c r="H48" s="303">
        <f t="shared" si="23"/>
        <v>146795</v>
      </c>
      <c r="I48" s="304">
        <f t="shared" si="23"/>
        <v>0.9843318914131951</v>
      </c>
      <c r="J48" s="285">
        <f t="shared" si="23"/>
        <v>14679.5</v>
      </c>
      <c r="K48" s="286">
        <f t="shared" si="23"/>
        <v>24330</v>
      </c>
      <c r="L48" s="285">
        <f t="shared" si="23"/>
        <v>213509.5</v>
      </c>
      <c r="M48" s="270">
        <f t="shared" si="21"/>
        <v>3.1745916690828262E-2</v>
      </c>
    </row>
    <row r="49" spans="1:12" ht="13.5" hidden="1" thickBot="1" x14ac:dyDescent="0.25">
      <c r="A49" s="305" t="s">
        <v>250</v>
      </c>
      <c r="B49" s="306"/>
      <c r="C49" s="307"/>
      <c r="D49" s="308"/>
      <c r="E49" s="308"/>
      <c r="F49" s="308"/>
      <c r="G49" s="308"/>
      <c r="H49" s="308"/>
      <c r="I49" s="308"/>
      <c r="J49" s="309"/>
      <c r="K49" s="310"/>
    </row>
    <row r="51" spans="1:12" x14ac:dyDescent="0.2">
      <c r="A51" s="15" t="s">
        <v>306</v>
      </c>
    </row>
    <row r="52" spans="1:12" x14ac:dyDescent="0.2">
      <c r="A52" s="15"/>
      <c r="L52" s="311"/>
    </row>
  </sheetData>
  <mergeCells count="2">
    <mergeCell ref="A1:I1"/>
    <mergeCell ref="A3:I3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9"/>
  <sheetViews>
    <sheetView zoomScale="80" workbookViewId="0">
      <selection activeCell="C10" sqref="C10"/>
    </sheetView>
  </sheetViews>
  <sheetFormatPr defaultColWidth="9.140625" defaultRowHeight="15" customHeight="1" x14ac:dyDescent="0.2"/>
  <cols>
    <col min="1" max="1" width="7.28515625" customWidth="1"/>
    <col min="2" max="2" width="30.28515625" customWidth="1"/>
    <col min="3" max="3" width="10.85546875" customWidth="1"/>
    <col min="4" max="4" width="12.85546875" customWidth="1"/>
    <col min="5" max="5" width="10.7109375" customWidth="1"/>
    <col min="6" max="6" width="12.85546875" customWidth="1"/>
    <col min="7" max="7" width="14.140625" customWidth="1"/>
    <col min="8" max="8" width="14.7109375" style="85" customWidth="1"/>
    <col min="10" max="10" width="9.85546875" customWidth="1"/>
    <col min="11" max="12" width="9.140625" customWidth="1"/>
  </cols>
  <sheetData>
    <row r="1" spans="1:10" ht="15" customHeight="1" x14ac:dyDescent="0.25">
      <c r="A1" s="33" t="s">
        <v>252</v>
      </c>
      <c r="G1" s="33"/>
      <c r="H1" s="350" t="s">
        <v>281</v>
      </c>
    </row>
    <row r="2" spans="1:10" ht="15" customHeight="1" x14ac:dyDescent="0.2">
      <c r="A2" s="4" t="s">
        <v>104</v>
      </c>
      <c r="G2" s="4"/>
      <c r="I2" s="4"/>
    </row>
    <row r="3" spans="1:10" ht="15" customHeight="1" x14ac:dyDescent="0.2">
      <c r="A3" s="4" t="s">
        <v>325</v>
      </c>
      <c r="G3" s="86"/>
    </row>
    <row r="4" spans="1:10" ht="12.75" x14ac:dyDescent="0.2">
      <c r="D4" s="19"/>
      <c r="E4" s="19"/>
      <c r="F4" s="19"/>
      <c r="G4" s="87"/>
      <c r="H4" s="88"/>
    </row>
    <row r="5" spans="1:10" ht="34.5" customHeight="1" x14ac:dyDescent="0.2">
      <c r="A5" s="89"/>
      <c r="B5" s="90"/>
      <c r="C5" s="153"/>
      <c r="D5" s="437" t="s">
        <v>105</v>
      </c>
      <c r="E5" s="437" t="s">
        <v>106</v>
      </c>
      <c r="F5" s="434" t="s">
        <v>107</v>
      </c>
      <c r="G5" s="437" t="s">
        <v>119</v>
      </c>
      <c r="H5" s="437" t="s">
        <v>66</v>
      </c>
    </row>
    <row r="6" spans="1:10" ht="15.75" customHeight="1" x14ac:dyDescent="0.2">
      <c r="A6" s="91"/>
      <c r="B6" s="91"/>
      <c r="C6" s="154" t="s">
        <v>326</v>
      </c>
      <c r="D6" s="437"/>
      <c r="E6" s="437"/>
      <c r="F6" s="435"/>
      <c r="G6" s="438"/>
      <c r="H6" s="439"/>
    </row>
    <row r="7" spans="1:10" ht="15.75" customHeight="1" x14ac:dyDescent="0.2">
      <c r="A7" s="92" t="s">
        <v>0</v>
      </c>
      <c r="B7" s="92" t="s">
        <v>83</v>
      </c>
      <c r="C7" s="92" t="s">
        <v>108</v>
      </c>
      <c r="D7" s="77">
        <v>5</v>
      </c>
      <c r="E7" s="80">
        <v>50000</v>
      </c>
      <c r="F7" s="436"/>
      <c r="G7" s="438"/>
      <c r="H7" s="440"/>
    </row>
    <row r="8" spans="1:10" ht="15" customHeight="1" x14ac:dyDescent="0.2">
      <c r="B8" s="19"/>
      <c r="C8" s="19"/>
      <c r="D8" s="78"/>
      <c r="E8" s="81"/>
      <c r="F8" s="93"/>
      <c r="G8" s="94"/>
    </row>
    <row r="9" spans="1:10" ht="15" customHeight="1" x14ac:dyDescent="0.2">
      <c r="A9" s="10" t="s">
        <v>2</v>
      </c>
      <c r="B9" s="97" t="s">
        <v>128</v>
      </c>
      <c r="C9" s="73">
        <v>491661</v>
      </c>
      <c r="D9" s="76">
        <f t="shared" ref="D9:D38" si="0">C9*$D$7</f>
        <v>2458305</v>
      </c>
      <c r="E9" s="76"/>
      <c r="F9" s="76">
        <f>D9+E9</f>
        <v>2458305</v>
      </c>
      <c r="G9" s="95">
        <f>'Revenue Offset'!G8</f>
        <v>0.45398034509082752</v>
      </c>
      <c r="H9" s="96">
        <f t="shared" ref="H9:H38" si="1">F9*(1-G9)</f>
        <v>1342282.8477614932</v>
      </c>
      <c r="J9" s="159"/>
    </row>
    <row r="10" spans="1:10" ht="15" customHeight="1" x14ac:dyDescent="0.2">
      <c r="A10" s="10" t="s">
        <v>4</v>
      </c>
      <c r="B10" s="97" t="s">
        <v>124</v>
      </c>
      <c r="C10" s="73">
        <f>324055+527099</f>
        <v>851154</v>
      </c>
      <c r="D10" s="76">
        <f t="shared" si="0"/>
        <v>4255770</v>
      </c>
      <c r="E10" s="76">
        <v>100000</v>
      </c>
      <c r="F10" s="76">
        <f t="shared" ref="F10:F38" si="2">D10+E10</f>
        <v>4355770</v>
      </c>
      <c r="G10" s="95">
        <f>'Revenue Offset'!G9</f>
        <v>0.47221742787664267</v>
      </c>
      <c r="H10" s="96">
        <f t="shared" si="1"/>
        <v>2298899.4941777564</v>
      </c>
      <c r="J10" s="398"/>
    </row>
    <row r="11" spans="1:10" ht="15" customHeight="1" x14ac:dyDescent="0.2">
      <c r="A11" s="10" t="s">
        <v>5</v>
      </c>
      <c r="B11" s="97" t="s">
        <v>113</v>
      </c>
      <c r="C11" s="73">
        <f>875920+97053</f>
        <v>972973</v>
      </c>
      <c r="D11" s="76">
        <f t="shared" si="0"/>
        <v>4864865</v>
      </c>
      <c r="E11" s="76">
        <v>50000</v>
      </c>
      <c r="F11" s="76">
        <f t="shared" si="2"/>
        <v>4914865</v>
      </c>
      <c r="G11" s="95">
        <f>'Revenue Offset'!G10</f>
        <v>0.56031362149763542</v>
      </c>
      <c r="H11" s="96">
        <f t="shared" si="1"/>
        <v>2160999.1926780241</v>
      </c>
      <c r="J11" s="159"/>
    </row>
    <row r="12" spans="1:10" ht="15" customHeight="1" x14ac:dyDescent="0.2">
      <c r="A12" s="10" t="s">
        <v>6</v>
      </c>
      <c r="B12" s="97" t="s">
        <v>7</v>
      </c>
      <c r="C12" s="73">
        <f>360749+272882</f>
        <v>633631</v>
      </c>
      <c r="D12" s="76">
        <f t="shared" si="0"/>
        <v>3168155</v>
      </c>
      <c r="E12" s="76">
        <v>50000</v>
      </c>
      <c r="F12" s="76">
        <f t="shared" si="2"/>
        <v>3218155</v>
      </c>
      <c r="G12" s="95">
        <f>'Revenue Offset'!G11</f>
        <v>0.44411590295335773</v>
      </c>
      <c r="H12" s="96">
        <f t="shared" si="1"/>
        <v>1788921.1863311373</v>
      </c>
      <c r="J12" s="159"/>
    </row>
    <row r="13" spans="1:10" ht="17.25" customHeight="1" x14ac:dyDescent="0.2">
      <c r="A13" s="10" t="s">
        <v>8</v>
      </c>
      <c r="B13" s="97" t="s">
        <v>9</v>
      </c>
      <c r="C13" s="73">
        <v>738249</v>
      </c>
      <c r="D13" s="76">
        <f t="shared" si="0"/>
        <v>3691245</v>
      </c>
      <c r="E13" s="76"/>
      <c r="F13" s="76">
        <f t="shared" si="2"/>
        <v>3691245</v>
      </c>
      <c r="G13" s="95">
        <f>'Revenue Offset'!G12</f>
        <v>0.47711530109848616</v>
      </c>
      <c r="H13" s="96">
        <f t="shared" si="1"/>
        <v>1930095.5303967188</v>
      </c>
      <c r="J13" s="159"/>
    </row>
    <row r="14" spans="1:10" ht="15" customHeight="1" x14ac:dyDescent="0.2">
      <c r="A14" s="10" t="s">
        <v>10</v>
      </c>
      <c r="B14" s="97" t="s">
        <v>146</v>
      </c>
      <c r="C14" s="73">
        <f>539331+325845</f>
        <v>865176</v>
      </c>
      <c r="D14" s="76">
        <f t="shared" si="0"/>
        <v>4325880</v>
      </c>
      <c r="E14" s="76">
        <v>50000</v>
      </c>
      <c r="F14" s="76">
        <f t="shared" si="2"/>
        <v>4375880</v>
      </c>
      <c r="G14" s="95">
        <f>'Revenue Offset'!G13</f>
        <v>0.44975388957952139</v>
      </c>
      <c r="H14" s="96">
        <f t="shared" si="1"/>
        <v>2407810.9496667637</v>
      </c>
      <c r="J14" s="159"/>
    </row>
    <row r="15" spans="1:10" ht="15" customHeight="1" x14ac:dyDescent="0.2">
      <c r="A15" s="10" t="s">
        <v>12</v>
      </c>
      <c r="B15" s="97" t="s">
        <v>13</v>
      </c>
      <c r="C15" s="73">
        <v>161065</v>
      </c>
      <c r="D15" s="76">
        <f t="shared" si="0"/>
        <v>805325</v>
      </c>
      <c r="E15" s="76"/>
      <c r="F15" s="76">
        <f t="shared" si="2"/>
        <v>805325</v>
      </c>
      <c r="G15" s="95">
        <f>'Revenue Offset'!G14</f>
        <v>0.34468677318100721</v>
      </c>
      <c r="H15" s="96">
        <f t="shared" si="1"/>
        <v>527740.12438800535</v>
      </c>
      <c r="J15" s="159"/>
    </row>
    <row r="16" spans="1:10" ht="15" customHeight="1" x14ac:dyDescent="0.2">
      <c r="A16" s="10" t="s">
        <v>14</v>
      </c>
      <c r="B16" s="97" t="s">
        <v>139</v>
      </c>
      <c r="C16" s="73">
        <v>914401</v>
      </c>
      <c r="D16" s="76">
        <f t="shared" si="0"/>
        <v>4572005</v>
      </c>
      <c r="E16" s="76">
        <v>50000</v>
      </c>
      <c r="F16" s="76">
        <f t="shared" si="2"/>
        <v>4622005</v>
      </c>
      <c r="G16" s="95">
        <f>'Revenue Offset'!G15</f>
        <v>0.38899820613316899</v>
      </c>
      <c r="H16" s="96">
        <f t="shared" si="1"/>
        <v>2824053.3462614627</v>
      </c>
      <c r="J16" s="159"/>
    </row>
    <row r="17" spans="1:11" ht="15" customHeight="1" x14ac:dyDescent="0.2">
      <c r="A17" s="10" t="s">
        <v>16</v>
      </c>
      <c r="B17" s="97" t="s">
        <v>17</v>
      </c>
      <c r="C17" s="73">
        <v>399066</v>
      </c>
      <c r="D17" s="76">
        <f t="shared" si="0"/>
        <v>1995330</v>
      </c>
      <c r="E17" s="76"/>
      <c r="F17" s="76">
        <f t="shared" si="2"/>
        <v>1995330</v>
      </c>
      <c r="G17" s="95">
        <f>'Revenue Offset'!G16</f>
        <v>0.41118330929356911</v>
      </c>
      <c r="H17" s="96">
        <f t="shared" si="1"/>
        <v>1174883.6074672628</v>
      </c>
      <c r="J17" s="159"/>
    </row>
    <row r="18" spans="1:11" ht="15" customHeight="1" x14ac:dyDescent="0.2">
      <c r="A18" s="10" t="s">
        <v>18</v>
      </c>
      <c r="B18" s="97" t="s">
        <v>140</v>
      </c>
      <c r="C18" s="73">
        <v>387213</v>
      </c>
      <c r="D18" s="76">
        <f t="shared" si="0"/>
        <v>1936065</v>
      </c>
      <c r="E18" s="76"/>
      <c r="F18" s="76">
        <f t="shared" si="2"/>
        <v>1936065</v>
      </c>
      <c r="G18" s="95">
        <f>'Revenue Offset'!G17</f>
        <v>0.57193745104640104</v>
      </c>
      <c r="H18" s="96">
        <f t="shared" si="1"/>
        <v>828756.91883984953</v>
      </c>
      <c r="J18" s="159"/>
    </row>
    <row r="19" spans="1:11" ht="15" customHeight="1" x14ac:dyDescent="0.2">
      <c r="A19" s="10" t="s">
        <v>19</v>
      </c>
      <c r="B19" s="97" t="s">
        <v>129</v>
      </c>
      <c r="C19" s="73">
        <v>987224</v>
      </c>
      <c r="D19" s="76">
        <f t="shared" si="0"/>
        <v>4936120</v>
      </c>
      <c r="E19" s="76"/>
      <c r="F19" s="76">
        <f t="shared" si="2"/>
        <v>4936120</v>
      </c>
      <c r="G19" s="95">
        <f>'Revenue Offset'!G18</f>
        <v>0.46755227274314237</v>
      </c>
      <c r="H19" s="96">
        <f t="shared" si="1"/>
        <v>2628225.8754671202</v>
      </c>
      <c r="J19" s="159"/>
    </row>
    <row r="20" spans="1:11" ht="15" customHeight="1" x14ac:dyDescent="0.2">
      <c r="A20" s="34" t="s">
        <v>118</v>
      </c>
      <c r="B20" s="97" t="s">
        <v>321</v>
      </c>
      <c r="C20" s="156">
        <v>948299</v>
      </c>
      <c r="D20" s="76">
        <f>C20*$D$7</f>
        <v>4741495</v>
      </c>
      <c r="E20" s="76">
        <v>250000</v>
      </c>
      <c r="F20" s="76">
        <f>D20+E20</f>
        <v>4991495</v>
      </c>
      <c r="G20" s="95">
        <f>'Revenue Offset'!G19</f>
        <v>0.40726711857110459</v>
      </c>
      <c r="H20" s="96">
        <f>F20*(1-G20)</f>
        <v>2958623.2139879246</v>
      </c>
      <c r="J20" s="159"/>
    </row>
    <row r="21" spans="1:11" ht="15" customHeight="1" x14ac:dyDescent="0.2">
      <c r="A21" s="10" t="s">
        <v>21</v>
      </c>
      <c r="B21" s="97" t="s">
        <v>176</v>
      </c>
      <c r="C21" s="73">
        <v>284059</v>
      </c>
      <c r="D21" s="76">
        <f t="shared" si="0"/>
        <v>1420295</v>
      </c>
      <c r="E21" s="76">
        <v>50000</v>
      </c>
      <c r="F21" s="76">
        <f t="shared" si="2"/>
        <v>1470295</v>
      </c>
      <c r="G21" s="95">
        <f>'Revenue Offset'!G20</f>
        <v>0.40426638873825016</v>
      </c>
      <c r="H21" s="96">
        <f t="shared" si="1"/>
        <v>875904.14997009444</v>
      </c>
      <c r="J21" s="159"/>
    </row>
    <row r="22" spans="1:11" ht="15" customHeight="1" x14ac:dyDescent="0.2">
      <c r="A22" s="34" t="s">
        <v>109</v>
      </c>
      <c r="B22" s="97" t="s">
        <v>141</v>
      </c>
      <c r="C22" s="73">
        <v>729708</v>
      </c>
      <c r="D22" s="76">
        <f t="shared" si="0"/>
        <v>3648540</v>
      </c>
      <c r="E22" s="76">
        <v>150000</v>
      </c>
      <c r="F22" s="76">
        <f t="shared" si="2"/>
        <v>3798540</v>
      </c>
      <c r="G22" s="95">
        <f>'Revenue Offset'!G21</f>
        <v>0.4421581726992746</v>
      </c>
      <c r="H22" s="96">
        <f t="shared" si="1"/>
        <v>2118984.4946748973</v>
      </c>
      <c r="J22" s="159"/>
    </row>
    <row r="23" spans="1:11" ht="15" customHeight="1" x14ac:dyDescent="0.2">
      <c r="A23" s="10" t="s">
        <v>26</v>
      </c>
      <c r="B23" s="97" t="s">
        <v>62</v>
      </c>
      <c r="C23" s="73">
        <v>1147179</v>
      </c>
      <c r="D23" s="76">
        <f t="shared" si="0"/>
        <v>5735895</v>
      </c>
      <c r="E23" s="76"/>
      <c r="F23" s="76">
        <f t="shared" si="2"/>
        <v>5735895</v>
      </c>
      <c r="G23" s="95">
        <f>'Revenue Offset'!G22</f>
        <v>0.58417486522125794</v>
      </c>
      <c r="H23" s="96">
        <f t="shared" si="1"/>
        <v>2385129.3114517126</v>
      </c>
      <c r="J23" s="159"/>
    </row>
    <row r="24" spans="1:11" ht="15" customHeight="1" x14ac:dyDescent="0.2">
      <c r="A24" s="10" t="s">
        <v>22</v>
      </c>
      <c r="B24" s="97" t="s">
        <v>23</v>
      </c>
      <c r="C24" s="155">
        <v>1809355</v>
      </c>
      <c r="D24" s="76">
        <f t="shared" si="0"/>
        <v>9046775</v>
      </c>
      <c r="E24" s="76"/>
      <c r="F24" s="76">
        <f t="shared" si="2"/>
        <v>9046775</v>
      </c>
      <c r="G24" s="95">
        <f>'Revenue Offset'!G23</f>
        <v>0.67183209606841821</v>
      </c>
      <c r="H24" s="96">
        <f t="shared" si="1"/>
        <v>2968861.1890906361</v>
      </c>
      <c r="J24" s="159"/>
    </row>
    <row r="25" spans="1:11" ht="15" customHeight="1" x14ac:dyDescent="0.2">
      <c r="A25" s="10" t="s">
        <v>24</v>
      </c>
      <c r="B25" s="97" t="s">
        <v>137</v>
      </c>
      <c r="C25" s="73">
        <v>553439</v>
      </c>
      <c r="D25" s="76">
        <f t="shared" si="0"/>
        <v>2767195</v>
      </c>
      <c r="E25" s="76">
        <v>200000</v>
      </c>
      <c r="F25" s="76">
        <f t="shared" si="2"/>
        <v>2967195</v>
      </c>
      <c r="G25" s="95">
        <f>'Revenue Offset'!G24</f>
        <v>0.42364244040512927</v>
      </c>
      <c r="H25" s="96">
        <f t="shared" si="1"/>
        <v>1710165.2690421024</v>
      </c>
      <c r="J25" s="48"/>
    </row>
    <row r="26" spans="1:11" ht="15" customHeight="1" x14ac:dyDescent="0.2">
      <c r="A26" s="10" t="s">
        <v>27</v>
      </c>
      <c r="B26" s="97" t="s">
        <v>132</v>
      </c>
      <c r="C26" s="73">
        <v>583759</v>
      </c>
      <c r="D26" s="76">
        <f t="shared" si="0"/>
        <v>2918795</v>
      </c>
      <c r="E26" s="76"/>
      <c r="F26" s="76">
        <f t="shared" si="2"/>
        <v>2918795</v>
      </c>
      <c r="G26" s="95">
        <f>'Revenue Offset'!G25</f>
        <v>0.5229903225087249</v>
      </c>
      <c r="H26" s="96">
        <f t="shared" si="1"/>
        <v>1392293.4616131464</v>
      </c>
      <c r="J26" s="159"/>
    </row>
    <row r="27" spans="1:11" ht="15" customHeight="1" x14ac:dyDescent="0.2">
      <c r="A27" s="10" t="s">
        <v>29</v>
      </c>
      <c r="B27" s="97" t="s">
        <v>133</v>
      </c>
      <c r="C27" s="73">
        <v>490481</v>
      </c>
      <c r="D27" s="76">
        <f t="shared" si="0"/>
        <v>2452405</v>
      </c>
      <c r="E27" s="76"/>
      <c r="F27" s="76">
        <f t="shared" si="2"/>
        <v>2452405</v>
      </c>
      <c r="G27" s="95">
        <f>'Revenue Offset'!G26</f>
        <v>0.49192410676014631</v>
      </c>
      <c r="H27" s="96">
        <f t="shared" si="1"/>
        <v>1246007.8609608833</v>
      </c>
      <c r="J27" s="159"/>
    </row>
    <row r="28" spans="1:11" ht="15" customHeight="1" x14ac:dyDescent="0.2">
      <c r="A28" s="10" t="s">
        <v>31</v>
      </c>
      <c r="B28" s="97" t="s">
        <v>134</v>
      </c>
      <c r="C28" s="73">
        <f>171244+320041</f>
        <v>491285</v>
      </c>
      <c r="D28" s="76">
        <f t="shared" si="0"/>
        <v>2456425</v>
      </c>
      <c r="E28" s="76">
        <v>50000</v>
      </c>
      <c r="F28" s="76">
        <f t="shared" si="2"/>
        <v>2506425</v>
      </c>
      <c r="G28" s="95">
        <f>'Revenue Offset'!G27</f>
        <v>0.40235534362779629</v>
      </c>
      <c r="H28" s="96">
        <f t="shared" si="1"/>
        <v>1497951.5078477007</v>
      </c>
      <c r="J28" s="159"/>
    </row>
    <row r="29" spans="1:11" ht="15" customHeight="1" x14ac:dyDescent="0.2">
      <c r="A29" s="10" t="s">
        <v>33</v>
      </c>
      <c r="B29" s="97" t="s">
        <v>130</v>
      </c>
      <c r="C29" s="73">
        <v>112270</v>
      </c>
      <c r="D29" s="76">
        <f t="shared" si="0"/>
        <v>561350</v>
      </c>
      <c r="E29" s="76"/>
      <c r="F29" s="76">
        <f t="shared" si="2"/>
        <v>561350</v>
      </c>
      <c r="G29" s="95">
        <f>'Revenue Offset'!G28</f>
        <v>0.38591862092929891</v>
      </c>
      <c r="H29" s="96">
        <f t="shared" si="1"/>
        <v>344714.58214133809</v>
      </c>
      <c r="J29" s="159"/>
      <c r="K29" s="11"/>
    </row>
    <row r="30" spans="1:11" ht="15" customHeight="1" x14ac:dyDescent="0.2">
      <c r="A30" s="10" t="s">
        <v>35</v>
      </c>
      <c r="B30" s="97" t="s">
        <v>36</v>
      </c>
      <c r="C30" s="73">
        <f>195906+476819</f>
        <v>672725</v>
      </c>
      <c r="D30" s="76">
        <f t="shared" si="0"/>
        <v>3363625</v>
      </c>
      <c r="E30" s="76">
        <v>50000</v>
      </c>
      <c r="F30" s="76">
        <f t="shared" si="2"/>
        <v>3413625</v>
      </c>
      <c r="G30" s="95">
        <f>'Revenue Offset'!G29</f>
        <v>0.43081340701792564</v>
      </c>
      <c r="H30" s="96">
        <f t="shared" si="1"/>
        <v>1942989.5834684335</v>
      </c>
      <c r="J30" s="159"/>
    </row>
    <row r="31" spans="1:11" ht="15" customHeight="1" x14ac:dyDescent="0.2">
      <c r="A31" s="10" t="s">
        <v>37</v>
      </c>
      <c r="B31" s="97" t="s">
        <v>131</v>
      </c>
      <c r="C31" s="73">
        <f>137722+361379+27571</f>
        <v>526672</v>
      </c>
      <c r="D31" s="76">
        <f t="shared" si="0"/>
        <v>2633360</v>
      </c>
      <c r="E31" s="76">
        <v>100000</v>
      </c>
      <c r="F31" s="76">
        <f t="shared" si="2"/>
        <v>2733360</v>
      </c>
      <c r="G31" s="95">
        <f>'Revenue Offset'!G30</f>
        <v>0.45877280682764138</v>
      </c>
      <c r="H31" s="96">
        <f t="shared" si="1"/>
        <v>1479368.7607295983</v>
      </c>
      <c r="J31" s="48"/>
    </row>
    <row r="32" spans="1:11" ht="15" customHeight="1" x14ac:dyDescent="0.2">
      <c r="A32" s="10" t="s">
        <v>39</v>
      </c>
      <c r="B32" s="97" t="s">
        <v>135</v>
      </c>
      <c r="C32" s="73">
        <v>616429</v>
      </c>
      <c r="D32" s="76">
        <f t="shared" si="0"/>
        <v>3082145</v>
      </c>
      <c r="E32" s="76"/>
      <c r="F32" s="76">
        <f t="shared" si="2"/>
        <v>3082145</v>
      </c>
      <c r="G32" s="95">
        <f>'Revenue Offset'!G31</f>
        <v>0.50183645346221983</v>
      </c>
      <c r="H32" s="96">
        <f t="shared" si="1"/>
        <v>1535412.2841436865</v>
      </c>
      <c r="J32" s="159"/>
    </row>
    <row r="33" spans="1:10" ht="15" customHeight="1" x14ac:dyDescent="0.2">
      <c r="A33" s="10" t="s">
        <v>46</v>
      </c>
      <c r="B33" s="97" t="s">
        <v>70</v>
      </c>
      <c r="C33" s="73">
        <v>557150</v>
      </c>
      <c r="D33" s="76">
        <f t="shared" si="0"/>
        <v>2785750</v>
      </c>
      <c r="E33" s="76"/>
      <c r="F33" s="76">
        <f t="shared" si="2"/>
        <v>2785750</v>
      </c>
      <c r="G33" s="95">
        <f>'Revenue Offset'!G32</f>
        <v>0.46708850488255266</v>
      </c>
      <c r="H33" s="96">
        <f t="shared" si="1"/>
        <v>1484558.1975234291</v>
      </c>
      <c r="J33" s="159"/>
    </row>
    <row r="34" spans="1:10" ht="15" customHeight="1" x14ac:dyDescent="0.2">
      <c r="A34" s="10" t="s">
        <v>41</v>
      </c>
      <c r="B34" s="97" t="s">
        <v>117</v>
      </c>
      <c r="C34" s="73">
        <f>110367+302315</f>
        <v>412682</v>
      </c>
      <c r="D34" s="76">
        <f t="shared" si="0"/>
        <v>2063410</v>
      </c>
      <c r="E34" s="76">
        <v>50000</v>
      </c>
      <c r="F34" s="76">
        <f t="shared" si="2"/>
        <v>2113410</v>
      </c>
      <c r="G34" s="95">
        <f>'Revenue Offset'!G33</f>
        <v>0.40545200858866942</v>
      </c>
      <c r="H34" s="96">
        <f t="shared" si="1"/>
        <v>1256523.67052862</v>
      </c>
      <c r="J34" s="159"/>
    </row>
    <row r="35" spans="1:10" ht="15" customHeight="1" x14ac:dyDescent="0.2">
      <c r="A35" s="10" t="s">
        <v>42</v>
      </c>
      <c r="B35" s="97" t="s">
        <v>69</v>
      </c>
      <c r="C35" s="73">
        <v>801231</v>
      </c>
      <c r="D35" s="76">
        <f t="shared" si="0"/>
        <v>4006155</v>
      </c>
      <c r="E35" s="76"/>
      <c r="F35" s="76">
        <f t="shared" si="2"/>
        <v>4006155</v>
      </c>
      <c r="G35" s="95">
        <f>'Revenue Offset'!G34</f>
        <v>0.51753777556905833</v>
      </c>
      <c r="H35" s="96">
        <f t="shared" si="1"/>
        <v>1932818.4527151391</v>
      </c>
      <c r="J35" s="159"/>
    </row>
    <row r="36" spans="1:10" ht="15" customHeight="1" x14ac:dyDescent="0.2">
      <c r="A36" s="10" t="s">
        <v>43</v>
      </c>
      <c r="B36" s="97" t="s">
        <v>44</v>
      </c>
      <c r="C36" s="73">
        <v>2088690</v>
      </c>
      <c r="D36" s="76">
        <f t="shared" si="0"/>
        <v>10443450</v>
      </c>
      <c r="E36" s="76"/>
      <c r="F36" s="76">
        <f t="shared" si="2"/>
        <v>10443450</v>
      </c>
      <c r="G36" s="95">
        <f>'Revenue Offset'!G35</f>
        <v>0.5508920857625127</v>
      </c>
      <c r="H36" s="96">
        <f t="shared" si="1"/>
        <v>4690236.0469434867</v>
      </c>
      <c r="J36" s="159"/>
    </row>
    <row r="37" spans="1:10" ht="15" customHeight="1" x14ac:dyDescent="0.2">
      <c r="A37" s="10" t="s">
        <v>45</v>
      </c>
      <c r="B37" s="97" t="s">
        <v>136</v>
      </c>
      <c r="C37" s="73">
        <v>502694</v>
      </c>
      <c r="D37" s="76">
        <f t="shared" si="0"/>
        <v>2513470</v>
      </c>
      <c r="E37" s="76"/>
      <c r="F37" s="76">
        <f t="shared" si="2"/>
        <v>2513470</v>
      </c>
      <c r="G37" s="95">
        <f>'Revenue Offset'!G36</f>
        <v>0.46067411255480761</v>
      </c>
      <c r="H37" s="96">
        <f t="shared" si="1"/>
        <v>1355579.4383168677</v>
      </c>
      <c r="J37" s="159"/>
    </row>
    <row r="38" spans="1:10" ht="15" customHeight="1" x14ac:dyDescent="0.2">
      <c r="A38" s="10" t="s">
        <v>47</v>
      </c>
      <c r="B38" s="97" t="s">
        <v>48</v>
      </c>
      <c r="C38" s="73">
        <v>1266691</v>
      </c>
      <c r="D38" s="76">
        <f t="shared" si="0"/>
        <v>6333455</v>
      </c>
      <c r="E38" s="76"/>
      <c r="F38" s="76">
        <f t="shared" si="2"/>
        <v>6333455</v>
      </c>
      <c r="G38" s="95">
        <f>'Revenue Offset'!G37</f>
        <v>0.59287550685049228</v>
      </c>
      <c r="H38" s="96">
        <f t="shared" si="1"/>
        <v>2578504.6567602153</v>
      </c>
      <c r="J38" s="159"/>
    </row>
    <row r="39" spans="1:10" ht="15" customHeight="1" x14ac:dyDescent="0.2">
      <c r="A39" s="98"/>
      <c r="B39" s="99"/>
      <c r="C39" s="157"/>
      <c r="D39" s="79"/>
      <c r="E39" s="75"/>
      <c r="F39" s="79"/>
      <c r="H39" s="100"/>
      <c r="I39" s="6"/>
    </row>
    <row r="40" spans="1:10" s="101" customFormat="1" ht="15" customHeight="1" x14ac:dyDescent="0.2">
      <c r="B40" s="101" t="s">
        <v>49</v>
      </c>
      <c r="C40" s="74">
        <f>SUM(C9:C38)</f>
        <v>21996611</v>
      </c>
      <c r="D40" s="74">
        <f>SUM(D9:D38)</f>
        <v>109983055</v>
      </c>
      <c r="E40" s="74">
        <f>SUM(E9:E38)</f>
        <v>1200000</v>
      </c>
      <c r="F40" s="74">
        <f>SUM(F9:F38)</f>
        <v>111183055</v>
      </c>
      <c r="G40" s="102">
        <f>'Revenue Offset'!G39</f>
        <v>0.518126889099226</v>
      </c>
      <c r="H40" s="74">
        <f>SUM(H9:H38)</f>
        <v>55667295.205345504</v>
      </c>
    </row>
    <row r="42" spans="1:10" ht="12" customHeight="1" x14ac:dyDescent="0.2">
      <c r="B42" s="103"/>
      <c r="D42" s="16"/>
    </row>
    <row r="43" spans="1:10" ht="12" customHeight="1" x14ac:dyDescent="0.2">
      <c r="A43" s="15"/>
      <c r="D43" s="16"/>
    </row>
    <row r="44" spans="1:10" ht="15" customHeight="1" x14ac:dyDescent="0.2">
      <c r="A44" s="15" t="s">
        <v>306</v>
      </c>
    </row>
    <row r="45" spans="1:10" ht="15" customHeight="1" x14ac:dyDescent="0.2">
      <c r="A45" s="15" t="str">
        <f>'FY2015 Detail'!B40</f>
        <v>s:\finance\bargain\FY25 allocation\Summary of FY2025 Institutional Allocation Draft</v>
      </c>
    </row>
    <row r="46" spans="1:10" ht="15" customHeight="1" x14ac:dyDescent="0.2">
      <c r="A46" s="15"/>
      <c r="E46" s="85"/>
      <c r="H46"/>
    </row>
    <row r="47" spans="1:10" ht="15" customHeight="1" x14ac:dyDescent="0.2">
      <c r="C47" s="11"/>
      <c r="E47" s="85"/>
      <c r="H47"/>
    </row>
    <row r="48" spans="1:10" ht="15" customHeight="1" x14ac:dyDescent="0.2">
      <c r="E48" s="85"/>
      <c r="H48"/>
    </row>
    <row r="49" spans="5:8" ht="15" customHeight="1" x14ac:dyDescent="0.2">
      <c r="E49" s="85"/>
      <c r="H49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42"/>
  <sheetViews>
    <sheetView zoomScale="80" zoomScaleNormal="80" workbookViewId="0">
      <selection activeCell="E8" sqref="E8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style="4" customWidth="1"/>
    <col min="5" max="5" width="13.140625" customWidth="1"/>
    <col min="10" max="12" width="0" hidden="1" customWidth="1"/>
  </cols>
  <sheetData>
    <row r="1" spans="1:7" ht="15" customHeight="1" x14ac:dyDescent="0.25">
      <c r="A1" s="33" t="s">
        <v>252</v>
      </c>
      <c r="E1" s="351" t="s">
        <v>282</v>
      </c>
    </row>
    <row r="2" spans="1:7" ht="15" customHeight="1" x14ac:dyDescent="0.2">
      <c r="A2" s="4" t="s">
        <v>177</v>
      </c>
    </row>
    <row r="3" spans="1:7" ht="15" customHeight="1" x14ac:dyDescent="0.2">
      <c r="A3" s="4" t="s">
        <v>334</v>
      </c>
    </row>
    <row r="4" spans="1:7" ht="15" customHeight="1" x14ac:dyDescent="0.2">
      <c r="C4" s="19" t="s">
        <v>79</v>
      </c>
      <c r="D4" s="19" t="s">
        <v>74</v>
      </c>
      <c r="E4" s="19" t="s">
        <v>75</v>
      </c>
    </row>
    <row r="5" spans="1:7" ht="61.5" customHeight="1" x14ac:dyDescent="0.2">
      <c r="A5" s="167" t="s">
        <v>0</v>
      </c>
      <c r="B5" s="168" t="s">
        <v>83</v>
      </c>
      <c r="C5" s="167" t="s">
        <v>178</v>
      </c>
      <c r="D5" s="84" t="s">
        <v>179</v>
      </c>
      <c r="E5" s="27" t="s">
        <v>304</v>
      </c>
    </row>
    <row r="6" spans="1:7" ht="15" customHeight="1" x14ac:dyDescent="0.2">
      <c r="B6" s="31"/>
      <c r="D6" s="5"/>
    </row>
    <row r="7" spans="1:7" ht="15" customHeight="1" x14ac:dyDescent="0.2">
      <c r="A7" s="170" t="s">
        <v>2</v>
      </c>
      <c r="B7" s="171" t="s">
        <v>128</v>
      </c>
      <c r="C7" s="172">
        <f>'3rd Term Expected'!J6</f>
        <v>68999.999999999767</v>
      </c>
      <c r="D7" s="407">
        <f>'Improvement Allocation'!H6</f>
        <v>0</v>
      </c>
      <c r="E7" s="172">
        <f>C7+D7</f>
        <v>68999.999999999767</v>
      </c>
      <c r="G7" s="159"/>
    </row>
    <row r="8" spans="1:7" ht="15" customHeight="1" x14ac:dyDescent="0.2">
      <c r="A8" s="170" t="s">
        <v>4</v>
      </c>
      <c r="B8" s="171" t="s">
        <v>124</v>
      </c>
      <c r="C8" s="172">
        <f>'3rd Term Expected'!J7+'3rd Term Expected'!J8</f>
        <v>527699.99999999977</v>
      </c>
      <c r="D8" s="408">
        <f>'Improvement Allocation'!H7+'Improvement Allocation'!H8</f>
        <v>32000</v>
      </c>
      <c r="E8" s="172">
        <f t="shared" ref="E8:E36" si="0">C8+D8</f>
        <v>559699.99999999977</v>
      </c>
      <c r="G8" s="159"/>
    </row>
    <row r="9" spans="1:7" ht="15" customHeight="1" x14ac:dyDescent="0.2">
      <c r="A9" s="170" t="s">
        <v>5</v>
      </c>
      <c r="B9" s="171" t="s">
        <v>113</v>
      </c>
      <c r="C9" s="174">
        <f>'3rd Term Expected'!J29+'3rd Term Expected'!J38</f>
        <v>0</v>
      </c>
      <c r="D9" s="408">
        <f>'Improvement Allocation'!H29+'Improvement Allocation'!H38</f>
        <v>16000</v>
      </c>
      <c r="E9" s="172">
        <f t="shared" si="0"/>
        <v>16000</v>
      </c>
      <c r="G9" s="159"/>
    </row>
    <row r="10" spans="1:7" ht="15" customHeight="1" x14ac:dyDescent="0.2">
      <c r="A10" s="170" t="s">
        <v>6</v>
      </c>
      <c r="B10" s="171" t="s">
        <v>7</v>
      </c>
      <c r="C10" s="172">
        <f>'3rd Term Expected'!J9</f>
        <v>0</v>
      </c>
      <c r="D10" s="407">
        <f>'Improvement Allocation'!H9</f>
        <v>0</v>
      </c>
      <c r="E10" s="172">
        <f t="shared" si="0"/>
        <v>0</v>
      </c>
      <c r="G10" s="406"/>
    </row>
    <row r="11" spans="1:7" ht="15" customHeight="1" x14ac:dyDescent="0.2">
      <c r="A11" s="170" t="s">
        <v>8</v>
      </c>
      <c r="B11" s="171" t="s">
        <v>9</v>
      </c>
      <c r="C11" s="172">
        <f>'3rd Term Expected'!J10</f>
        <v>0</v>
      </c>
      <c r="D11" s="407">
        <f>'Improvement Allocation'!H10</f>
        <v>0</v>
      </c>
      <c r="E11" s="172">
        <f t="shared" si="0"/>
        <v>0</v>
      </c>
      <c r="G11" s="159"/>
    </row>
    <row r="12" spans="1:7" ht="15" customHeight="1" x14ac:dyDescent="0.2">
      <c r="A12" s="170" t="s">
        <v>10</v>
      </c>
      <c r="B12" s="3" t="s">
        <v>146</v>
      </c>
      <c r="C12" s="172">
        <f>'3rd Term Expected'!J11+'3rd Term Expected'!J14</f>
        <v>0</v>
      </c>
      <c r="D12" s="407">
        <f>'Improvement Allocation'!H11+'Improvement Allocation'!H14</f>
        <v>0</v>
      </c>
      <c r="E12" s="172">
        <f t="shared" si="0"/>
        <v>0</v>
      </c>
      <c r="G12" s="159"/>
    </row>
    <row r="13" spans="1:7" ht="15" customHeight="1" x14ac:dyDescent="0.2">
      <c r="A13" s="170" t="s">
        <v>12</v>
      </c>
      <c r="B13" s="171" t="s">
        <v>13</v>
      </c>
      <c r="C13" s="172">
        <f>'3rd Term Expected'!J12</f>
        <v>124000.00000000006</v>
      </c>
      <c r="D13" s="407">
        <f>'Improvement Allocation'!H12</f>
        <v>24000</v>
      </c>
      <c r="E13" s="172">
        <f t="shared" si="0"/>
        <v>148000.00000000006</v>
      </c>
      <c r="G13" s="159"/>
    </row>
    <row r="14" spans="1:7" ht="15" customHeight="1" x14ac:dyDescent="0.2">
      <c r="A14" s="170" t="s">
        <v>14</v>
      </c>
      <c r="B14" s="171" t="s">
        <v>139</v>
      </c>
      <c r="C14" s="172">
        <f>'3rd Term Expected'!J13</f>
        <v>0</v>
      </c>
      <c r="D14" s="407">
        <f>'Improvement Allocation'!H13</f>
        <v>0</v>
      </c>
      <c r="E14" s="172">
        <f t="shared" si="0"/>
        <v>0</v>
      </c>
      <c r="G14" s="159"/>
    </row>
    <row r="15" spans="1:7" ht="15" customHeight="1" x14ac:dyDescent="0.2">
      <c r="A15" s="170" t="s">
        <v>16</v>
      </c>
      <c r="B15" s="171" t="s">
        <v>17</v>
      </c>
      <c r="C15" s="172">
        <f>'3rd Term Expected'!J15</f>
        <v>0</v>
      </c>
      <c r="D15" s="407">
        <f>'Improvement Allocation'!H15</f>
        <v>12000</v>
      </c>
      <c r="E15" s="172">
        <f t="shared" si="0"/>
        <v>12000</v>
      </c>
      <c r="G15" s="159"/>
    </row>
    <row r="16" spans="1:7" ht="15" customHeight="1" x14ac:dyDescent="0.2">
      <c r="A16" s="170" t="s">
        <v>18</v>
      </c>
      <c r="B16" s="171" t="s">
        <v>140</v>
      </c>
      <c r="C16" s="172">
        <f>'3rd Term Expected'!J39</f>
        <v>0</v>
      </c>
      <c r="D16" s="407">
        <f>'Improvement Allocation'!H39</f>
        <v>0</v>
      </c>
      <c r="E16" s="172">
        <f t="shared" si="0"/>
        <v>0</v>
      </c>
      <c r="G16" s="159"/>
    </row>
    <row r="17" spans="1:7" ht="15" customHeight="1" x14ac:dyDescent="0.2">
      <c r="A17" s="170" t="s">
        <v>19</v>
      </c>
      <c r="B17" s="171" t="s">
        <v>129</v>
      </c>
      <c r="C17" s="172">
        <f>'3rd Term Expected'!J16</f>
        <v>0</v>
      </c>
      <c r="D17" s="407">
        <f>'Improvement Allocation'!H16</f>
        <v>152000</v>
      </c>
      <c r="E17" s="172">
        <f t="shared" si="0"/>
        <v>152000</v>
      </c>
      <c r="G17" s="244"/>
    </row>
    <row r="18" spans="1:7" ht="15" customHeight="1" x14ac:dyDescent="0.2">
      <c r="A18" s="170" t="s">
        <v>118</v>
      </c>
      <c r="B18" s="171" t="s">
        <v>298</v>
      </c>
      <c r="C18" s="174">
        <f>'3rd Term Expected'!J17</f>
        <v>331600.00000000023</v>
      </c>
      <c r="D18" s="408">
        <f>'Improvement Allocation'!H17</f>
        <v>64000</v>
      </c>
      <c r="E18" s="172">
        <f>C18+D18</f>
        <v>395600.00000000023</v>
      </c>
      <c r="G18" s="244"/>
    </row>
    <row r="19" spans="1:7" ht="15" customHeight="1" x14ac:dyDescent="0.2">
      <c r="A19" s="170" t="s">
        <v>21</v>
      </c>
      <c r="B19" s="175" t="s">
        <v>176</v>
      </c>
      <c r="C19" s="172">
        <f>'3rd Term Expected'!J23</f>
        <v>0</v>
      </c>
      <c r="D19" s="407">
        <f>'Improvement Allocation'!H23</f>
        <v>28000</v>
      </c>
      <c r="E19" s="172">
        <f t="shared" si="0"/>
        <v>28000</v>
      </c>
      <c r="G19" s="244"/>
    </row>
    <row r="20" spans="1:7" ht="15" customHeight="1" x14ac:dyDescent="0.2">
      <c r="A20" s="170" t="s">
        <v>109</v>
      </c>
      <c r="B20" s="171" t="s">
        <v>141</v>
      </c>
      <c r="C20" s="172">
        <f>'3rd Term Expected'!J24</f>
        <v>12899.999999999636</v>
      </c>
      <c r="D20" s="407">
        <f>'Improvement Allocation'!H24</f>
        <v>56000</v>
      </c>
      <c r="E20" s="172">
        <f t="shared" si="0"/>
        <v>68899.999999999636</v>
      </c>
      <c r="G20" s="244"/>
    </row>
    <row r="21" spans="1:7" ht="15" customHeight="1" x14ac:dyDescent="0.2">
      <c r="A21" s="170" t="s">
        <v>26</v>
      </c>
      <c r="B21" s="171" t="s">
        <v>62</v>
      </c>
      <c r="C21" s="172">
        <f>'3rd Term Expected'!J41</f>
        <v>0</v>
      </c>
      <c r="D21" s="407">
        <f>'Improvement Allocation'!H41</f>
        <v>0</v>
      </c>
      <c r="E21" s="172">
        <f t="shared" si="0"/>
        <v>0</v>
      </c>
      <c r="G21" s="244"/>
    </row>
    <row r="22" spans="1:7" ht="15" customHeight="1" x14ac:dyDescent="0.2">
      <c r="A22" s="170" t="s">
        <v>22</v>
      </c>
      <c r="B22" s="171" t="s">
        <v>23</v>
      </c>
      <c r="C22" s="172">
        <f>'3rd Term Expected'!J40</f>
        <v>0</v>
      </c>
      <c r="D22" s="407">
        <f>'Improvement Allocation'!H40</f>
        <v>0</v>
      </c>
      <c r="E22" s="172">
        <f t="shared" si="0"/>
        <v>0</v>
      </c>
      <c r="G22" s="244"/>
    </row>
    <row r="23" spans="1:7" ht="15" customHeight="1" x14ac:dyDescent="0.2">
      <c r="A23" s="170" t="s">
        <v>24</v>
      </c>
      <c r="B23" s="171" t="s">
        <v>137</v>
      </c>
      <c r="C23" s="172">
        <f>'3rd Term Expected'!J25</f>
        <v>468400.00000000029</v>
      </c>
      <c r="D23" s="407">
        <f>'Improvement Allocation'!H25</f>
        <v>24000</v>
      </c>
      <c r="E23" s="172">
        <f t="shared" si="0"/>
        <v>492400.00000000029</v>
      </c>
      <c r="G23" s="244"/>
    </row>
    <row r="24" spans="1:7" ht="15" customHeight="1" x14ac:dyDescent="0.2">
      <c r="A24" s="170" t="s">
        <v>27</v>
      </c>
      <c r="B24" s="171" t="s">
        <v>132</v>
      </c>
      <c r="C24" s="172">
        <f>'3rd Term Expected'!J26</f>
        <v>0</v>
      </c>
      <c r="D24" s="407">
        <f>'Improvement Allocation'!H26</f>
        <v>60000</v>
      </c>
      <c r="E24" s="172">
        <f t="shared" si="0"/>
        <v>60000</v>
      </c>
      <c r="G24" s="244"/>
    </row>
    <row r="25" spans="1:7" ht="15" customHeight="1" x14ac:dyDescent="0.2">
      <c r="A25" s="170" t="s">
        <v>29</v>
      </c>
      <c r="B25" s="171" t="s">
        <v>133</v>
      </c>
      <c r="C25" s="172">
        <f>'3rd Term Expected'!J27</f>
        <v>236799.99999999951</v>
      </c>
      <c r="D25" s="407">
        <f>'Improvement Allocation'!H27</f>
        <v>192000</v>
      </c>
      <c r="E25" s="172">
        <f t="shared" si="0"/>
        <v>428799.99999999953</v>
      </c>
      <c r="G25" s="244"/>
    </row>
    <row r="26" spans="1:7" ht="15" customHeight="1" x14ac:dyDescent="0.2">
      <c r="A26" s="170" t="s">
        <v>31</v>
      </c>
      <c r="B26" s="171" t="s">
        <v>134</v>
      </c>
      <c r="C26" s="172">
        <f>'3rd Term Expected'!J28</f>
        <v>14300.000000000069</v>
      </c>
      <c r="D26" s="407">
        <f>'Improvement Allocation'!H28</f>
        <v>0</v>
      </c>
      <c r="E26" s="172">
        <f t="shared" si="0"/>
        <v>14300.000000000069</v>
      </c>
      <c r="G26" s="244"/>
    </row>
    <row r="27" spans="1:7" ht="15" customHeight="1" x14ac:dyDescent="0.2">
      <c r="A27" s="170" t="s">
        <v>33</v>
      </c>
      <c r="B27" s="171" t="s">
        <v>130</v>
      </c>
      <c r="C27" s="172">
        <f>'3rd Term Expected'!J30</f>
        <v>0</v>
      </c>
      <c r="D27" s="407">
        <f>'Improvement Allocation'!H30</f>
        <v>0</v>
      </c>
      <c r="E27" s="172">
        <f t="shared" si="0"/>
        <v>0</v>
      </c>
      <c r="G27" s="244"/>
    </row>
    <row r="28" spans="1:7" ht="15" customHeight="1" x14ac:dyDescent="0.2">
      <c r="A28" s="170" t="s">
        <v>35</v>
      </c>
      <c r="B28" s="171" t="s">
        <v>36</v>
      </c>
      <c r="C28" s="172">
        <f>'3rd Term Expected'!J31</f>
        <v>228300.00000000041</v>
      </c>
      <c r="D28" s="407">
        <f>'Improvement Allocation'!H31</f>
        <v>68000</v>
      </c>
      <c r="E28" s="172">
        <f t="shared" si="0"/>
        <v>296300.00000000041</v>
      </c>
      <c r="G28" s="244"/>
    </row>
    <row r="29" spans="1:7" ht="15" customHeight="1" x14ac:dyDescent="0.2">
      <c r="A29" s="170" t="s">
        <v>37</v>
      </c>
      <c r="B29" s="171" t="s">
        <v>131</v>
      </c>
      <c r="C29" s="172">
        <f>'3rd Term Expected'!J32</f>
        <v>60700.000000000502</v>
      </c>
      <c r="D29" s="407">
        <f>'Improvement Allocation'!H32</f>
        <v>44000</v>
      </c>
      <c r="E29" s="172">
        <f t="shared" si="0"/>
        <v>104700.00000000049</v>
      </c>
      <c r="G29" s="244"/>
    </row>
    <row r="30" spans="1:7" ht="15" customHeight="1" x14ac:dyDescent="0.2">
      <c r="A30" s="170" t="s">
        <v>39</v>
      </c>
      <c r="B30" s="171" t="s">
        <v>135</v>
      </c>
      <c r="C30" s="172">
        <f>'3rd Term Expected'!J33</f>
        <v>0</v>
      </c>
      <c r="D30" s="407">
        <f>'Improvement Allocation'!H33</f>
        <v>0</v>
      </c>
      <c r="E30" s="172">
        <f t="shared" si="0"/>
        <v>0</v>
      </c>
      <c r="G30" s="244"/>
    </row>
    <row r="31" spans="1:7" ht="15" customHeight="1" x14ac:dyDescent="0.2">
      <c r="A31" s="170" t="s">
        <v>46</v>
      </c>
      <c r="B31" s="171" t="s">
        <v>70</v>
      </c>
      <c r="C31" s="172">
        <f>'3rd Term Expected'!J35</f>
        <v>242100.00000000035</v>
      </c>
      <c r="D31" s="407">
        <f>'Improvement Allocation'!H35</f>
        <v>52000</v>
      </c>
      <c r="E31" s="172">
        <f t="shared" si="0"/>
        <v>294100.00000000035</v>
      </c>
      <c r="G31" s="244"/>
    </row>
    <row r="32" spans="1:7" ht="15" customHeight="1" x14ac:dyDescent="0.2">
      <c r="A32" s="170" t="s">
        <v>41</v>
      </c>
      <c r="B32" s="171" t="s">
        <v>117</v>
      </c>
      <c r="C32" s="172">
        <f>'3rd Term Expected'!J36</f>
        <v>0</v>
      </c>
      <c r="D32" s="407">
        <f>'Improvement Allocation'!H36</f>
        <v>0</v>
      </c>
      <c r="E32" s="172">
        <f t="shared" si="0"/>
        <v>0</v>
      </c>
      <c r="G32" s="244"/>
    </row>
    <row r="33" spans="1:9" ht="15" customHeight="1" x14ac:dyDescent="0.2">
      <c r="A33" s="170" t="s">
        <v>42</v>
      </c>
      <c r="B33" s="171" t="s">
        <v>69</v>
      </c>
      <c r="C33" s="172">
        <f>'3rd Term Expected'!J43</f>
        <v>0</v>
      </c>
      <c r="D33" s="407">
        <f>'Improvement Allocation'!H43</f>
        <v>0</v>
      </c>
      <c r="E33" s="172">
        <f t="shared" si="0"/>
        <v>0</v>
      </c>
      <c r="G33" s="244"/>
    </row>
    <row r="34" spans="1:9" ht="15" customHeight="1" x14ac:dyDescent="0.2">
      <c r="A34" s="170" t="s">
        <v>43</v>
      </c>
      <c r="B34" s="171" t="s">
        <v>44</v>
      </c>
      <c r="C34" s="172">
        <f>'3rd Term Expected'!J42</f>
        <v>56069.320163990138</v>
      </c>
      <c r="D34" s="407">
        <f>'Improvement Allocation'!H42</f>
        <v>0</v>
      </c>
      <c r="E34" s="172">
        <f t="shared" si="0"/>
        <v>56069.320163990138</v>
      </c>
      <c r="G34" s="244"/>
    </row>
    <row r="35" spans="1:9" ht="15" customHeight="1" x14ac:dyDescent="0.2">
      <c r="A35" s="170" t="s">
        <v>45</v>
      </c>
      <c r="B35" s="171" t="s">
        <v>136</v>
      </c>
      <c r="C35" s="172">
        <f>'3rd Term Expected'!J34</f>
        <v>0</v>
      </c>
      <c r="D35" s="407">
        <f>'Improvement Allocation'!H34</f>
        <v>0</v>
      </c>
      <c r="E35" s="172">
        <f t="shared" si="0"/>
        <v>0</v>
      </c>
      <c r="G35" s="244"/>
    </row>
    <row r="36" spans="1:9" ht="15" customHeight="1" x14ac:dyDescent="0.2">
      <c r="A36" s="170" t="s">
        <v>47</v>
      </c>
      <c r="B36" s="171" t="s">
        <v>48</v>
      </c>
      <c r="C36" s="172">
        <f>'3rd Term Expected'!J44</f>
        <v>0</v>
      </c>
      <c r="D36" s="407">
        <f>'Improvement Allocation'!H44</f>
        <v>0</v>
      </c>
      <c r="E36" s="172">
        <f t="shared" si="0"/>
        <v>0</v>
      </c>
      <c r="G36" s="244"/>
    </row>
    <row r="37" spans="1:9" ht="15" customHeight="1" x14ac:dyDescent="0.2">
      <c r="D37" s="176"/>
      <c r="I37" s="6"/>
    </row>
    <row r="38" spans="1:9" ht="15" customHeight="1" x14ac:dyDescent="0.2">
      <c r="B38" t="s">
        <v>49</v>
      </c>
      <c r="C38" s="176">
        <f>SUM(C7:C37)</f>
        <v>2371869.3201639904</v>
      </c>
      <c r="D38" s="176">
        <f>SUM(D7:D37)</f>
        <v>824000</v>
      </c>
      <c r="E38" s="176">
        <f>SUM(E7:E37)</f>
        <v>3195869.3201639904</v>
      </c>
    </row>
    <row r="40" spans="1:9" ht="15" customHeight="1" x14ac:dyDescent="0.2">
      <c r="A40" s="15" t="s">
        <v>306</v>
      </c>
    </row>
    <row r="41" spans="1:9" ht="15" customHeight="1" x14ac:dyDescent="0.2">
      <c r="A41" s="15" t="s">
        <v>324</v>
      </c>
    </row>
    <row r="42" spans="1:9" ht="15" customHeight="1" x14ac:dyDescent="0.2">
      <c r="A42" s="15"/>
    </row>
  </sheetData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Anderson, Susan S</cp:lastModifiedBy>
  <cp:lastPrinted>2024-05-14T19:30:43Z</cp:lastPrinted>
  <dcterms:created xsi:type="dcterms:W3CDTF">2000-05-30T14:50:23Z</dcterms:created>
  <dcterms:modified xsi:type="dcterms:W3CDTF">2024-05-14T19:31:15Z</dcterms:modified>
</cp:coreProperties>
</file>